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codeName="ThisWorkbook" hidePivotFieldList="1"/>
  <mc:AlternateContent xmlns:mc="http://schemas.openxmlformats.org/markup-compatibility/2006">
    <mc:Choice Requires="x15">
      <x15ac:absPath xmlns:x15ac="http://schemas.microsoft.com/office/spreadsheetml/2010/11/ac" url="T:\rvo\IUC\03 Team B\Inkoop boven EU\3. Inhuur\2024\Inhuur Dataspecialisten - 202410166\3 Nota's van Inlichtingen\"/>
    </mc:Choice>
  </mc:AlternateContent>
  <xr:revisionPtr revIDLastSave="0" documentId="13_ncr:1_{9761EA16-AEBC-474D-A5E0-491026AFC3BE}" xr6:coauthVersionLast="47" xr6:coauthVersionMax="47" xr10:uidLastSave="{00000000-0000-0000-0000-000000000000}"/>
  <bookViews>
    <workbookView xWindow="-110" yWindow="-110" windowWidth="19420" windowHeight="10420" xr2:uid="{0906EAF9-9190-4559-B225-2ED88C4C1972}"/>
  </bookViews>
  <sheets>
    <sheet name="Aanvraag inhuur" sheetId="1" r:id="rId1"/>
    <sheet name="Overzicht inhuurdesk" sheetId="4" state="veryHidden" r:id="rId2"/>
    <sheet name="Offerteformulier" sheetId="5" state="veryHidden" r:id="rId3"/>
    <sheet name="Beoordelingsformulier" sheetId="6" state="veryHidden" r:id="rId4"/>
    <sheet name="Invulhulp Beoordelingsformulier" sheetId="10" state="veryHidden" r:id="rId5"/>
    <sheet name="NOK-generator" sheetId="13" state="veryHidden" r:id="rId6"/>
    <sheet name="Brongegevens" sheetId="7" state="veryHidden" r:id="rId7"/>
    <sheet name="Brongegevens tbv nokgenerator" sheetId="11" state="veryHidden" r:id="rId8"/>
    <sheet name="Leveranciersnamen" sheetId="8" state="veryHidden" r:id="rId9"/>
  </sheets>
  <externalReferences>
    <externalReference r:id="rId10"/>
    <externalReference r:id="rId11"/>
  </externalReferences>
  <definedNames>
    <definedName name="_GoBack" localSheetId="0">'Aanvraag inhuur'!$C$108</definedName>
    <definedName name="_xlnm.Print_Area" localSheetId="0">'Aanvraag inhuur'!$A$1:$I$148</definedName>
    <definedName name="_xlnm.Print_Area" localSheetId="3">Beoordelingsformulier!$A$1:$Z$102</definedName>
    <definedName name="_xlnm.Print_Area" localSheetId="2">Offerteformulier!$A$1:$J$85</definedName>
    <definedName name="_xlnm.Print_Area" localSheetId="1">'Overzicht inhuurdesk'!$A$1:$Y$103</definedName>
    <definedName name="_xlnm.Print_Titles" localSheetId="0">'Aanvraag inhuur'!$1:$3</definedName>
    <definedName name="_xlnm.Print_Titles" localSheetId="3">Beoordelingsformulier!$1:$13</definedName>
    <definedName name="_xlnm.Print_Titles" localSheetId="2">Offerteformulier!$1:$3</definedName>
    <definedName name="_xlnm.Print_Titles" localSheetId="1">'Overzicht inhuurdesk'!$1:$2</definedName>
    <definedName name="Auditdiensten">Brongegevens!$U$3:$U$4</definedName>
    <definedName name="Bedrijfsonderdeel">Brongegevens!$E$3:$E$20</definedName>
    <definedName name="BGTenGISspecialistenvoorRVO">Brongegevens!$AI$15:$AI$16</definedName>
    <definedName name="Communicatiecapaciteit">Brongegevens!$AJ$3:$AJ$4</definedName>
    <definedName name="DataSpecialisten">Brongegevens!$V$3</definedName>
    <definedName name="Departement">Brongegevens!$C$3:$C$5</definedName>
    <definedName name="DICTU">Brongegevens!$BP$3:$BP$5</definedName>
    <definedName name="Dienst" localSheetId="5">#REF!</definedName>
    <definedName name="Dienst">Brongegevens!$D$3:$D$14</definedName>
    <definedName name="DienstverleningvanBoorspecialisten">Brongegevens!$W$3</definedName>
    <definedName name="DienstverleningvanFinanciëleSpecialistenBancaire">Brongegevens!$Y$3:$Y$6</definedName>
    <definedName name="Digitalenwebanalytics">Brongegevens!$X$3</definedName>
    <definedName name="EDISpecialistenophetgebiedvanEnergieDuurzaamheidenInnovatie">Brongegevens!$AF$3:$AF$4</definedName>
    <definedName name="Facilitairadviseurs">Brongegevens!$Z$3</definedName>
    <definedName name="FacilitairadviseursRVO">Brongegevens!$AA$3:$AA$3</definedName>
    <definedName name="Feestdagen" localSheetId="4">[1]Brongegevens!$I$3:$Q$22</definedName>
    <definedName name="Feestdagen" localSheetId="5">#REF!</definedName>
    <definedName name="Feestdagen">Brongegevens!$J$3:$R$22</definedName>
    <definedName name="FinanciëleAdviesdiensten">Brongegevens!$AB$3:$AB$6</definedName>
    <definedName name="Financieringsexperts">Brongegevens!$Y$3</definedName>
    <definedName name="HumanResourceinhuur">Brongegevens!$AC$15:$AC$17</definedName>
    <definedName name="IndexAudit" localSheetId="5">#REF!</definedName>
    <definedName name="IndexAudit">#REF!</definedName>
    <definedName name="IndexAuditdiensten2022">#REF!</definedName>
    <definedName name="IndexBGTenGIS">#REF!</definedName>
    <definedName name="IndexCommunicatieprofessionals">#REF!</definedName>
    <definedName name="IndexData">#REF!</definedName>
    <definedName name="IndexDienstBoor">#REF!</definedName>
    <definedName name="IndexDienstFinSpec">#REF!</definedName>
    <definedName name="IndexDigitalWebanalytics">#REF!</definedName>
    <definedName name="IndexFaci">#REF!</definedName>
    <definedName name="IndexFaciRvo">#REF!</definedName>
    <definedName name="IndexFinanAdvies">#REF!</definedName>
    <definedName name="IndexHR">#REF!</definedName>
    <definedName name="IndexIMOA">#REF!</definedName>
    <definedName name="IndexInkoopadvies">#REF!</definedName>
    <definedName name="IndexIOC">#REF!</definedName>
    <definedName name="IndexJuridischeCapaciteitArbeidsrechtBedrijfsjuridisch">#REF!</definedName>
    <definedName name="IndexJuridischeCapaciteitBestuursrecht">#REF!</definedName>
    <definedName name="IndexMilieuInspecteurs">#REF!</definedName>
    <definedName name="IndexOnderwijskunde_en_Digitale_leermiddelen">#REF!</definedName>
    <definedName name="IndexOrganisatieadvies">#REF!</definedName>
    <definedName name="IndexSpecEnergDuurzInno">#REF!</definedName>
    <definedName name="IndexTechnische_vergunningverleners">#REF!</definedName>
    <definedName name="IndexWoordvoeringscapaciteit">#REF!</definedName>
    <definedName name="IndexZaakbegeleiders">#REF!</definedName>
    <definedName name="Inkoopadviesdiensten">Brongegevens!$AC$3:$AC$4</definedName>
    <definedName name="Inkoper">Brongegevens!$BL$2:$BL$15</definedName>
    <definedName name="IntegraleoplossingsrichtingOntwerpenConsultvoorIMG">Brongegevens!$Z$13</definedName>
    <definedName name="InterimManagementTussenovereenkomst">Brongegevens!$AD$3:$AD$4</definedName>
    <definedName name="JuridischeCapaciteitArbeidsrechtenBedrijfsjuridisch">Brongegevens!$AE$13:$AE$14</definedName>
    <definedName name="JuridischeCapaciteitBestuursrecht">Brongegevens!$AE$3:$AE$3</definedName>
    <definedName name="KD">'Brongegevens tbv nokgenerator'!$N$2:$N$4</definedName>
    <definedName name="Lijst1" localSheetId="4">[1]Brongegevens!$A$6:$A$7</definedName>
    <definedName name="Lijst1" localSheetId="5">#REF!</definedName>
    <definedName name="Lijst1">Brongegevens!$A$6:$A$7</definedName>
    <definedName name="Lijst2">Brongegevens!$B$6:$B$8</definedName>
    <definedName name="LNV">'Brongegevens tbv nokgenerator'!$O$2:$O$3</definedName>
    <definedName name="Medewerkerslijst">Brongegevens!$BL$2:$BL$15</definedName>
    <definedName name="MilieuInspecteurs">Brongegevens!$AI$3:$AI$3</definedName>
    <definedName name="N.v.t._bij_Woordvoeringscapaciteit">Brongegevens!$AJ$18:$AJ$20</definedName>
    <definedName name="N.v.t.bijBestuursrecht">Brongegevens!$AE$7:$AE$10</definedName>
    <definedName name="N.v.t.bijdataspecialisten">Brongegevens!$V$6:$V$20</definedName>
    <definedName name="N.v.t.bijdienstverleningvanboorspecialisten">Brongegevens!$W$6:$W$9</definedName>
    <definedName name="N.v.t.bijDigitalenwebanalytics">Brongegevens!$X$7:$X$9</definedName>
    <definedName name="N.v.t.bijfacilitairadviseurs">Brongegevens!$Z$6:$Z$9</definedName>
    <definedName name="N.v.t.bijfacilitairadviseursRVO">Brongegevens!$AA$6:$AA$8</definedName>
    <definedName name="N.v.t.bijFinancieringsexperts">Brongegevens!$Y$9:$Y$13</definedName>
    <definedName name="N.v.t.bijHumanResourceinhuur">Brongegevens!$AC$20:$AC$22</definedName>
    <definedName name="N.v.t.bijMilieuInspecteurs">Brongegevens!$AI$7:$AI$8</definedName>
    <definedName name="N.v.t.bijOrganisatieadvies">Brongegevens!$AD$27:$AD$36</definedName>
    <definedName name="N.v.t.bijWoordvoeringscapaciteit">Brongegevens!$AJ$18:$AJ$20</definedName>
    <definedName name="ON_Audit">Leveranciersnamen!$D$2:$D$13</definedName>
    <definedName name="ON_Bancair">Leveranciersnamen!$D$26:$D$30</definedName>
    <definedName name="ON_BGT_en_GIS_specialisten_voor_RVO">Leveranciersnamen!$D$190:$D$196</definedName>
    <definedName name="ON_Boorspecialisten">Leveranciersnamen!$D$24</definedName>
    <definedName name="ON_Communicatie">Leveranciersnamen!$D$138:$D$145</definedName>
    <definedName name="ON_Data_Analist">Leveranciersnamen!$D$15:$D$22</definedName>
    <definedName name="ON_Digital">Leveranciersnamen!$D$188</definedName>
    <definedName name="ON_energie_duurzaamheid_en_innovatie">Leveranciersnamen!$D$127:$D$136</definedName>
    <definedName name="ON_Facilitair">Leveranciersnamen!$D$35:$D$37</definedName>
    <definedName name="ON_FacilitairRVO">Leveranciersnamen!$D$32:$D$33</definedName>
    <definedName name="ON_Financieel">Leveranciersnamen!$D$39:$D$60</definedName>
    <definedName name="ON_Financieringsexperts">Leveranciersnamen!$D$26:$D$30</definedName>
    <definedName name="ON_HumanResourceinhuur">Leveranciersnamen!$D$198:$D$203</definedName>
    <definedName name="ON_IMOA">Leveranciersnamen!$D$74:$D$102</definedName>
    <definedName name="ON_Inkoop">Leveranciersnamen!$D$62:$D$72</definedName>
    <definedName name="ON_IntegraleoplossingsrichtingOntwerpenConsultvoorIMG">Leveranciersnamen!$D$205:$D$207</definedName>
    <definedName name="ON_Juridische_Arbeidsrecht_en_Bedrijfsjuridisch">Leveranciersnamen!$D$112:$D$125</definedName>
    <definedName name="ON_Juridische_Bestuursrecht">Leveranciersnamen!$D$104:$D$110</definedName>
    <definedName name="ON_Milieu">Leveranciersnamen!$D$185:$D$186</definedName>
    <definedName name="ON_Onderwijskundigen">Leveranciersnamen!$D$158:$D$168</definedName>
    <definedName name="ON_Organisatieadvies">Leveranciersnamen!$D$177:$D$181</definedName>
    <definedName name="ON_Vergunningverleners">Leveranciersnamen!$D$170:$D$175</definedName>
    <definedName name="ON_Webredactie" localSheetId="5">#REF!</definedName>
    <definedName name="ON_Webredactie">Leveranciersnamen!#REF!</definedName>
    <definedName name="ON_Woordvoeringscapaciteit">Leveranciersnamen!$D$147</definedName>
    <definedName name="ON_Zaakbegeleiders_in_het_kader_van_de_Aanpak_Stikstof">Leveranciersnamen!$D$209:$D$221</definedName>
    <definedName name="OnderwijskundeenDigitaleLeermiddelen">Brongegevens!$AH$3:$AH$5</definedName>
    <definedName name="Organisatieadvies">Brongegevens!$AD$24</definedName>
    <definedName name="P1_Arbeidsjuridische_Diensten">Brongegevens!$AE$17:$AE$20</definedName>
    <definedName name="P1AdministratieenProcessen">Brongegevens!$AB$10:$AB$13</definedName>
    <definedName name="P1ArbeidsjuridischeDiensten">Brongegevens!$AE$17:$AE$20</definedName>
    <definedName name="P1bemiddelingvanwebredacteuren">Brongegevens!$AH$7:$AH$14</definedName>
    <definedName name="P1Communicatieprofessionals">Brongegevens!$AJ$7:$AJ$10</definedName>
    <definedName name="P1FinanciëlespecalisteninzakeMKBfinancieringen">Brongegevens!$Y$10</definedName>
    <definedName name="P1InhuurAuditdiensten">Brongegevens!$U$8:$U$11</definedName>
    <definedName name="P1Inkoopdiensten">Brongegevens!$AC$8:$AC$11</definedName>
    <definedName name="P1Programmasenopdrachten">Brongegevens!$AF$7:$AF$8</definedName>
    <definedName name="P1StrategischInterimManagement">Brongegevens!$AD$9:$AD$14</definedName>
    <definedName name="P1TechnischeVergunningverlenersMijnbouwvoorKernministerieEZK">Brongegevens!$AG$7:$AG$8</definedName>
    <definedName name="P2_Bedrijfsjuridische_Diensten">Brongegevens!$AE$17:$AE$20</definedName>
    <definedName name="P2_Inhuur_IT_Auditdiensten">Brongegevens!$U$14:$U$17</definedName>
    <definedName name="P2_Strategisch_interim_management_2">Brongegevens!$AD$9:$AD$12</definedName>
    <definedName name="P2_Webredactieprofessionals">Brongegevens!$AJ$7:$AJ$9</definedName>
    <definedName name="P2BedrijfsjuridischeDiensten">Brongegevens!$AE$17:$AE$20</definedName>
    <definedName name="P2Beheerbeleidplanningencontrol">Brongegevens!$AB$10:$AB$13</definedName>
    <definedName name="P2Financiëlespecialisteninzakefinancieringvangrotebedrijven">Brongegevens!$Y$13</definedName>
    <definedName name="P2InhuurITAuditdiensten">Brongegevens!$U$14:$U$17</definedName>
    <definedName name="P2Regelingen">Brongegevens!$AF$13:$AF$15</definedName>
    <definedName name="P2TactischInterimManagement">Brongegevens!$AD$16:$AD$19</definedName>
    <definedName name="P2TechnischeVergunningverlenersMijnbouwvoorSodM">Brongegevens!$AG$14:$AG$15</definedName>
    <definedName name="P2Webredactieprofessionals">Brongegevens!$AJ$7:$AJ$9</definedName>
    <definedName name="P3_Tactisch_interim_management">Brongegevens!$AD$16:$AD$19</definedName>
    <definedName name="P3Contractenleveranciersmanagement">Brongegevens!$AC$8:$AC$11</definedName>
    <definedName name="P3Financiëlespecialisteninzakerisicokapitaalprivateequity">Brongegevens!$Y$16</definedName>
    <definedName name="P3ITAudit" localSheetId="5">#REF!</definedName>
    <definedName name="P3ITAudit">Brongegevens!#REF!</definedName>
    <definedName name="P3Onderwijskundigediensten">Brongegevens!$AH$10:$AH$14</definedName>
    <definedName name="P3Subsidieondersteuning">Brongegevens!$AB$10:$AB$13</definedName>
    <definedName name="P3Tactischinterimmanagement">Brongegevens!$AD$16:$AD$19</definedName>
    <definedName name="P4Didactischetrainingsdiensten">Brongegevens!$AH$17:$AH$19</definedName>
    <definedName name="P4financiëleadviesdienstenfiscaal">Brongegevens!$AB$16:$AB$18</definedName>
    <definedName name="P4Financiëlespecialistenmetaanvullendebenodigdeexpertise">Brongegevens!$Y$19:$Y$21</definedName>
    <definedName name="P5Maatwerkdigitaleleeractiviteiten">Brongegevens!$AH$22:$AH$25</definedName>
    <definedName name="Perceel1inhuurvanBGTspecialisten">Brongegevens!$AI$20</definedName>
    <definedName name="Perceel1Noord.GroningenFrieslandDrentheenOverijssel">Brongegevens!$AI$34:$AI$35</definedName>
    <definedName name="Perceel2inhuurvanGISspecialisten">Brongegevens!$AI$23:$AI$25</definedName>
    <definedName name="Perceel2Oost.GelderlandenUtrechtOost">Brongegevens!$AI$34:$AI$35</definedName>
    <definedName name="Perceel3Consult">Brongegevens!$Z$16:$Z$22</definedName>
    <definedName name="Perceel3Zuid.LimburgenNoordBrabant">Brongegevens!$AI$34:$AI$35</definedName>
    <definedName name="Perceel4West.NoordHollandZuidHollandFlevolandZeelandenUtrechtOverig">Brongegevens!$AI$34:$AI$35</definedName>
    <definedName name="Raamovereenkomsten" localSheetId="4">[1]Brongegevens!$R$3:$R$12</definedName>
    <definedName name="Raamovereenkomsten" localSheetId="5">#REF!</definedName>
    <definedName name="Raamovereenkomsten">Brongegevens!$S$3:$S$25</definedName>
    <definedName name="RDI">Brongegevens!$BO$3:$BO$4</definedName>
    <definedName name="RVO">Brongegevens!$BN$3:$BN$7</definedName>
    <definedName name="Specialistenophetvlakvanenergieenduurzaamheideninnovatie">Brongegevens!$AF$3:$AF$4</definedName>
    <definedName name="Status_Aanvraag" localSheetId="4">[1]Brongegevens!$A$12:$A$15</definedName>
    <definedName name="Status_Aanvraag" localSheetId="5">#REF!</definedName>
    <definedName name="Status_Aanvraag">Brongegevens!$A$12:$A$15</definedName>
    <definedName name="Status_kandidaat" localSheetId="4">[1]Brongegevens!$B$12:$B$16</definedName>
    <definedName name="Status_kandidaat" localSheetId="5">#REF!</definedName>
    <definedName name="Status_kandidaat">Brongegevens!$B$12:$B$16</definedName>
    <definedName name="Vergunningverleners">Brongegevens!$AG$3:$AG$4</definedName>
    <definedName name="WerkveldHumanResourcesAlgemeen">Brongegevens!$AC$20:$AC$22</definedName>
    <definedName name="WerkveldMobiliteit">Brongegevens!$AC$20:$AC$22</definedName>
    <definedName name="WerkveldWervingenSelectie">Brongegevens!$AC$20:$AC$22</definedName>
    <definedName name="Woordvoeringscapaciteit">Brongegevens!$AJ$15</definedName>
    <definedName name="Z_CA546172_0AA0_4956_873D_5C937D195097_.wvu.PrintArea" localSheetId="0" hidden="1">'Aanvraag inhuur'!$A$1:$I$148</definedName>
    <definedName name="Z_CA546172_0AA0_4956_873D_5C937D195097_.wvu.PrintArea" localSheetId="3" hidden="1">Beoordelingsformulier!$A$1:$Z$102</definedName>
    <definedName name="Z_CA546172_0AA0_4956_873D_5C937D195097_.wvu.PrintArea" localSheetId="2" hidden="1">Offerteformulier!$A$1:$J$85</definedName>
    <definedName name="Z_CA546172_0AA0_4956_873D_5C937D195097_.wvu.PrintArea" localSheetId="1" hidden="1">'Overzicht inhuurdesk'!$A$1:$Y$103</definedName>
    <definedName name="Z_CA546172_0AA0_4956_873D_5C937D195097_.wvu.PrintTitles" localSheetId="0" hidden="1">'Aanvraag inhuur'!$1:$2</definedName>
    <definedName name="Z_CA546172_0AA0_4956_873D_5C937D195097_.wvu.PrintTitles" localSheetId="3" hidden="1">Beoordelingsformulier!$1:$13</definedName>
    <definedName name="Z_CA546172_0AA0_4956_873D_5C937D195097_.wvu.PrintTitles" localSheetId="2" hidden="1">Offerteformulier!$1:$3</definedName>
    <definedName name="Z_CA546172_0AA0_4956_873D_5C937D195097_.wvu.PrintTitles" localSheetId="1" hidden="1">'Overzicht inhuurdesk'!$1:$2</definedName>
    <definedName name="Z_CA546172_0AA0_4956_873D_5C937D195097_.wvu.Rows" localSheetId="0" hidden="1">'Aanvraag inhuur'!$114:$114,'Aanvraag inhuur'!$119:$120,'Aanvraag inhuur'!#REF!</definedName>
    <definedName name="Z_CA546172_0AA0_4956_873D_5C937D195097_.wvu.Rows" localSheetId="2" hidden="1">Offerteformulier!$72:$73,Offerteformulier!$75:$78</definedName>
    <definedName name="ZaakbegeleidersinhetkadervandeAanpakStikstof">Brongegevens!$AI$28:$AI$31</definedName>
  </definedNames>
  <calcPr calcId="191029"/>
  <customWorkbookViews>
    <customWorkbookView name="Laar - Horeweg, E. BEc van de (Elien) - Persoonlijke weergave" guid="{CA546172-0AA0-4956-873D-5C937D195097}" mergeInterval="0" personalView="1" windowWidth="2580" windowHeight="2100" tabRatio="749"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0" i="1" l="1"/>
  <c r="C28" i="1"/>
  <c r="A55" i="8"/>
  <c r="A60" i="8" l="1"/>
  <c r="A54" i="8"/>
  <c r="A198" i="8" l="1"/>
  <c r="A199" i="8"/>
  <c r="A200" i="8"/>
  <c r="A201" i="8"/>
  <c r="A202" i="8"/>
  <c r="A203" i="8"/>
  <c r="A205" i="8"/>
  <c r="A206" i="8"/>
  <c r="A207" i="8"/>
  <c r="A218" i="8"/>
  <c r="A219" i="8"/>
  <c r="A220" i="8"/>
  <c r="A221" i="8"/>
  <c r="A217" i="8"/>
  <c r="A216" i="8"/>
  <c r="A215" i="8"/>
  <c r="A214" i="8"/>
  <c r="A213" i="8"/>
  <c r="A212" i="8"/>
  <c r="A211" i="8"/>
  <c r="A210" i="8"/>
  <c r="A209" i="8"/>
  <c r="A194" i="8"/>
  <c r="A195" i="8"/>
  <c r="A196" i="8"/>
  <c r="A191" i="8"/>
  <c r="A192" i="8"/>
  <c r="A193" i="8"/>
  <c r="A190" i="8"/>
  <c r="A186" i="8"/>
  <c r="O15" i="4"/>
  <c r="C137" i="1"/>
  <c r="C138" i="1" s="1"/>
  <c r="J2" i="13" l="1"/>
  <c r="K2" i="13"/>
  <c r="L2" i="13"/>
  <c r="N2" i="13"/>
  <c r="A4" i="13"/>
  <c r="B4" i="13"/>
  <c r="C4" i="13"/>
  <c r="D4" i="13"/>
  <c r="E4" i="13"/>
  <c r="G2" i="13"/>
  <c r="G4" i="13"/>
  <c r="H4" i="13"/>
  <c r="O4" i="13"/>
  <c r="P4" i="13"/>
  <c r="R4" i="13"/>
  <c r="X4" i="13"/>
  <c r="Y4" i="13"/>
  <c r="Z4" i="13"/>
  <c r="AA4" i="13"/>
  <c r="AB4" i="13"/>
  <c r="AC4" i="13"/>
  <c r="AF4" i="13"/>
  <c r="AG4" i="13"/>
  <c r="A5" i="13"/>
  <c r="B5" i="13"/>
  <c r="C5" i="13"/>
  <c r="D5" i="13"/>
  <c r="E5" i="13"/>
  <c r="F5" i="13"/>
  <c r="G5" i="13"/>
  <c r="H5" i="13"/>
  <c r="I5" i="13"/>
  <c r="O5" i="13"/>
  <c r="P5" i="13"/>
  <c r="R5" i="13"/>
  <c r="T5" i="13"/>
  <c r="U5" i="13"/>
  <c r="V5" i="13"/>
  <c r="W5" i="13"/>
  <c r="X5" i="13"/>
  <c r="Y5" i="13"/>
  <c r="Z5" i="13"/>
  <c r="AA5" i="13"/>
  <c r="AB5" i="13"/>
  <c r="AC5" i="13"/>
  <c r="AF5" i="13"/>
  <c r="AG5" i="13"/>
  <c r="A6" i="13"/>
  <c r="B6" i="13"/>
  <c r="C6" i="13"/>
  <c r="D6" i="13"/>
  <c r="E6" i="13"/>
  <c r="F6" i="13"/>
  <c r="G6" i="13"/>
  <c r="H6" i="13"/>
  <c r="I6" i="13"/>
  <c r="O6" i="13"/>
  <c r="P6" i="13"/>
  <c r="R6" i="13"/>
  <c r="T6" i="13"/>
  <c r="U6" i="13"/>
  <c r="V6" i="13"/>
  <c r="W6" i="13"/>
  <c r="X6" i="13"/>
  <c r="Y6" i="13"/>
  <c r="Z6" i="13"/>
  <c r="AA6" i="13"/>
  <c r="AB6" i="13"/>
  <c r="AC6" i="13"/>
  <c r="AF6" i="13"/>
  <c r="AG6" i="13"/>
  <c r="A7" i="13"/>
  <c r="B7" i="13"/>
  <c r="C7" i="13"/>
  <c r="D7" i="13"/>
  <c r="E7" i="13"/>
  <c r="F7" i="13"/>
  <c r="G7" i="13"/>
  <c r="H7" i="13"/>
  <c r="I7" i="13"/>
  <c r="O7" i="13"/>
  <c r="P7" i="13"/>
  <c r="R7" i="13"/>
  <c r="T7" i="13"/>
  <c r="U7" i="13"/>
  <c r="V7" i="13"/>
  <c r="W7" i="13"/>
  <c r="X7" i="13"/>
  <c r="Y7" i="13"/>
  <c r="Z7" i="13"/>
  <c r="AA7" i="13"/>
  <c r="AB7" i="13"/>
  <c r="AC7" i="13"/>
  <c r="AF7" i="13"/>
  <c r="AG7" i="13"/>
  <c r="A8" i="13"/>
  <c r="B8" i="13"/>
  <c r="C8" i="13"/>
  <c r="D8" i="13"/>
  <c r="E8" i="13"/>
  <c r="F8" i="13"/>
  <c r="G8" i="13"/>
  <c r="H8" i="13"/>
  <c r="I8" i="13"/>
  <c r="O8" i="13"/>
  <c r="P8" i="13"/>
  <c r="R8" i="13"/>
  <c r="T8" i="13"/>
  <c r="U8" i="13"/>
  <c r="V8" i="13"/>
  <c r="W8" i="13"/>
  <c r="X8" i="13"/>
  <c r="Y8" i="13"/>
  <c r="Z8" i="13"/>
  <c r="AA8" i="13"/>
  <c r="AB8" i="13"/>
  <c r="AC8" i="13"/>
  <c r="AF8" i="13"/>
  <c r="AG8" i="13"/>
  <c r="A9" i="13"/>
  <c r="B9" i="13"/>
  <c r="C9" i="13"/>
  <c r="D9" i="13"/>
  <c r="E9" i="13"/>
  <c r="F9" i="13"/>
  <c r="G9" i="13"/>
  <c r="H9" i="13"/>
  <c r="I9" i="13"/>
  <c r="O9" i="13"/>
  <c r="P9" i="13"/>
  <c r="R9" i="13"/>
  <c r="T9" i="13"/>
  <c r="U9" i="13"/>
  <c r="V9" i="13"/>
  <c r="W9" i="13"/>
  <c r="X9" i="13"/>
  <c r="Y9" i="13"/>
  <c r="Z9" i="13"/>
  <c r="AA9" i="13"/>
  <c r="AB9" i="13"/>
  <c r="AC9" i="13"/>
  <c r="AF9" i="13"/>
  <c r="AG9" i="13"/>
  <c r="A10" i="13"/>
  <c r="B10" i="13"/>
  <c r="C10" i="13"/>
  <c r="D10" i="13"/>
  <c r="E10" i="13"/>
  <c r="F10" i="13"/>
  <c r="G10" i="13"/>
  <c r="H10" i="13"/>
  <c r="I10" i="13"/>
  <c r="O10" i="13"/>
  <c r="P10" i="13"/>
  <c r="R10" i="13"/>
  <c r="T10" i="13"/>
  <c r="U10" i="13"/>
  <c r="V10" i="13"/>
  <c r="W10" i="13"/>
  <c r="X10" i="13"/>
  <c r="Y10" i="13"/>
  <c r="Z10" i="13"/>
  <c r="AA10" i="13"/>
  <c r="AB10" i="13"/>
  <c r="AC10" i="13"/>
  <c r="AF10" i="13"/>
  <c r="AG10" i="13"/>
  <c r="A11" i="13"/>
  <c r="B11" i="13"/>
  <c r="C11" i="13"/>
  <c r="D11" i="13"/>
  <c r="E11" i="13"/>
  <c r="F11" i="13"/>
  <c r="G11" i="13"/>
  <c r="H11" i="13"/>
  <c r="I11" i="13"/>
  <c r="O11" i="13"/>
  <c r="P11" i="13"/>
  <c r="R11" i="13"/>
  <c r="T11" i="13"/>
  <c r="U11" i="13"/>
  <c r="V11" i="13"/>
  <c r="W11" i="13"/>
  <c r="X11" i="13"/>
  <c r="Y11" i="13"/>
  <c r="Z11" i="13"/>
  <c r="AA11" i="13"/>
  <c r="AB11" i="13"/>
  <c r="AC11" i="13"/>
  <c r="AF11" i="13"/>
  <c r="AG11" i="13"/>
  <c r="A12" i="13"/>
  <c r="B12" i="13"/>
  <c r="C12" i="13"/>
  <c r="D12" i="13"/>
  <c r="E12" i="13"/>
  <c r="F12" i="13"/>
  <c r="G12" i="13"/>
  <c r="H12" i="13"/>
  <c r="I12" i="13"/>
  <c r="O12" i="13"/>
  <c r="P12" i="13"/>
  <c r="R12" i="13"/>
  <c r="T12" i="13"/>
  <c r="U12" i="13"/>
  <c r="V12" i="13"/>
  <c r="W12" i="13"/>
  <c r="X12" i="13"/>
  <c r="Y12" i="13"/>
  <c r="Z12" i="13"/>
  <c r="AA12" i="13"/>
  <c r="AB12" i="13"/>
  <c r="AC12" i="13"/>
  <c r="AF12" i="13"/>
  <c r="AG12" i="13"/>
  <c r="A13" i="13"/>
  <c r="B13" i="13"/>
  <c r="C13" i="13"/>
  <c r="D13" i="13"/>
  <c r="E13" i="13"/>
  <c r="F13" i="13"/>
  <c r="G13" i="13"/>
  <c r="H13" i="13"/>
  <c r="I13" i="13"/>
  <c r="O13" i="13"/>
  <c r="P13" i="13"/>
  <c r="R13" i="13"/>
  <c r="T13" i="13"/>
  <c r="U13" i="13"/>
  <c r="V13" i="13"/>
  <c r="W13" i="13"/>
  <c r="X13" i="13"/>
  <c r="Y13" i="13"/>
  <c r="Z13" i="13"/>
  <c r="AA13" i="13"/>
  <c r="AB13" i="13"/>
  <c r="AC13" i="13"/>
  <c r="AF13" i="13"/>
  <c r="AG13" i="13"/>
  <c r="A14" i="13"/>
  <c r="B14" i="13"/>
  <c r="C14" i="13"/>
  <c r="D14" i="13"/>
  <c r="E14" i="13"/>
  <c r="F14" i="13"/>
  <c r="G14" i="13"/>
  <c r="H14" i="13"/>
  <c r="I14" i="13"/>
  <c r="O14" i="13"/>
  <c r="P14" i="13"/>
  <c r="R14" i="13"/>
  <c r="T14" i="13"/>
  <c r="U14" i="13"/>
  <c r="V14" i="13"/>
  <c r="W14" i="13"/>
  <c r="X14" i="13"/>
  <c r="Y14" i="13"/>
  <c r="Z14" i="13"/>
  <c r="AA14" i="13"/>
  <c r="AB14" i="13"/>
  <c r="AC14" i="13"/>
  <c r="AF14" i="13"/>
  <c r="AG14" i="13"/>
  <c r="A15" i="13"/>
  <c r="B15" i="13"/>
  <c r="C15" i="13"/>
  <c r="D15" i="13"/>
  <c r="E15" i="13"/>
  <c r="F15" i="13"/>
  <c r="G15" i="13"/>
  <c r="H15" i="13"/>
  <c r="I15" i="13"/>
  <c r="O15" i="13"/>
  <c r="P15" i="13"/>
  <c r="R15" i="13"/>
  <c r="T15" i="13"/>
  <c r="U15" i="13"/>
  <c r="V15" i="13"/>
  <c r="W15" i="13"/>
  <c r="X15" i="13"/>
  <c r="Y15" i="13"/>
  <c r="Z15" i="13"/>
  <c r="AA15" i="13"/>
  <c r="AB15" i="13"/>
  <c r="AC15" i="13"/>
  <c r="AF15" i="13"/>
  <c r="AG15" i="13"/>
  <c r="A16" i="13"/>
  <c r="B16" i="13"/>
  <c r="C16" i="13"/>
  <c r="D16" i="13"/>
  <c r="E16" i="13"/>
  <c r="F16" i="13"/>
  <c r="G16" i="13"/>
  <c r="H16" i="13"/>
  <c r="I16" i="13"/>
  <c r="O16" i="13"/>
  <c r="P16" i="13"/>
  <c r="R16" i="13"/>
  <c r="T16" i="13"/>
  <c r="U16" i="13"/>
  <c r="V16" i="13"/>
  <c r="W16" i="13"/>
  <c r="X16" i="13"/>
  <c r="Y16" i="13"/>
  <c r="Z16" i="13"/>
  <c r="AA16" i="13"/>
  <c r="AB16" i="13"/>
  <c r="AC16" i="13"/>
  <c r="AF16" i="13"/>
  <c r="AG16" i="13"/>
  <c r="A17" i="13"/>
  <c r="B17" i="13"/>
  <c r="C17" i="13"/>
  <c r="D17" i="13"/>
  <c r="E17" i="13"/>
  <c r="F17" i="13"/>
  <c r="G17" i="13"/>
  <c r="H17" i="13"/>
  <c r="I17" i="13"/>
  <c r="O17" i="13"/>
  <c r="P17" i="13"/>
  <c r="R17" i="13"/>
  <c r="T17" i="13"/>
  <c r="U17" i="13"/>
  <c r="V17" i="13"/>
  <c r="W17" i="13"/>
  <c r="X17" i="13"/>
  <c r="Y17" i="13"/>
  <c r="Z17" i="13"/>
  <c r="AA17" i="13"/>
  <c r="AB17" i="13"/>
  <c r="AC17" i="13"/>
  <c r="AF17" i="13"/>
  <c r="AG17" i="13"/>
  <c r="A18" i="13"/>
  <c r="B18" i="13"/>
  <c r="C18" i="13"/>
  <c r="D18" i="13"/>
  <c r="E18" i="13"/>
  <c r="F18" i="13"/>
  <c r="G18" i="13"/>
  <c r="H18" i="13"/>
  <c r="I18" i="13"/>
  <c r="O18" i="13"/>
  <c r="P18" i="13"/>
  <c r="R18" i="13"/>
  <c r="T18" i="13"/>
  <c r="U18" i="13"/>
  <c r="V18" i="13"/>
  <c r="W18" i="13"/>
  <c r="X18" i="13"/>
  <c r="Y18" i="13"/>
  <c r="Z18" i="13"/>
  <c r="AA18" i="13"/>
  <c r="AB18" i="13"/>
  <c r="AC18" i="13"/>
  <c r="AF18" i="13"/>
  <c r="AG18" i="13"/>
  <c r="A19" i="13"/>
  <c r="B19" i="13"/>
  <c r="C19" i="13"/>
  <c r="D19" i="13"/>
  <c r="E19" i="13"/>
  <c r="F19" i="13"/>
  <c r="G19" i="13"/>
  <c r="H19" i="13"/>
  <c r="I19" i="13"/>
  <c r="O19" i="13"/>
  <c r="P19" i="13"/>
  <c r="R19" i="13"/>
  <c r="T19" i="13"/>
  <c r="U19" i="13"/>
  <c r="V19" i="13"/>
  <c r="W19" i="13"/>
  <c r="X19" i="13"/>
  <c r="Y19" i="13"/>
  <c r="Z19" i="13"/>
  <c r="AA19" i="13"/>
  <c r="AB19" i="13"/>
  <c r="AC19" i="13"/>
  <c r="AF19" i="13"/>
  <c r="AG19" i="13"/>
  <c r="A20" i="13"/>
  <c r="B20" i="13"/>
  <c r="C20" i="13"/>
  <c r="D20" i="13"/>
  <c r="E20" i="13"/>
  <c r="F20" i="13"/>
  <c r="G20" i="13"/>
  <c r="H20" i="13"/>
  <c r="I20" i="13"/>
  <c r="O20" i="13"/>
  <c r="P20" i="13"/>
  <c r="R20" i="13"/>
  <c r="T20" i="13"/>
  <c r="U20" i="13"/>
  <c r="V20" i="13"/>
  <c r="W20" i="13"/>
  <c r="X20" i="13"/>
  <c r="Y20" i="13"/>
  <c r="Z20" i="13"/>
  <c r="AA20" i="13"/>
  <c r="AB20" i="13"/>
  <c r="AC20" i="13"/>
  <c r="AF20" i="13"/>
  <c r="AG20" i="13"/>
  <c r="A21" i="13"/>
  <c r="B21" i="13"/>
  <c r="C21" i="13"/>
  <c r="D21" i="13"/>
  <c r="E21" i="13"/>
  <c r="F21" i="13"/>
  <c r="G21" i="13"/>
  <c r="H21" i="13"/>
  <c r="I21" i="13"/>
  <c r="O21" i="13"/>
  <c r="P21" i="13"/>
  <c r="R21" i="13"/>
  <c r="T21" i="13"/>
  <c r="U21" i="13"/>
  <c r="V21" i="13"/>
  <c r="W21" i="13"/>
  <c r="X21" i="13"/>
  <c r="Y21" i="13"/>
  <c r="Z21" i="13"/>
  <c r="AA21" i="13"/>
  <c r="AB21" i="13"/>
  <c r="AC21" i="13"/>
  <c r="AF21" i="13"/>
  <c r="AG21" i="13"/>
  <c r="A22" i="13"/>
  <c r="B22" i="13"/>
  <c r="C22" i="13"/>
  <c r="D22" i="13"/>
  <c r="E22" i="13"/>
  <c r="F22" i="13"/>
  <c r="G22" i="13"/>
  <c r="H22" i="13"/>
  <c r="I22" i="13"/>
  <c r="O22" i="13"/>
  <c r="P22" i="13"/>
  <c r="R22" i="13"/>
  <c r="T22" i="13"/>
  <c r="U22" i="13"/>
  <c r="V22" i="13"/>
  <c r="W22" i="13"/>
  <c r="X22" i="13"/>
  <c r="Y22" i="13"/>
  <c r="Z22" i="13"/>
  <c r="AA22" i="13"/>
  <c r="AB22" i="13"/>
  <c r="AC22" i="13"/>
  <c r="AF22" i="13"/>
  <c r="AG22" i="13"/>
  <c r="A23" i="13"/>
  <c r="B23" i="13"/>
  <c r="C23" i="13"/>
  <c r="D23" i="13"/>
  <c r="E23" i="13"/>
  <c r="F23" i="13"/>
  <c r="G23" i="13"/>
  <c r="H23" i="13"/>
  <c r="I23" i="13"/>
  <c r="O23" i="13"/>
  <c r="P23" i="13"/>
  <c r="R23" i="13"/>
  <c r="T23" i="13"/>
  <c r="U23" i="13"/>
  <c r="V23" i="13"/>
  <c r="W23" i="13"/>
  <c r="X23" i="13"/>
  <c r="Y23" i="13"/>
  <c r="Z23" i="13"/>
  <c r="AA23" i="13"/>
  <c r="AB23" i="13"/>
  <c r="AC23" i="13"/>
  <c r="AF23" i="13"/>
  <c r="AG23" i="13"/>
  <c r="A24" i="13"/>
  <c r="B24" i="13"/>
  <c r="C24" i="13"/>
  <c r="D24" i="13"/>
  <c r="E24" i="13"/>
  <c r="F24" i="13"/>
  <c r="G24" i="13"/>
  <c r="H24" i="13"/>
  <c r="I24" i="13"/>
  <c r="O24" i="13"/>
  <c r="P24" i="13"/>
  <c r="R24" i="13"/>
  <c r="T24" i="13"/>
  <c r="U24" i="13"/>
  <c r="V24" i="13"/>
  <c r="W24" i="13"/>
  <c r="X24" i="13"/>
  <c r="Y24" i="13"/>
  <c r="Z24" i="13"/>
  <c r="AA24" i="13"/>
  <c r="AB24" i="13"/>
  <c r="AC24" i="13"/>
  <c r="AF24" i="13"/>
  <c r="AG24" i="13"/>
  <c r="A25" i="13"/>
  <c r="B25" i="13"/>
  <c r="C25" i="13"/>
  <c r="D25" i="13"/>
  <c r="E25" i="13"/>
  <c r="F25" i="13"/>
  <c r="G25" i="13"/>
  <c r="H25" i="13"/>
  <c r="I25" i="13"/>
  <c r="O25" i="13"/>
  <c r="P25" i="13"/>
  <c r="R25" i="13"/>
  <c r="T25" i="13"/>
  <c r="U25" i="13"/>
  <c r="V25" i="13"/>
  <c r="W25" i="13"/>
  <c r="X25" i="13"/>
  <c r="Y25" i="13"/>
  <c r="Z25" i="13"/>
  <c r="AA25" i="13"/>
  <c r="AB25" i="13"/>
  <c r="AC25" i="13"/>
  <c r="AF25" i="13"/>
  <c r="AG25" i="13"/>
  <c r="A26" i="13"/>
  <c r="B26" i="13"/>
  <c r="C26" i="13"/>
  <c r="D26" i="13"/>
  <c r="E26" i="13"/>
  <c r="F26" i="13"/>
  <c r="G26" i="13"/>
  <c r="H26" i="13"/>
  <c r="I26" i="13"/>
  <c r="O26" i="13"/>
  <c r="P26" i="13"/>
  <c r="R26" i="13"/>
  <c r="T26" i="13"/>
  <c r="U26" i="13"/>
  <c r="V26" i="13"/>
  <c r="W26" i="13"/>
  <c r="X26" i="13"/>
  <c r="Y26" i="13"/>
  <c r="Z26" i="13"/>
  <c r="AA26" i="13"/>
  <c r="AB26" i="13"/>
  <c r="AC26" i="13"/>
  <c r="AF26" i="13"/>
  <c r="AG26" i="13"/>
  <c r="A27" i="13"/>
  <c r="B27" i="13"/>
  <c r="C27" i="13"/>
  <c r="D27" i="13"/>
  <c r="E27" i="13"/>
  <c r="F27" i="13"/>
  <c r="G27" i="13"/>
  <c r="H27" i="13"/>
  <c r="I27" i="13"/>
  <c r="O27" i="13"/>
  <c r="P27" i="13"/>
  <c r="R27" i="13"/>
  <c r="T27" i="13"/>
  <c r="U27" i="13"/>
  <c r="V27" i="13"/>
  <c r="W27" i="13"/>
  <c r="X27" i="13"/>
  <c r="Y27" i="13"/>
  <c r="Z27" i="13"/>
  <c r="AA27" i="13"/>
  <c r="AB27" i="13"/>
  <c r="AC27" i="13"/>
  <c r="AF27" i="13"/>
  <c r="AG27" i="13"/>
  <c r="A28" i="13"/>
  <c r="B28" i="13"/>
  <c r="C28" i="13"/>
  <c r="D28" i="13"/>
  <c r="E28" i="13"/>
  <c r="F28" i="13"/>
  <c r="G28" i="13"/>
  <c r="H28" i="13"/>
  <c r="I28" i="13"/>
  <c r="O28" i="13"/>
  <c r="P28" i="13"/>
  <c r="R28" i="13"/>
  <c r="T28" i="13"/>
  <c r="U28" i="13"/>
  <c r="V28" i="13"/>
  <c r="W28" i="13"/>
  <c r="X28" i="13"/>
  <c r="Y28" i="13"/>
  <c r="Z28" i="13"/>
  <c r="AA28" i="13"/>
  <c r="AB28" i="13"/>
  <c r="AC28" i="13"/>
  <c r="AF28" i="13"/>
  <c r="AG28" i="13"/>
  <c r="A29" i="13"/>
  <c r="B29" i="13"/>
  <c r="C29" i="13"/>
  <c r="D29" i="13"/>
  <c r="E29" i="13"/>
  <c r="F29" i="13"/>
  <c r="G29" i="13"/>
  <c r="H29" i="13"/>
  <c r="I29" i="13"/>
  <c r="O29" i="13"/>
  <c r="P29" i="13"/>
  <c r="R29" i="13"/>
  <c r="T29" i="13"/>
  <c r="U29" i="13"/>
  <c r="V29" i="13"/>
  <c r="W29" i="13"/>
  <c r="X29" i="13"/>
  <c r="Y29" i="13"/>
  <c r="Z29" i="13"/>
  <c r="AA29" i="13"/>
  <c r="AB29" i="13"/>
  <c r="AC29" i="13"/>
  <c r="AF29" i="13"/>
  <c r="AG29" i="13"/>
  <c r="A30" i="13"/>
  <c r="B30" i="13"/>
  <c r="C30" i="13"/>
  <c r="D30" i="13"/>
  <c r="E30" i="13"/>
  <c r="F30" i="13"/>
  <c r="G30" i="13"/>
  <c r="H30" i="13"/>
  <c r="I30" i="13"/>
  <c r="O30" i="13"/>
  <c r="P30" i="13"/>
  <c r="R30" i="13"/>
  <c r="T30" i="13"/>
  <c r="U30" i="13"/>
  <c r="V30" i="13"/>
  <c r="W30" i="13"/>
  <c r="X30" i="13"/>
  <c r="Y30" i="13"/>
  <c r="Z30" i="13"/>
  <c r="AA30" i="13"/>
  <c r="AB30" i="13"/>
  <c r="AC30" i="13"/>
  <c r="AF30" i="13"/>
  <c r="AG30" i="13"/>
  <c r="A31" i="13"/>
  <c r="B31" i="13"/>
  <c r="C31" i="13"/>
  <c r="D31" i="13"/>
  <c r="E31" i="13"/>
  <c r="F31" i="13"/>
  <c r="G31" i="13"/>
  <c r="H31" i="13"/>
  <c r="I31" i="13"/>
  <c r="O31" i="13"/>
  <c r="P31" i="13"/>
  <c r="R31" i="13"/>
  <c r="T31" i="13"/>
  <c r="U31" i="13"/>
  <c r="V31" i="13"/>
  <c r="W31" i="13"/>
  <c r="X31" i="13"/>
  <c r="Y31" i="13"/>
  <c r="Z31" i="13"/>
  <c r="AA31" i="13"/>
  <c r="AB31" i="13"/>
  <c r="AC31" i="13"/>
  <c r="AF31" i="13"/>
  <c r="AG31" i="13"/>
  <c r="A32" i="13"/>
  <c r="B32" i="13"/>
  <c r="C32" i="13"/>
  <c r="D32" i="13"/>
  <c r="E32" i="13"/>
  <c r="F32" i="13"/>
  <c r="G32" i="13"/>
  <c r="H32" i="13"/>
  <c r="I32" i="13"/>
  <c r="O32" i="13"/>
  <c r="P32" i="13"/>
  <c r="R32" i="13"/>
  <c r="T32" i="13"/>
  <c r="U32" i="13"/>
  <c r="V32" i="13"/>
  <c r="W32" i="13"/>
  <c r="X32" i="13"/>
  <c r="Y32" i="13"/>
  <c r="Z32" i="13"/>
  <c r="AA32" i="13"/>
  <c r="AB32" i="13"/>
  <c r="AC32" i="13"/>
  <c r="AF32" i="13"/>
  <c r="AG32" i="13"/>
  <c r="A33" i="13"/>
  <c r="B33" i="13"/>
  <c r="C33" i="13"/>
  <c r="D33" i="13"/>
  <c r="E33" i="13"/>
  <c r="F33" i="13"/>
  <c r="G33" i="13"/>
  <c r="H33" i="13"/>
  <c r="I33" i="13"/>
  <c r="O33" i="13"/>
  <c r="P33" i="13"/>
  <c r="R33" i="13"/>
  <c r="T33" i="13"/>
  <c r="U33" i="13"/>
  <c r="V33" i="13"/>
  <c r="W33" i="13"/>
  <c r="X33" i="13"/>
  <c r="Y33" i="13"/>
  <c r="Z33" i="13"/>
  <c r="AA33" i="13"/>
  <c r="AB33" i="13"/>
  <c r="AC33" i="13"/>
  <c r="AF33" i="13"/>
  <c r="AG33" i="13"/>
  <c r="A34" i="13"/>
  <c r="B34" i="13"/>
  <c r="C34" i="13"/>
  <c r="D34" i="13"/>
  <c r="E34" i="13"/>
  <c r="F34" i="13"/>
  <c r="G34" i="13"/>
  <c r="H34" i="13"/>
  <c r="I34" i="13"/>
  <c r="O34" i="13"/>
  <c r="P34" i="13"/>
  <c r="R34" i="13"/>
  <c r="T34" i="13"/>
  <c r="U34" i="13"/>
  <c r="V34" i="13"/>
  <c r="W34" i="13"/>
  <c r="X34" i="13"/>
  <c r="Y34" i="13"/>
  <c r="Z34" i="13"/>
  <c r="AA34" i="13"/>
  <c r="AB34" i="13"/>
  <c r="AC34" i="13"/>
  <c r="AF34" i="13"/>
  <c r="AG34" i="13"/>
  <c r="A35" i="13"/>
  <c r="B35" i="13"/>
  <c r="C35" i="13"/>
  <c r="D35" i="13"/>
  <c r="E35" i="13"/>
  <c r="F35" i="13"/>
  <c r="G35" i="13"/>
  <c r="H35" i="13"/>
  <c r="I35" i="13"/>
  <c r="O35" i="13"/>
  <c r="P35" i="13"/>
  <c r="R35" i="13"/>
  <c r="T35" i="13"/>
  <c r="U35" i="13"/>
  <c r="V35" i="13"/>
  <c r="W35" i="13"/>
  <c r="X35" i="13"/>
  <c r="Y35" i="13"/>
  <c r="Z35" i="13"/>
  <c r="AA35" i="13"/>
  <c r="AB35" i="13"/>
  <c r="AC35" i="13"/>
  <c r="AF35" i="13"/>
  <c r="AG35" i="13"/>
  <c r="A36" i="13"/>
  <c r="B36" i="13"/>
  <c r="C36" i="13"/>
  <c r="D36" i="13"/>
  <c r="E36" i="13"/>
  <c r="F36" i="13"/>
  <c r="G36" i="13"/>
  <c r="H36" i="13"/>
  <c r="I36" i="13"/>
  <c r="O36" i="13"/>
  <c r="P36" i="13"/>
  <c r="R36" i="13"/>
  <c r="T36" i="13"/>
  <c r="U36" i="13"/>
  <c r="V36" i="13"/>
  <c r="W36" i="13"/>
  <c r="X36" i="13"/>
  <c r="Y36" i="13"/>
  <c r="Z36" i="13"/>
  <c r="AA36" i="13"/>
  <c r="AB36" i="13"/>
  <c r="AC36" i="13"/>
  <c r="AF36" i="13"/>
  <c r="AG36" i="13"/>
  <c r="A37" i="13"/>
  <c r="B37" i="13"/>
  <c r="C37" i="13"/>
  <c r="D37" i="13"/>
  <c r="E37" i="13"/>
  <c r="F37" i="13"/>
  <c r="G37" i="13"/>
  <c r="H37" i="13"/>
  <c r="I37" i="13"/>
  <c r="O37" i="13"/>
  <c r="P37" i="13"/>
  <c r="R37" i="13"/>
  <c r="T37" i="13"/>
  <c r="U37" i="13"/>
  <c r="V37" i="13"/>
  <c r="W37" i="13"/>
  <c r="X37" i="13"/>
  <c r="Y37" i="13"/>
  <c r="Z37" i="13"/>
  <c r="AA37" i="13"/>
  <c r="AB37" i="13"/>
  <c r="AC37" i="13"/>
  <c r="AF37" i="13"/>
  <c r="AG37" i="13"/>
  <c r="A38" i="13"/>
  <c r="B38" i="13"/>
  <c r="C38" i="13"/>
  <c r="D38" i="13"/>
  <c r="E38" i="13"/>
  <c r="F38" i="13"/>
  <c r="G38" i="13"/>
  <c r="H38" i="13"/>
  <c r="I38" i="13"/>
  <c r="O38" i="13"/>
  <c r="P38" i="13"/>
  <c r="R38" i="13"/>
  <c r="T38" i="13"/>
  <c r="U38" i="13"/>
  <c r="V38" i="13"/>
  <c r="W38" i="13"/>
  <c r="X38" i="13"/>
  <c r="Y38" i="13"/>
  <c r="Z38" i="13"/>
  <c r="AA38" i="13"/>
  <c r="AB38" i="13"/>
  <c r="AC38" i="13"/>
  <c r="AF38" i="13"/>
  <c r="AG38" i="13"/>
  <c r="A39" i="13"/>
  <c r="B39" i="13"/>
  <c r="C39" i="13"/>
  <c r="D39" i="13"/>
  <c r="E39" i="13"/>
  <c r="F39" i="13"/>
  <c r="G39" i="13"/>
  <c r="H39" i="13"/>
  <c r="I39" i="13"/>
  <c r="O39" i="13"/>
  <c r="P39" i="13"/>
  <c r="R39" i="13"/>
  <c r="T39" i="13"/>
  <c r="U39" i="13"/>
  <c r="V39" i="13"/>
  <c r="W39" i="13"/>
  <c r="X39" i="13"/>
  <c r="Y39" i="13"/>
  <c r="Z39" i="13"/>
  <c r="AA39" i="13"/>
  <c r="AB39" i="13"/>
  <c r="AC39" i="13"/>
  <c r="AF39" i="13"/>
  <c r="AG39" i="13"/>
  <c r="A40" i="13"/>
  <c r="B40" i="13"/>
  <c r="C40" i="13"/>
  <c r="D40" i="13"/>
  <c r="E40" i="13"/>
  <c r="F40" i="13"/>
  <c r="G40" i="13"/>
  <c r="H40" i="13"/>
  <c r="I40" i="13"/>
  <c r="O40" i="13"/>
  <c r="P40" i="13"/>
  <c r="R40" i="13"/>
  <c r="T40" i="13"/>
  <c r="U40" i="13"/>
  <c r="V40" i="13"/>
  <c r="W40" i="13"/>
  <c r="X40" i="13"/>
  <c r="Y40" i="13"/>
  <c r="Z40" i="13"/>
  <c r="AA40" i="13"/>
  <c r="AB40" i="13"/>
  <c r="AC40" i="13"/>
  <c r="AF40" i="13"/>
  <c r="AG40" i="13"/>
  <c r="A41" i="13"/>
  <c r="B41" i="13"/>
  <c r="C41" i="13"/>
  <c r="D41" i="13"/>
  <c r="E41" i="13"/>
  <c r="F41" i="13"/>
  <c r="G41" i="13"/>
  <c r="H41" i="13"/>
  <c r="I41" i="13"/>
  <c r="O41" i="13"/>
  <c r="P41" i="13"/>
  <c r="R41" i="13"/>
  <c r="T41" i="13"/>
  <c r="U41" i="13"/>
  <c r="V41" i="13"/>
  <c r="W41" i="13"/>
  <c r="X41" i="13"/>
  <c r="Y41" i="13"/>
  <c r="Z41" i="13"/>
  <c r="AA41" i="13"/>
  <c r="AB41" i="13"/>
  <c r="AC41" i="13"/>
  <c r="AF41" i="13"/>
  <c r="AG41" i="13"/>
  <c r="A42" i="13"/>
  <c r="B42" i="13"/>
  <c r="C42" i="13"/>
  <c r="D42" i="13"/>
  <c r="E42" i="13"/>
  <c r="F42" i="13"/>
  <c r="G42" i="13"/>
  <c r="H42" i="13"/>
  <c r="I42" i="13"/>
  <c r="O42" i="13"/>
  <c r="P42" i="13"/>
  <c r="R42" i="13"/>
  <c r="T42" i="13"/>
  <c r="U42" i="13"/>
  <c r="V42" i="13"/>
  <c r="W42" i="13"/>
  <c r="X42" i="13"/>
  <c r="Y42" i="13"/>
  <c r="Z42" i="13"/>
  <c r="AA42" i="13"/>
  <c r="AB42" i="13"/>
  <c r="AC42" i="13"/>
  <c r="AF42" i="13"/>
  <c r="AG42" i="13"/>
  <c r="A43" i="13"/>
  <c r="B43" i="13"/>
  <c r="C43" i="13"/>
  <c r="D43" i="13"/>
  <c r="E43" i="13"/>
  <c r="F43" i="13"/>
  <c r="G43" i="13"/>
  <c r="H43" i="13"/>
  <c r="I43" i="13"/>
  <c r="O43" i="13"/>
  <c r="P43" i="13"/>
  <c r="R43" i="13"/>
  <c r="T43" i="13"/>
  <c r="U43" i="13"/>
  <c r="V43" i="13"/>
  <c r="W43" i="13"/>
  <c r="X43" i="13"/>
  <c r="Y43" i="13"/>
  <c r="Z43" i="13"/>
  <c r="AA43" i="13"/>
  <c r="AB43" i="13"/>
  <c r="AC43" i="13"/>
  <c r="AF43" i="13"/>
  <c r="AG43" i="13"/>
  <c r="A44" i="13"/>
  <c r="B44" i="13"/>
  <c r="C44" i="13"/>
  <c r="D44" i="13"/>
  <c r="E44" i="13"/>
  <c r="F44" i="13"/>
  <c r="G44" i="13"/>
  <c r="H44" i="13"/>
  <c r="I44" i="13"/>
  <c r="O44" i="13"/>
  <c r="P44" i="13"/>
  <c r="R44" i="13"/>
  <c r="T44" i="13"/>
  <c r="U44" i="13"/>
  <c r="V44" i="13"/>
  <c r="W44" i="13"/>
  <c r="X44" i="13"/>
  <c r="Y44" i="13"/>
  <c r="Z44" i="13"/>
  <c r="AA44" i="13"/>
  <c r="AB44" i="13"/>
  <c r="AC44" i="13"/>
  <c r="AF44" i="13"/>
  <c r="AG44" i="13"/>
  <c r="A45" i="13"/>
  <c r="B45" i="13"/>
  <c r="C45" i="13"/>
  <c r="D45" i="13"/>
  <c r="E45" i="13"/>
  <c r="F45" i="13"/>
  <c r="G45" i="13"/>
  <c r="H45" i="13"/>
  <c r="I45" i="13"/>
  <c r="O45" i="13"/>
  <c r="P45" i="13"/>
  <c r="R45" i="13"/>
  <c r="T45" i="13"/>
  <c r="U45" i="13"/>
  <c r="V45" i="13"/>
  <c r="W45" i="13"/>
  <c r="X45" i="13"/>
  <c r="Y45" i="13"/>
  <c r="Z45" i="13"/>
  <c r="AA45" i="13"/>
  <c r="AB45" i="13"/>
  <c r="AC45" i="13"/>
  <c r="AF45" i="13"/>
  <c r="AG45" i="13"/>
  <c r="A46" i="13"/>
  <c r="B46" i="13"/>
  <c r="C46" i="13"/>
  <c r="D46" i="13"/>
  <c r="E46" i="13"/>
  <c r="F46" i="13"/>
  <c r="G46" i="13"/>
  <c r="H46" i="13"/>
  <c r="I46" i="13"/>
  <c r="O46" i="13"/>
  <c r="P46" i="13"/>
  <c r="R46" i="13"/>
  <c r="T46" i="13"/>
  <c r="U46" i="13"/>
  <c r="V46" i="13"/>
  <c r="W46" i="13"/>
  <c r="X46" i="13"/>
  <c r="Y46" i="13"/>
  <c r="Z46" i="13"/>
  <c r="AA46" i="13"/>
  <c r="AB46" i="13"/>
  <c r="AC46" i="13"/>
  <c r="AF46" i="13"/>
  <c r="AG46" i="13"/>
  <c r="A47" i="13"/>
  <c r="B47" i="13"/>
  <c r="C47" i="13"/>
  <c r="D47" i="13"/>
  <c r="E47" i="13"/>
  <c r="F47" i="13"/>
  <c r="G47" i="13"/>
  <c r="H47" i="13"/>
  <c r="I47" i="13"/>
  <c r="O47" i="13"/>
  <c r="P47" i="13"/>
  <c r="R47" i="13"/>
  <c r="T47" i="13"/>
  <c r="U47" i="13"/>
  <c r="V47" i="13"/>
  <c r="W47" i="13"/>
  <c r="X47" i="13"/>
  <c r="Y47" i="13"/>
  <c r="Z47" i="13"/>
  <c r="AA47" i="13"/>
  <c r="AB47" i="13"/>
  <c r="AC47" i="13"/>
  <c r="AF47" i="13"/>
  <c r="AG47" i="13"/>
  <c r="A48" i="13"/>
  <c r="B48" i="13"/>
  <c r="C48" i="13"/>
  <c r="D48" i="13"/>
  <c r="E48" i="13"/>
  <c r="F48" i="13"/>
  <c r="G48" i="13"/>
  <c r="H48" i="13"/>
  <c r="I48" i="13"/>
  <c r="O48" i="13"/>
  <c r="P48" i="13"/>
  <c r="R48" i="13"/>
  <c r="T48" i="13"/>
  <c r="U48" i="13"/>
  <c r="V48" i="13"/>
  <c r="W48" i="13"/>
  <c r="X48" i="13"/>
  <c r="Y48" i="13"/>
  <c r="Z48" i="13"/>
  <c r="AA48" i="13"/>
  <c r="AB48" i="13"/>
  <c r="AC48" i="13"/>
  <c r="AF48" i="13"/>
  <c r="AG48" i="13"/>
  <c r="A49" i="13"/>
  <c r="B49" i="13"/>
  <c r="C49" i="13"/>
  <c r="D49" i="13"/>
  <c r="E49" i="13"/>
  <c r="F49" i="13"/>
  <c r="G49" i="13"/>
  <c r="H49" i="13"/>
  <c r="I49" i="13"/>
  <c r="O49" i="13"/>
  <c r="P49" i="13"/>
  <c r="R49" i="13"/>
  <c r="T49" i="13"/>
  <c r="U49" i="13"/>
  <c r="V49" i="13"/>
  <c r="W49" i="13"/>
  <c r="X49" i="13"/>
  <c r="Y49" i="13"/>
  <c r="Z49" i="13"/>
  <c r="AA49" i="13"/>
  <c r="AB49" i="13"/>
  <c r="AC49" i="13"/>
  <c r="AF49" i="13"/>
  <c r="AG49" i="13"/>
  <c r="A50" i="13"/>
  <c r="B50" i="13"/>
  <c r="C50" i="13"/>
  <c r="D50" i="13"/>
  <c r="E50" i="13"/>
  <c r="F50" i="13"/>
  <c r="G50" i="13"/>
  <c r="H50" i="13"/>
  <c r="I50" i="13"/>
  <c r="O50" i="13"/>
  <c r="P50" i="13"/>
  <c r="R50" i="13"/>
  <c r="T50" i="13"/>
  <c r="U50" i="13"/>
  <c r="V50" i="13"/>
  <c r="W50" i="13"/>
  <c r="X50" i="13"/>
  <c r="Y50" i="13"/>
  <c r="Z50" i="13"/>
  <c r="AA50" i="13"/>
  <c r="AB50" i="13"/>
  <c r="AC50" i="13"/>
  <c r="AF50" i="13"/>
  <c r="AG50" i="13"/>
  <c r="A51" i="13"/>
  <c r="B51" i="13"/>
  <c r="C51" i="13"/>
  <c r="D51" i="13"/>
  <c r="E51" i="13"/>
  <c r="F51" i="13"/>
  <c r="G51" i="13"/>
  <c r="H51" i="13"/>
  <c r="I51" i="13"/>
  <c r="O51" i="13"/>
  <c r="P51" i="13"/>
  <c r="R51" i="13"/>
  <c r="T51" i="13"/>
  <c r="U51" i="13"/>
  <c r="V51" i="13"/>
  <c r="W51" i="13"/>
  <c r="X51" i="13"/>
  <c r="Y51" i="13"/>
  <c r="Z51" i="13"/>
  <c r="AA51" i="13"/>
  <c r="AB51" i="13"/>
  <c r="AC51" i="13"/>
  <c r="AF51" i="13"/>
  <c r="AG51" i="13"/>
  <c r="A52" i="13"/>
  <c r="B52" i="13"/>
  <c r="C52" i="13"/>
  <c r="D52" i="13"/>
  <c r="E52" i="13"/>
  <c r="F52" i="13"/>
  <c r="G52" i="13"/>
  <c r="H52" i="13"/>
  <c r="I52" i="13"/>
  <c r="O52" i="13"/>
  <c r="P52" i="13"/>
  <c r="R52" i="13"/>
  <c r="T52" i="13"/>
  <c r="U52" i="13"/>
  <c r="V52" i="13"/>
  <c r="W52" i="13"/>
  <c r="X52" i="13"/>
  <c r="Y52" i="13"/>
  <c r="Z52" i="13"/>
  <c r="AA52" i="13"/>
  <c r="AB52" i="13"/>
  <c r="AC52" i="13"/>
  <c r="AF52" i="13"/>
  <c r="AG52" i="13"/>
  <c r="A53" i="13"/>
  <c r="B53" i="13"/>
  <c r="C53" i="13"/>
  <c r="D53" i="13"/>
  <c r="E53" i="13"/>
  <c r="F53" i="13"/>
  <c r="G53" i="13"/>
  <c r="H53" i="13"/>
  <c r="I53" i="13"/>
  <c r="O53" i="13"/>
  <c r="P53" i="13"/>
  <c r="R53" i="13"/>
  <c r="T53" i="13"/>
  <c r="U53" i="13"/>
  <c r="V53" i="13"/>
  <c r="W53" i="13"/>
  <c r="X53" i="13"/>
  <c r="Y53" i="13"/>
  <c r="Z53" i="13"/>
  <c r="AA53" i="13"/>
  <c r="AB53" i="13"/>
  <c r="AC53" i="13"/>
  <c r="AF53" i="13"/>
  <c r="AG53" i="13"/>
  <c r="A54" i="13"/>
  <c r="B54" i="13"/>
  <c r="C54" i="13"/>
  <c r="D54" i="13"/>
  <c r="E54" i="13"/>
  <c r="F54" i="13"/>
  <c r="G54" i="13"/>
  <c r="H54" i="13"/>
  <c r="I54" i="13"/>
  <c r="O54" i="13"/>
  <c r="P54" i="13"/>
  <c r="R54" i="13"/>
  <c r="T54" i="13"/>
  <c r="U54" i="13"/>
  <c r="V54" i="13"/>
  <c r="W54" i="13"/>
  <c r="X54" i="13"/>
  <c r="Y54" i="13"/>
  <c r="Z54" i="13"/>
  <c r="AA54" i="13"/>
  <c r="AB54" i="13"/>
  <c r="AC54" i="13"/>
  <c r="AF54" i="13"/>
  <c r="AG54" i="13"/>
  <c r="A55" i="13"/>
  <c r="B55" i="13"/>
  <c r="C55" i="13"/>
  <c r="D55" i="13"/>
  <c r="E55" i="13"/>
  <c r="F55" i="13"/>
  <c r="G55" i="13"/>
  <c r="H55" i="13"/>
  <c r="I55" i="13"/>
  <c r="O55" i="13"/>
  <c r="P55" i="13"/>
  <c r="R55" i="13"/>
  <c r="T55" i="13"/>
  <c r="U55" i="13"/>
  <c r="V55" i="13"/>
  <c r="W55" i="13"/>
  <c r="X55" i="13"/>
  <c r="Y55" i="13"/>
  <c r="Z55" i="13"/>
  <c r="AA55" i="13"/>
  <c r="AB55" i="13"/>
  <c r="AC55" i="13"/>
  <c r="AF55" i="13"/>
  <c r="AG55" i="13"/>
  <c r="A56" i="13"/>
  <c r="B56" i="13"/>
  <c r="C56" i="13"/>
  <c r="D56" i="13"/>
  <c r="E56" i="13"/>
  <c r="F56" i="13"/>
  <c r="G56" i="13"/>
  <c r="H56" i="13"/>
  <c r="I56" i="13"/>
  <c r="O56" i="13"/>
  <c r="P56" i="13"/>
  <c r="R56" i="13"/>
  <c r="T56" i="13"/>
  <c r="U56" i="13"/>
  <c r="V56" i="13"/>
  <c r="W56" i="13"/>
  <c r="X56" i="13"/>
  <c r="Y56" i="13"/>
  <c r="Z56" i="13"/>
  <c r="AA56" i="13"/>
  <c r="AB56" i="13"/>
  <c r="AC56" i="13"/>
  <c r="AF56" i="13"/>
  <c r="AG56" i="13"/>
  <c r="A57" i="13"/>
  <c r="B57" i="13"/>
  <c r="C57" i="13"/>
  <c r="D57" i="13"/>
  <c r="E57" i="13"/>
  <c r="F57" i="13"/>
  <c r="G57" i="13"/>
  <c r="H57" i="13"/>
  <c r="I57" i="13"/>
  <c r="O57" i="13"/>
  <c r="P57" i="13"/>
  <c r="R57" i="13"/>
  <c r="T57" i="13"/>
  <c r="U57" i="13"/>
  <c r="V57" i="13"/>
  <c r="W57" i="13"/>
  <c r="X57" i="13"/>
  <c r="Y57" i="13"/>
  <c r="Z57" i="13"/>
  <c r="AA57" i="13"/>
  <c r="AB57" i="13"/>
  <c r="AC57" i="13"/>
  <c r="AF57" i="13"/>
  <c r="AG57" i="13"/>
  <c r="A58" i="13"/>
  <c r="B58" i="13"/>
  <c r="C58" i="13"/>
  <c r="D58" i="13"/>
  <c r="E58" i="13"/>
  <c r="F58" i="13"/>
  <c r="G58" i="13"/>
  <c r="H58" i="13"/>
  <c r="I58" i="13"/>
  <c r="O58" i="13"/>
  <c r="P58" i="13"/>
  <c r="R58" i="13"/>
  <c r="T58" i="13"/>
  <c r="U58" i="13"/>
  <c r="V58" i="13"/>
  <c r="W58" i="13"/>
  <c r="X58" i="13"/>
  <c r="Y58" i="13"/>
  <c r="Z58" i="13"/>
  <c r="AA58" i="13"/>
  <c r="AB58" i="13"/>
  <c r="AC58" i="13"/>
  <c r="AF58" i="13"/>
  <c r="AG58" i="13"/>
  <c r="A59" i="13"/>
  <c r="B59" i="13"/>
  <c r="C59" i="13"/>
  <c r="D59" i="13"/>
  <c r="E59" i="13"/>
  <c r="F59" i="13"/>
  <c r="G59" i="13"/>
  <c r="H59" i="13"/>
  <c r="I59" i="13"/>
  <c r="O59" i="13"/>
  <c r="P59" i="13"/>
  <c r="R59" i="13"/>
  <c r="T59" i="13"/>
  <c r="U59" i="13"/>
  <c r="V59" i="13"/>
  <c r="W59" i="13"/>
  <c r="X59" i="13"/>
  <c r="Y59" i="13"/>
  <c r="Z59" i="13"/>
  <c r="AA59" i="13"/>
  <c r="AB59" i="13"/>
  <c r="AC59" i="13"/>
  <c r="AF59" i="13"/>
  <c r="AG59" i="13"/>
  <c r="A60" i="13"/>
  <c r="B60" i="13"/>
  <c r="C60" i="13"/>
  <c r="D60" i="13"/>
  <c r="E60" i="13"/>
  <c r="F60" i="13"/>
  <c r="G60" i="13"/>
  <c r="H60" i="13"/>
  <c r="I60" i="13"/>
  <c r="O60" i="13"/>
  <c r="P60" i="13"/>
  <c r="R60" i="13"/>
  <c r="T60" i="13"/>
  <c r="U60" i="13"/>
  <c r="V60" i="13"/>
  <c r="W60" i="13"/>
  <c r="X60" i="13"/>
  <c r="Y60" i="13"/>
  <c r="Z60" i="13"/>
  <c r="AA60" i="13"/>
  <c r="AB60" i="13"/>
  <c r="AC60" i="13"/>
  <c r="AF60" i="13"/>
  <c r="AG60" i="13"/>
  <c r="A61" i="13"/>
  <c r="B61" i="13"/>
  <c r="C61" i="13"/>
  <c r="D61" i="13"/>
  <c r="E61" i="13"/>
  <c r="F61" i="13"/>
  <c r="G61" i="13"/>
  <c r="H61" i="13"/>
  <c r="I61" i="13"/>
  <c r="O61" i="13"/>
  <c r="P61" i="13"/>
  <c r="R61" i="13"/>
  <c r="T61" i="13"/>
  <c r="U61" i="13"/>
  <c r="V61" i="13"/>
  <c r="W61" i="13"/>
  <c r="X61" i="13"/>
  <c r="Y61" i="13"/>
  <c r="Z61" i="13"/>
  <c r="AA61" i="13"/>
  <c r="AB61" i="13"/>
  <c r="AC61" i="13"/>
  <c r="AF61" i="13"/>
  <c r="AG61" i="13"/>
  <c r="A62" i="13"/>
  <c r="B62" i="13"/>
  <c r="C62" i="13"/>
  <c r="D62" i="13"/>
  <c r="E62" i="13"/>
  <c r="F62" i="13"/>
  <c r="G62" i="13"/>
  <c r="H62" i="13"/>
  <c r="I62" i="13"/>
  <c r="O62" i="13"/>
  <c r="P62" i="13"/>
  <c r="R62" i="13"/>
  <c r="T62" i="13"/>
  <c r="U62" i="13"/>
  <c r="V62" i="13"/>
  <c r="W62" i="13"/>
  <c r="X62" i="13"/>
  <c r="Y62" i="13"/>
  <c r="Z62" i="13"/>
  <c r="AA62" i="13"/>
  <c r="AB62" i="13"/>
  <c r="AC62" i="13"/>
  <c r="AF62" i="13"/>
  <c r="AG62" i="13"/>
  <c r="A63" i="13"/>
  <c r="B63" i="13"/>
  <c r="C63" i="13"/>
  <c r="D63" i="13"/>
  <c r="E63" i="13"/>
  <c r="F63" i="13"/>
  <c r="G63" i="13"/>
  <c r="H63" i="13"/>
  <c r="I63" i="13"/>
  <c r="O63" i="13"/>
  <c r="P63" i="13"/>
  <c r="R63" i="13"/>
  <c r="T63" i="13"/>
  <c r="U63" i="13"/>
  <c r="V63" i="13"/>
  <c r="W63" i="13"/>
  <c r="X63" i="13"/>
  <c r="Y63" i="13"/>
  <c r="Z63" i="13"/>
  <c r="AA63" i="13"/>
  <c r="AB63" i="13"/>
  <c r="AC63" i="13"/>
  <c r="AF63" i="13"/>
  <c r="AG63" i="13"/>
  <c r="A64" i="13"/>
  <c r="B64" i="13"/>
  <c r="C64" i="13"/>
  <c r="D64" i="13"/>
  <c r="E64" i="13"/>
  <c r="F64" i="13"/>
  <c r="G64" i="13"/>
  <c r="H64" i="13"/>
  <c r="I64" i="13"/>
  <c r="O64" i="13"/>
  <c r="P64" i="13"/>
  <c r="R64" i="13"/>
  <c r="T64" i="13"/>
  <c r="U64" i="13"/>
  <c r="V64" i="13"/>
  <c r="W64" i="13"/>
  <c r="X64" i="13"/>
  <c r="Y64" i="13"/>
  <c r="Z64" i="13"/>
  <c r="AA64" i="13"/>
  <c r="AB64" i="13"/>
  <c r="AC64" i="13"/>
  <c r="AF64" i="13"/>
  <c r="AG64" i="13"/>
  <c r="A65" i="13"/>
  <c r="B65" i="13"/>
  <c r="C65" i="13"/>
  <c r="D65" i="13"/>
  <c r="E65" i="13"/>
  <c r="F65" i="13"/>
  <c r="G65" i="13"/>
  <c r="H65" i="13"/>
  <c r="I65" i="13"/>
  <c r="O65" i="13"/>
  <c r="P65" i="13"/>
  <c r="R65" i="13"/>
  <c r="T65" i="13"/>
  <c r="U65" i="13"/>
  <c r="V65" i="13"/>
  <c r="W65" i="13"/>
  <c r="X65" i="13"/>
  <c r="Y65" i="13"/>
  <c r="Z65" i="13"/>
  <c r="AA65" i="13"/>
  <c r="AB65" i="13"/>
  <c r="AC65" i="13"/>
  <c r="AF65" i="13"/>
  <c r="AG65" i="13"/>
  <c r="A66" i="13"/>
  <c r="B66" i="13"/>
  <c r="C66" i="13"/>
  <c r="D66" i="13"/>
  <c r="E66" i="13"/>
  <c r="F66" i="13"/>
  <c r="G66" i="13"/>
  <c r="H66" i="13"/>
  <c r="I66" i="13"/>
  <c r="O66" i="13"/>
  <c r="P66" i="13"/>
  <c r="R66" i="13"/>
  <c r="T66" i="13"/>
  <c r="U66" i="13"/>
  <c r="V66" i="13"/>
  <c r="W66" i="13"/>
  <c r="X66" i="13"/>
  <c r="Y66" i="13"/>
  <c r="Z66" i="13"/>
  <c r="AA66" i="13"/>
  <c r="AB66" i="13"/>
  <c r="AC66" i="13"/>
  <c r="AF66" i="13"/>
  <c r="AG66" i="13"/>
  <c r="A67" i="13"/>
  <c r="B67" i="13"/>
  <c r="C67" i="13"/>
  <c r="D67" i="13"/>
  <c r="E67" i="13"/>
  <c r="F67" i="13"/>
  <c r="G67" i="13"/>
  <c r="H67" i="13"/>
  <c r="I67" i="13"/>
  <c r="O67" i="13"/>
  <c r="P67" i="13"/>
  <c r="R67" i="13"/>
  <c r="T67" i="13"/>
  <c r="U67" i="13"/>
  <c r="V67" i="13"/>
  <c r="W67" i="13"/>
  <c r="X67" i="13"/>
  <c r="Y67" i="13"/>
  <c r="Z67" i="13"/>
  <c r="AA67" i="13"/>
  <c r="AB67" i="13"/>
  <c r="AC67" i="13"/>
  <c r="AF67" i="13"/>
  <c r="AG67" i="13"/>
  <c r="A68" i="13"/>
  <c r="B68" i="13"/>
  <c r="C68" i="13"/>
  <c r="D68" i="13"/>
  <c r="E68" i="13"/>
  <c r="F68" i="13"/>
  <c r="G68" i="13"/>
  <c r="H68" i="13"/>
  <c r="I68" i="13"/>
  <c r="O68" i="13"/>
  <c r="P68" i="13"/>
  <c r="R68" i="13"/>
  <c r="T68" i="13"/>
  <c r="U68" i="13"/>
  <c r="V68" i="13"/>
  <c r="W68" i="13"/>
  <c r="X68" i="13"/>
  <c r="Y68" i="13"/>
  <c r="Z68" i="13"/>
  <c r="AA68" i="13"/>
  <c r="AB68" i="13"/>
  <c r="AC68" i="13"/>
  <c r="AF68" i="13"/>
  <c r="AG68" i="13"/>
  <c r="A69" i="13"/>
  <c r="B69" i="13"/>
  <c r="C69" i="13"/>
  <c r="D69" i="13"/>
  <c r="E69" i="13"/>
  <c r="F69" i="13"/>
  <c r="G69" i="13"/>
  <c r="H69" i="13"/>
  <c r="I69" i="13"/>
  <c r="O69" i="13"/>
  <c r="P69" i="13"/>
  <c r="R69" i="13"/>
  <c r="T69" i="13"/>
  <c r="U69" i="13"/>
  <c r="V69" i="13"/>
  <c r="W69" i="13"/>
  <c r="X69" i="13"/>
  <c r="Y69" i="13"/>
  <c r="Z69" i="13"/>
  <c r="AA69" i="13"/>
  <c r="AB69" i="13"/>
  <c r="AC69" i="13"/>
  <c r="AF69" i="13"/>
  <c r="AG69" i="13"/>
  <c r="A70" i="13"/>
  <c r="B70" i="13"/>
  <c r="C70" i="13"/>
  <c r="D70" i="13"/>
  <c r="E70" i="13"/>
  <c r="F70" i="13"/>
  <c r="G70" i="13"/>
  <c r="H70" i="13"/>
  <c r="I70" i="13"/>
  <c r="O70" i="13"/>
  <c r="P70" i="13"/>
  <c r="R70" i="13"/>
  <c r="T70" i="13"/>
  <c r="U70" i="13"/>
  <c r="V70" i="13"/>
  <c r="W70" i="13"/>
  <c r="X70" i="13"/>
  <c r="Y70" i="13"/>
  <c r="Z70" i="13"/>
  <c r="AA70" i="13"/>
  <c r="AB70" i="13"/>
  <c r="AC70" i="13"/>
  <c r="AF70" i="13"/>
  <c r="AG70" i="13"/>
  <c r="A71" i="13"/>
  <c r="B71" i="13"/>
  <c r="C71" i="13"/>
  <c r="D71" i="13"/>
  <c r="E71" i="13"/>
  <c r="F71" i="13"/>
  <c r="G71" i="13"/>
  <c r="H71" i="13"/>
  <c r="I71" i="13"/>
  <c r="O71" i="13"/>
  <c r="P71" i="13"/>
  <c r="R71" i="13"/>
  <c r="T71" i="13"/>
  <c r="U71" i="13"/>
  <c r="V71" i="13"/>
  <c r="W71" i="13"/>
  <c r="X71" i="13"/>
  <c r="Y71" i="13"/>
  <c r="Z71" i="13"/>
  <c r="AA71" i="13"/>
  <c r="AB71" i="13"/>
  <c r="AC71" i="13"/>
  <c r="AF71" i="13"/>
  <c r="AG71" i="13"/>
  <c r="A72" i="13"/>
  <c r="B72" i="13"/>
  <c r="C72" i="13"/>
  <c r="D72" i="13"/>
  <c r="E72" i="13"/>
  <c r="F72" i="13"/>
  <c r="G72" i="13"/>
  <c r="H72" i="13"/>
  <c r="I72" i="13"/>
  <c r="O72" i="13"/>
  <c r="P72" i="13"/>
  <c r="R72" i="13"/>
  <c r="T72" i="13"/>
  <c r="U72" i="13"/>
  <c r="V72" i="13"/>
  <c r="W72" i="13"/>
  <c r="X72" i="13"/>
  <c r="Y72" i="13"/>
  <c r="Z72" i="13"/>
  <c r="AA72" i="13"/>
  <c r="AB72" i="13"/>
  <c r="AC72" i="13"/>
  <c r="AF72" i="13"/>
  <c r="AG72" i="13"/>
  <c r="A73" i="13"/>
  <c r="B73" i="13"/>
  <c r="C73" i="13"/>
  <c r="D73" i="13"/>
  <c r="E73" i="13"/>
  <c r="F73" i="13"/>
  <c r="G73" i="13"/>
  <c r="H73" i="13"/>
  <c r="I73" i="13"/>
  <c r="O73" i="13"/>
  <c r="P73" i="13"/>
  <c r="R73" i="13"/>
  <c r="T73" i="13"/>
  <c r="U73" i="13"/>
  <c r="V73" i="13"/>
  <c r="W73" i="13"/>
  <c r="X73" i="13"/>
  <c r="Y73" i="13"/>
  <c r="Z73" i="13"/>
  <c r="AA73" i="13"/>
  <c r="AB73" i="13"/>
  <c r="AC73" i="13"/>
  <c r="AF73" i="13"/>
  <c r="AG73" i="13"/>
  <c r="A74" i="13"/>
  <c r="B74" i="13"/>
  <c r="C74" i="13"/>
  <c r="D74" i="13"/>
  <c r="E74" i="13"/>
  <c r="F74" i="13"/>
  <c r="G74" i="13"/>
  <c r="H74" i="13"/>
  <c r="I74" i="13"/>
  <c r="O74" i="13"/>
  <c r="P74" i="13"/>
  <c r="R74" i="13"/>
  <c r="T74" i="13"/>
  <c r="U74" i="13"/>
  <c r="V74" i="13"/>
  <c r="W74" i="13"/>
  <c r="X74" i="13"/>
  <c r="Y74" i="13"/>
  <c r="Z74" i="13"/>
  <c r="AA74" i="13"/>
  <c r="AB74" i="13"/>
  <c r="AC74" i="13"/>
  <c r="AF74" i="13"/>
  <c r="AG74" i="13"/>
  <c r="A75" i="13"/>
  <c r="B75" i="13"/>
  <c r="C75" i="13"/>
  <c r="D75" i="13"/>
  <c r="E75" i="13"/>
  <c r="F75" i="13"/>
  <c r="G75" i="13"/>
  <c r="H75" i="13"/>
  <c r="I75" i="13"/>
  <c r="O75" i="13"/>
  <c r="P75" i="13"/>
  <c r="R75" i="13"/>
  <c r="T75" i="13"/>
  <c r="U75" i="13"/>
  <c r="V75" i="13"/>
  <c r="W75" i="13"/>
  <c r="X75" i="13"/>
  <c r="Y75" i="13"/>
  <c r="Z75" i="13"/>
  <c r="AA75" i="13"/>
  <c r="AB75" i="13"/>
  <c r="AC75" i="13"/>
  <c r="AF75" i="13"/>
  <c r="AG75" i="13"/>
  <c r="A76" i="13"/>
  <c r="B76" i="13"/>
  <c r="C76" i="13"/>
  <c r="D76" i="13"/>
  <c r="E76" i="13"/>
  <c r="F76" i="13"/>
  <c r="G76" i="13"/>
  <c r="H76" i="13"/>
  <c r="I76" i="13"/>
  <c r="O76" i="13"/>
  <c r="P76" i="13"/>
  <c r="R76" i="13"/>
  <c r="T76" i="13"/>
  <c r="U76" i="13"/>
  <c r="V76" i="13"/>
  <c r="W76" i="13"/>
  <c r="X76" i="13"/>
  <c r="Y76" i="13"/>
  <c r="Z76" i="13"/>
  <c r="AA76" i="13"/>
  <c r="AB76" i="13"/>
  <c r="AC76" i="13"/>
  <c r="AF76" i="13"/>
  <c r="AG76" i="13"/>
  <c r="A77" i="13"/>
  <c r="B77" i="13"/>
  <c r="C77" i="13"/>
  <c r="D77" i="13"/>
  <c r="E77" i="13"/>
  <c r="F77" i="13"/>
  <c r="G77" i="13"/>
  <c r="H77" i="13"/>
  <c r="I77" i="13"/>
  <c r="O77" i="13"/>
  <c r="P77" i="13"/>
  <c r="R77" i="13"/>
  <c r="T77" i="13"/>
  <c r="U77" i="13"/>
  <c r="V77" i="13"/>
  <c r="W77" i="13"/>
  <c r="X77" i="13"/>
  <c r="Y77" i="13"/>
  <c r="Z77" i="13"/>
  <c r="AA77" i="13"/>
  <c r="AB77" i="13"/>
  <c r="AC77" i="13"/>
  <c r="AF77" i="13"/>
  <c r="AG77" i="13"/>
  <c r="A78" i="13"/>
  <c r="B78" i="13"/>
  <c r="C78" i="13"/>
  <c r="D78" i="13"/>
  <c r="E78" i="13"/>
  <c r="F78" i="13"/>
  <c r="G78" i="13"/>
  <c r="H78" i="13"/>
  <c r="I78" i="13"/>
  <c r="O78" i="13"/>
  <c r="P78" i="13"/>
  <c r="R78" i="13"/>
  <c r="T78" i="13"/>
  <c r="U78" i="13"/>
  <c r="V78" i="13"/>
  <c r="W78" i="13"/>
  <c r="X78" i="13"/>
  <c r="Y78" i="13"/>
  <c r="Z78" i="13"/>
  <c r="AA78" i="13"/>
  <c r="AB78" i="13"/>
  <c r="AC78" i="13"/>
  <c r="AF78" i="13"/>
  <c r="AG78" i="13"/>
  <c r="A79" i="13"/>
  <c r="B79" i="13"/>
  <c r="C79" i="13"/>
  <c r="D79" i="13"/>
  <c r="E79" i="13"/>
  <c r="F79" i="13"/>
  <c r="G79" i="13"/>
  <c r="H79" i="13"/>
  <c r="I79" i="13"/>
  <c r="O79" i="13"/>
  <c r="P79" i="13"/>
  <c r="R79" i="13"/>
  <c r="T79" i="13"/>
  <c r="U79" i="13"/>
  <c r="V79" i="13"/>
  <c r="W79" i="13"/>
  <c r="X79" i="13"/>
  <c r="Y79" i="13"/>
  <c r="Z79" i="13"/>
  <c r="AA79" i="13"/>
  <c r="AB79" i="13"/>
  <c r="AC79" i="13"/>
  <c r="AF79" i="13"/>
  <c r="AG79" i="13"/>
  <c r="A80" i="13"/>
  <c r="B80" i="13"/>
  <c r="C80" i="13"/>
  <c r="D80" i="13"/>
  <c r="E80" i="13"/>
  <c r="F80" i="13"/>
  <c r="G80" i="13"/>
  <c r="H80" i="13"/>
  <c r="I80" i="13"/>
  <c r="O80" i="13"/>
  <c r="P80" i="13"/>
  <c r="R80" i="13"/>
  <c r="T80" i="13"/>
  <c r="U80" i="13"/>
  <c r="V80" i="13"/>
  <c r="W80" i="13"/>
  <c r="X80" i="13"/>
  <c r="Y80" i="13"/>
  <c r="Z80" i="13"/>
  <c r="AA80" i="13"/>
  <c r="AB80" i="13"/>
  <c r="AC80" i="13"/>
  <c r="AF80" i="13"/>
  <c r="AG80" i="13"/>
  <c r="A81" i="13"/>
  <c r="B81" i="13"/>
  <c r="C81" i="13"/>
  <c r="D81" i="13"/>
  <c r="E81" i="13"/>
  <c r="F81" i="13"/>
  <c r="G81" i="13"/>
  <c r="H81" i="13"/>
  <c r="I81" i="13"/>
  <c r="O81" i="13"/>
  <c r="P81" i="13"/>
  <c r="R81" i="13"/>
  <c r="T81" i="13"/>
  <c r="U81" i="13"/>
  <c r="V81" i="13"/>
  <c r="W81" i="13"/>
  <c r="X81" i="13"/>
  <c r="Y81" i="13"/>
  <c r="Z81" i="13"/>
  <c r="AA81" i="13"/>
  <c r="AB81" i="13"/>
  <c r="AC81" i="13"/>
  <c r="AF81" i="13"/>
  <c r="AG81" i="13"/>
  <c r="A82" i="13"/>
  <c r="B82" i="13"/>
  <c r="C82" i="13"/>
  <c r="D82" i="13"/>
  <c r="E82" i="13"/>
  <c r="F82" i="13"/>
  <c r="G82" i="13"/>
  <c r="H82" i="13"/>
  <c r="I82" i="13"/>
  <c r="O82" i="13"/>
  <c r="P82" i="13"/>
  <c r="R82" i="13"/>
  <c r="T82" i="13"/>
  <c r="U82" i="13"/>
  <c r="V82" i="13"/>
  <c r="W82" i="13"/>
  <c r="X82" i="13"/>
  <c r="Y82" i="13"/>
  <c r="Z82" i="13"/>
  <c r="AA82" i="13"/>
  <c r="AB82" i="13"/>
  <c r="AC82" i="13"/>
  <c r="AF82" i="13"/>
  <c r="AG82" i="13"/>
  <c r="A83" i="13"/>
  <c r="B83" i="13"/>
  <c r="C83" i="13"/>
  <c r="D83" i="13"/>
  <c r="E83" i="13"/>
  <c r="F83" i="13"/>
  <c r="G83" i="13"/>
  <c r="H83" i="13"/>
  <c r="I83" i="13"/>
  <c r="O83" i="13"/>
  <c r="P83" i="13"/>
  <c r="R83" i="13"/>
  <c r="T83" i="13"/>
  <c r="U83" i="13"/>
  <c r="V83" i="13"/>
  <c r="W83" i="13"/>
  <c r="X83" i="13"/>
  <c r="Y83" i="13"/>
  <c r="Z83" i="13"/>
  <c r="AA83" i="13"/>
  <c r="AB83" i="13"/>
  <c r="AC83" i="13"/>
  <c r="AF83" i="13"/>
  <c r="AG83" i="13"/>
  <c r="A84" i="13"/>
  <c r="B84" i="13"/>
  <c r="C84" i="13"/>
  <c r="D84" i="13"/>
  <c r="E84" i="13"/>
  <c r="F84" i="13"/>
  <c r="G84" i="13"/>
  <c r="H84" i="13"/>
  <c r="I84" i="13"/>
  <c r="O84" i="13"/>
  <c r="P84" i="13"/>
  <c r="R84" i="13"/>
  <c r="T84" i="13"/>
  <c r="U84" i="13"/>
  <c r="V84" i="13"/>
  <c r="W84" i="13"/>
  <c r="X84" i="13"/>
  <c r="Y84" i="13"/>
  <c r="Z84" i="13"/>
  <c r="AA84" i="13"/>
  <c r="AB84" i="13"/>
  <c r="AC84" i="13"/>
  <c r="AF84" i="13"/>
  <c r="AG84" i="13"/>
  <c r="A85" i="13"/>
  <c r="B85" i="13"/>
  <c r="C85" i="13"/>
  <c r="D85" i="13"/>
  <c r="E85" i="13"/>
  <c r="F85" i="13"/>
  <c r="G85" i="13"/>
  <c r="H85" i="13"/>
  <c r="I85" i="13"/>
  <c r="O85" i="13"/>
  <c r="P85" i="13"/>
  <c r="R85" i="13"/>
  <c r="T85" i="13"/>
  <c r="U85" i="13"/>
  <c r="V85" i="13"/>
  <c r="W85" i="13"/>
  <c r="X85" i="13"/>
  <c r="Y85" i="13"/>
  <c r="Z85" i="13"/>
  <c r="AA85" i="13"/>
  <c r="AB85" i="13"/>
  <c r="AC85" i="13"/>
  <c r="AF85" i="13"/>
  <c r="AG85" i="13"/>
  <c r="A86" i="13"/>
  <c r="B86" i="13"/>
  <c r="C86" i="13"/>
  <c r="D86" i="13"/>
  <c r="E86" i="13"/>
  <c r="F86" i="13"/>
  <c r="G86" i="13"/>
  <c r="H86" i="13"/>
  <c r="I86" i="13"/>
  <c r="O86" i="13"/>
  <c r="P86" i="13"/>
  <c r="R86" i="13"/>
  <c r="T86" i="13"/>
  <c r="U86" i="13"/>
  <c r="V86" i="13"/>
  <c r="W86" i="13"/>
  <c r="X86" i="13"/>
  <c r="Y86" i="13"/>
  <c r="Z86" i="13"/>
  <c r="AA86" i="13"/>
  <c r="AB86" i="13"/>
  <c r="AC86" i="13"/>
  <c r="AF86" i="13"/>
  <c r="AG86" i="13"/>
  <c r="A87" i="13"/>
  <c r="B87" i="13"/>
  <c r="C87" i="13"/>
  <c r="D87" i="13"/>
  <c r="E87" i="13"/>
  <c r="F87" i="13"/>
  <c r="G87" i="13"/>
  <c r="H87" i="13"/>
  <c r="I87" i="13"/>
  <c r="O87" i="13"/>
  <c r="P87" i="13"/>
  <c r="R87" i="13"/>
  <c r="T87" i="13"/>
  <c r="U87" i="13"/>
  <c r="V87" i="13"/>
  <c r="W87" i="13"/>
  <c r="X87" i="13"/>
  <c r="Y87" i="13"/>
  <c r="Z87" i="13"/>
  <c r="AA87" i="13"/>
  <c r="AB87" i="13"/>
  <c r="AC87" i="13"/>
  <c r="AF87" i="13"/>
  <c r="AG87" i="13"/>
  <c r="A88" i="13"/>
  <c r="B88" i="13"/>
  <c r="C88" i="13"/>
  <c r="D88" i="13"/>
  <c r="E88" i="13"/>
  <c r="F88" i="13"/>
  <c r="G88" i="13"/>
  <c r="H88" i="13"/>
  <c r="I88" i="13"/>
  <c r="O88" i="13"/>
  <c r="P88" i="13"/>
  <c r="R88" i="13"/>
  <c r="T88" i="13"/>
  <c r="U88" i="13"/>
  <c r="V88" i="13"/>
  <c r="W88" i="13"/>
  <c r="X88" i="13"/>
  <c r="Y88" i="13"/>
  <c r="Z88" i="13"/>
  <c r="AA88" i="13"/>
  <c r="AB88" i="13"/>
  <c r="AC88" i="13"/>
  <c r="AF88" i="13"/>
  <c r="AG88" i="13"/>
  <c r="A89" i="13"/>
  <c r="B89" i="13"/>
  <c r="C89" i="13"/>
  <c r="D89" i="13"/>
  <c r="E89" i="13"/>
  <c r="F89" i="13"/>
  <c r="G89" i="13"/>
  <c r="H89" i="13"/>
  <c r="I89" i="13"/>
  <c r="O89" i="13"/>
  <c r="P89" i="13"/>
  <c r="R89" i="13"/>
  <c r="T89" i="13"/>
  <c r="U89" i="13"/>
  <c r="V89" i="13"/>
  <c r="W89" i="13"/>
  <c r="X89" i="13"/>
  <c r="Y89" i="13"/>
  <c r="Z89" i="13"/>
  <c r="AA89" i="13"/>
  <c r="AB89" i="13"/>
  <c r="AC89" i="13"/>
  <c r="AF89" i="13"/>
  <c r="AG89" i="13"/>
  <c r="A90" i="13"/>
  <c r="B90" i="13"/>
  <c r="C90" i="13"/>
  <c r="D90" i="13"/>
  <c r="E90" i="13"/>
  <c r="F90" i="13"/>
  <c r="G90" i="13"/>
  <c r="H90" i="13"/>
  <c r="I90" i="13"/>
  <c r="O90" i="13"/>
  <c r="P90" i="13"/>
  <c r="R90" i="13"/>
  <c r="T90" i="13"/>
  <c r="U90" i="13"/>
  <c r="V90" i="13"/>
  <c r="W90" i="13"/>
  <c r="X90" i="13"/>
  <c r="Y90" i="13"/>
  <c r="Z90" i="13"/>
  <c r="AA90" i="13"/>
  <c r="AB90" i="13"/>
  <c r="AC90" i="13"/>
  <c r="AF90" i="13"/>
  <c r="AG90" i="13"/>
  <c r="A91" i="13"/>
  <c r="B91" i="13"/>
  <c r="C91" i="13"/>
  <c r="D91" i="13"/>
  <c r="E91" i="13"/>
  <c r="F91" i="13"/>
  <c r="G91" i="13"/>
  <c r="H91" i="13"/>
  <c r="I91" i="13"/>
  <c r="O91" i="13"/>
  <c r="P91" i="13"/>
  <c r="R91" i="13"/>
  <c r="T91" i="13"/>
  <c r="U91" i="13"/>
  <c r="V91" i="13"/>
  <c r="W91" i="13"/>
  <c r="X91" i="13"/>
  <c r="Y91" i="13"/>
  <c r="Z91" i="13"/>
  <c r="AA91" i="13"/>
  <c r="AB91" i="13"/>
  <c r="AC91" i="13"/>
  <c r="AF91" i="13"/>
  <c r="AG91" i="13"/>
  <c r="W2" i="13" l="1"/>
  <c r="V2" i="13"/>
  <c r="U2" i="13"/>
  <c r="T2" i="13"/>
  <c r="I2" i="13"/>
  <c r="AD2" i="13"/>
  <c r="R2" i="13"/>
  <c r="H2" i="13"/>
  <c r="AQ53" i="4"/>
  <c r="AQ54" i="4"/>
  <c r="AQ55" i="4"/>
  <c r="AQ56" i="4"/>
  <c r="AQ57" i="4"/>
  <c r="AQ58" i="4"/>
  <c r="AQ59" i="4"/>
  <c r="AQ60" i="4"/>
  <c r="AQ61" i="4"/>
  <c r="AQ62" i="4"/>
  <c r="AQ63" i="4"/>
  <c r="AQ64" i="4"/>
  <c r="AQ65" i="4"/>
  <c r="AQ66" i="4"/>
  <c r="AQ67" i="4"/>
  <c r="AQ68" i="4"/>
  <c r="AQ69" i="4"/>
  <c r="AQ70" i="4"/>
  <c r="AQ71" i="4"/>
  <c r="AQ72" i="4"/>
  <c r="AQ73" i="4"/>
  <c r="AQ74" i="4"/>
  <c r="AQ75" i="4"/>
  <c r="AQ76" i="4"/>
  <c r="AQ77" i="4"/>
  <c r="AQ78" i="4"/>
  <c r="AQ79" i="4"/>
  <c r="AQ80" i="4"/>
  <c r="AQ81" i="4"/>
  <c r="AQ82" i="4"/>
  <c r="AQ83" i="4"/>
  <c r="AQ84" i="4"/>
  <c r="AQ85" i="4"/>
  <c r="AQ86" i="4"/>
  <c r="AQ87" i="4"/>
  <c r="AQ88" i="4"/>
  <c r="AQ89" i="4"/>
  <c r="AQ90" i="4"/>
  <c r="AQ91" i="4"/>
  <c r="AQ92" i="4"/>
  <c r="AQ93" i="4"/>
  <c r="AQ94" i="4"/>
  <c r="AQ95" i="4"/>
  <c r="AQ96" i="4"/>
  <c r="AQ97" i="4"/>
  <c r="AQ98" i="4"/>
  <c r="AQ99" i="4"/>
  <c r="AQ100" i="4"/>
  <c r="AQ101" i="4"/>
  <c r="AQ102" i="4"/>
  <c r="AJ3" i="13" l="1"/>
  <c r="A177" i="8"/>
  <c r="A178" i="8"/>
  <c r="A179" i="8"/>
  <c r="A180" i="8"/>
  <c r="A181" i="8"/>
  <c r="C108" i="1"/>
  <c r="A76" i="8"/>
  <c r="A77" i="8"/>
  <c r="A78" i="8"/>
  <c r="A79" i="8"/>
  <c r="A80" i="8"/>
  <c r="A81" i="8"/>
  <c r="A82" i="8"/>
  <c r="A83" i="8"/>
  <c r="A84" i="8"/>
  <c r="A85" i="8"/>
  <c r="A86" i="8"/>
  <c r="A87" i="8"/>
  <c r="A88" i="8"/>
  <c r="A89" i="8"/>
  <c r="A90" i="8"/>
  <c r="A91" i="8"/>
  <c r="A92" i="8"/>
  <c r="A93" i="8"/>
  <c r="A147" i="8"/>
  <c r="A145" i="8"/>
  <c r="A134" i="8"/>
  <c r="AJ24" i="4"/>
  <c r="A125" i="8"/>
  <c r="A124" i="8"/>
  <c r="A123" i="8"/>
  <c r="A122" i="8"/>
  <c r="A121" i="8"/>
  <c r="A120" i="8"/>
  <c r="A119" i="8"/>
  <c r="A118" i="8"/>
  <c r="A117" i="8"/>
  <c r="A116" i="8"/>
  <c r="A115" i="8"/>
  <c r="A114" i="8"/>
  <c r="A113" i="8"/>
  <c r="A112" i="8"/>
  <c r="A188" i="8"/>
  <c r="A33" i="8"/>
  <c r="A32" i="8"/>
  <c r="A185" i="8"/>
  <c r="A70" i="8"/>
  <c r="D136" i="1"/>
  <c r="D140" i="1"/>
  <c r="G5" i="5"/>
  <c r="Z102"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2" i="4"/>
  <c r="Z21" i="4"/>
  <c r="Z20" i="4"/>
  <c r="Z19" i="4"/>
  <c r="Z18" i="4"/>
  <c r="Z17" i="4"/>
  <c r="Z16" i="4"/>
  <c r="Z15" i="4"/>
  <c r="A168" i="8"/>
  <c r="A167" i="8"/>
  <c r="A166" i="8"/>
  <c r="A165" i="8"/>
  <c r="A164" i="8"/>
  <c r="A163" i="8"/>
  <c r="A162" i="8"/>
  <c r="A161" i="8"/>
  <c r="A160" i="8"/>
  <c r="A159" i="8"/>
  <c r="A158" i="8"/>
  <c r="A144" i="8"/>
  <c r="A143" i="8"/>
  <c r="A142" i="8"/>
  <c r="A141" i="8"/>
  <c r="A37" i="8"/>
  <c r="A36" i="8"/>
  <c r="A35" i="8"/>
  <c r="C77" i="1"/>
  <c r="A18" i="8"/>
  <c r="A22" i="8"/>
  <c r="A21" i="8"/>
  <c r="A20" i="8"/>
  <c r="A19" i="8"/>
  <c r="A17" i="8"/>
  <c r="A16" i="8"/>
  <c r="A15" i="8"/>
  <c r="G7" i="6"/>
  <c r="A175" i="8"/>
  <c r="A174" i="8"/>
  <c r="A173" i="8"/>
  <c r="A172" i="8"/>
  <c r="A171" i="8"/>
  <c r="A170" i="8"/>
  <c r="A140" i="8"/>
  <c r="A139" i="8"/>
  <c r="A138" i="8"/>
  <c r="B87" i="1"/>
  <c r="B86" i="1"/>
  <c r="U12" i="6"/>
  <c r="B85" i="1"/>
  <c r="S12" i="6"/>
  <c r="B84" i="1"/>
  <c r="Q12" i="6"/>
  <c r="B83" i="1"/>
  <c r="O12" i="6"/>
  <c r="B82" i="1"/>
  <c r="M12" i="6"/>
  <c r="B81" i="1"/>
  <c r="B80" i="1"/>
  <c r="I12" i="6"/>
  <c r="B79" i="1"/>
  <c r="E11" i="4"/>
  <c r="A58" i="8"/>
  <c r="T12" i="4"/>
  <c r="AQ14" i="4"/>
  <c r="AS14" i="4"/>
  <c r="AR14" i="4"/>
  <c r="E101" i="6"/>
  <c r="D101" i="6"/>
  <c r="C101" i="6"/>
  <c r="B101" i="6"/>
  <c r="E100" i="6"/>
  <c r="D100" i="6"/>
  <c r="C100" i="6"/>
  <c r="B100" i="6"/>
  <c r="E99" i="6"/>
  <c r="D99" i="6"/>
  <c r="C99" i="6"/>
  <c r="B99" i="6"/>
  <c r="E98" i="6"/>
  <c r="D98" i="6"/>
  <c r="C98" i="6"/>
  <c r="B98" i="6"/>
  <c r="E97" i="6"/>
  <c r="D97" i="6"/>
  <c r="C97" i="6"/>
  <c r="B97" i="6"/>
  <c r="E96" i="6"/>
  <c r="D96" i="6"/>
  <c r="C96" i="6"/>
  <c r="B96" i="6"/>
  <c r="E95" i="6"/>
  <c r="D95" i="6"/>
  <c r="C95" i="6"/>
  <c r="B95" i="6"/>
  <c r="E94" i="6"/>
  <c r="D94" i="6"/>
  <c r="C94" i="6"/>
  <c r="B94" i="6"/>
  <c r="E93" i="6"/>
  <c r="D93" i="6"/>
  <c r="C93" i="6"/>
  <c r="B93" i="6"/>
  <c r="E92" i="6"/>
  <c r="D92" i="6"/>
  <c r="C92" i="6"/>
  <c r="B92" i="6"/>
  <c r="E91" i="6"/>
  <c r="D91" i="6"/>
  <c r="C91" i="6"/>
  <c r="B91" i="6"/>
  <c r="E90" i="6"/>
  <c r="D90" i="6"/>
  <c r="C90" i="6"/>
  <c r="B90" i="6"/>
  <c r="E89" i="6"/>
  <c r="D89" i="6"/>
  <c r="C89" i="6"/>
  <c r="B89" i="6"/>
  <c r="E88" i="6"/>
  <c r="D88" i="6"/>
  <c r="C88" i="6"/>
  <c r="B88" i="6"/>
  <c r="E87" i="6"/>
  <c r="D87" i="6"/>
  <c r="C87" i="6"/>
  <c r="B87" i="6"/>
  <c r="E86" i="6"/>
  <c r="D86" i="6"/>
  <c r="C86" i="6"/>
  <c r="B86" i="6"/>
  <c r="E85" i="6"/>
  <c r="D85" i="6"/>
  <c r="C85" i="6"/>
  <c r="B85" i="6"/>
  <c r="E84" i="6"/>
  <c r="D84" i="6"/>
  <c r="C84" i="6"/>
  <c r="B84" i="6"/>
  <c r="E83" i="6"/>
  <c r="D83" i="6"/>
  <c r="C83" i="6"/>
  <c r="B83" i="6"/>
  <c r="E82" i="6"/>
  <c r="D82" i="6"/>
  <c r="C82" i="6"/>
  <c r="B82" i="6"/>
  <c r="E81" i="6"/>
  <c r="D81" i="6"/>
  <c r="C81" i="6"/>
  <c r="B81" i="6"/>
  <c r="E80" i="6"/>
  <c r="D80" i="6"/>
  <c r="C80" i="6"/>
  <c r="B80" i="6"/>
  <c r="E79" i="6"/>
  <c r="D79" i="6"/>
  <c r="C79" i="6"/>
  <c r="B79" i="6"/>
  <c r="E78" i="6"/>
  <c r="D78" i="6"/>
  <c r="C78" i="6"/>
  <c r="B78" i="6"/>
  <c r="E77" i="6"/>
  <c r="D77" i="6"/>
  <c r="C77" i="6"/>
  <c r="B77" i="6"/>
  <c r="E76" i="6"/>
  <c r="D76" i="6"/>
  <c r="C76" i="6"/>
  <c r="B76" i="6"/>
  <c r="E75" i="6"/>
  <c r="D75" i="6"/>
  <c r="C75" i="6"/>
  <c r="B75" i="6"/>
  <c r="E74" i="6"/>
  <c r="D74" i="6"/>
  <c r="C74" i="6"/>
  <c r="B74" i="6"/>
  <c r="E73" i="6"/>
  <c r="D73" i="6"/>
  <c r="C73" i="6"/>
  <c r="B73" i="6"/>
  <c r="X73" i="6"/>
  <c r="E72" i="6"/>
  <c r="D72" i="6"/>
  <c r="C72" i="6"/>
  <c r="B72" i="6"/>
  <c r="E71" i="6"/>
  <c r="D71" i="6"/>
  <c r="C71" i="6"/>
  <c r="B71" i="6"/>
  <c r="E70" i="6"/>
  <c r="D70" i="6"/>
  <c r="C70" i="6"/>
  <c r="B70" i="6"/>
  <c r="E69" i="6"/>
  <c r="D69" i="6"/>
  <c r="C69" i="6"/>
  <c r="B69" i="6"/>
  <c r="E68" i="6"/>
  <c r="D68" i="6"/>
  <c r="C68" i="6"/>
  <c r="B68" i="6"/>
  <c r="E67" i="6"/>
  <c r="D67" i="6"/>
  <c r="C67" i="6"/>
  <c r="B67" i="6"/>
  <c r="E66" i="6"/>
  <c r="D66" i="6"/>
  <c r="C66" i="6"/>
  <c r="B66" i="6"/>
  <c r="E65" i="6"/>
  <c r="D65" i="6"/>
  <c r="C65" i="6"/>
  <c r="B65" i="6"/>
  <c r="E64" i="6"/>
  <c r="D64" i="6"/>
  <c r="C64" i="6"/>
  <c r="B64" i="6"/>
  <c r="E63" i="6"/>
  <c r="D63" i="6"/>
  <c r="C63" i="6"/>
  <c r="B63" i="6"/>
  <c r="E62" i="6"/>
  <c r="D62" i="6"/>
  <c r="C62" i="6"/>
  <c r="B62" i="6"/>
  <c r="E61" i="6"/>
  <c r="D61" i="6"/>
  <c r="C61" i="6"/>
  <c r="B61" i="6"/>
  <c r="E60" i="6"/>
  <c r="D60" i="6"/>
  <c r="C60" i="6"/>
  <c r="B60" i="6"/>
  <c r="E59" i="6"/>
  <c r="D59" i="6"/>
  <c r="C59" i="6"/>
  <c r="B59" i="6"/>
  <c r="E58" i="6"/>
  <c r="D58" i="6"/>
  <c r="C58" i="6"/>
  <c r="B58" i="6"/>
  <c r="E57" i="6"/>
  <c r="D57" i="6"/>
  <c r="C57" i="6"/>
  <c r="B57" i="6"/>
  <c r="E56" i="6"/>
  <c r="D56" i="6"/>
  <c r="C56" i="6"/>
  <c r="B56" i="6"/>
  <c r="E55" i="6"/>
  <c r="D55" i="6"/>
  <c r="C55" i="6"/>
  <c r="B55" i="6"/>
  <c r="E54" i="6"/>
  <c r="D54" i="6"/>
  <c r="C54" i="6"/>
  <c r="B54" i="6"/>
  <c r="E53" i="6"/>
  <c r="D53" i="6"/>
  <c r="C53" i="6"/>
  <c r="B53" i="6"/>
  <c r="E52" i="6"/>
  <c r="D52" i="6"/>
  <c r="C52" i="6"/>
  <c r="B52" i="6"/>
  <c r="E51" i="6"/>
  <c r="D51" i="6"/>
  <c r="C51" i="6"/>
  <c r="B51" i="6"/>
  <c r="E50" i="6"/>
  <c r="D50" i="6"/>
  <c r="C50" i="6"/>
  <c r="B50" i="6"/>
  <c r="E49" i="6"/>
  <c r="D49" i="6"/>
  <c r="C49" i="6"/>
  <c r="B49" i="6"/>
  <c r="G49" i="6"/>
  <c r="F49" i="6"/>
  <c r="X49" i="6"/>
  <c r="G50" i="6"/>
  <c r="F50" i="6"/>
  <c r="X50" i="6"/>
  <c r="G51" i="6"/>
  <c r="F51" i="6"/>
  <c r="X51" i="6"/>
  <c r="G78" i="6"/>
  <c r="F78" i="6"/>
  <c r="X78" i="6"/>
  <c r="G86" i="6"/>
  <c r="F86" i="6"/>
  <c r="X86" i="6"/>
  <c r="G92" i="6"/>
  <c r="F92" i="6"/>
  <c r="X92" i="6"/>
  <c r="G100" i="6"/>
  <c r="F100" i="6"/>
  <c r="X100" i="6"/>
  <c r="G59" i="6"/>
  <c r="F59" i="6"/>
  <c r="X59" i="6"/>
  <c r="G65" i="6"/>
  <c r="F65" i="6"/>
  <c r="X65" i="6"/>
  <c r="G61" i="6"/>
  <c r="F61" i="6"/>
  <c r="X61" i="6"/>
  <c r="G71" i="6"/>
  <c r="F71" i="6"/>
  <c r="X71" i="6"/>
  <c r="G75" i="6"/>
  <c r="F75" i="6"/>
  <c r="X75" i="6"/>
  <c r="G77" i="6"/>
  <c r="F77" i="6"/>
  <c r="X77" i="6"/>
  <c r="G79" i="6"/>
  <c r="F79" i="6"/>
  <c r="X79" i="6"/>
  <c r="G81" i="6"/>
  <c r="F81" i="6"/>
  <c r="X81" i="6"/>
  <c r="G83" i="6"/>
  <c r="F83" i="6"/>
  <c r="X83" i="6"/>
  <c r="G85" i="6"/>
  <c r="F85" i="6"/>
  <c r="X85" i="6"/>
  <c r="G87" i="6"/>
  <c r="F87" i="6"/>
  <c r="X87" i="6"/>
  <c r="G89" i="6"/>
  <c r="F89" i="6"/>
  <c r="X89" i="6"/>
  <c r="G91" i="6"/>
  <c r="F91" i="6"/>
  <c r="X91" i="6"/>
  <c r="G93" i="6"/>
  <c r="F93" i="6"/>
  <c r="X93" i="6"/>
  <c r="G95" i="6"/>
  <c r="F95" i="6"/>
  <c r="X95" i="6"/>
  <c r="G97" i="6"/>
  <c r="F97" i="6"/>
  <c r="X97" i="6"/>
  <c r="G99" i="6"/>
  <c r="F99" i="6"/>
  <c r="X99" i="6"/>
  <c r="G101" i="6"/>
  <c r="F101" i="6"/>
  <c r="X101" i="6"/>
  <c r="G74" i="6"/>
  <c r="F74" i="6"/>
  <c r="X74" i="6"/>
  <c r="G80" i="6"/>
  <c r="F80" i="6"/>
  <c r="X80" i="6"/>
  <c r="G82" i="6"/>
  <c r="F82" i="6"/>
  <c r="X82" i="6"/>
  <c r="G88" i="6"/>
  <c r="F88" i="6"/>
  <c r="X88" i="6"/>
  <c r="G90" i="6"/>
  <c r="F90" i="6"/>
  <c r="X90" i="6"/>
  <c r="G94" i="6"/>
  <c r="F94" i="6"/>
  <c r="X94" i="6"/>
  <c r="G98" i="6"/>
  <c r="F98" i="6"/>
  <c r="X98" i="6"/>
  <c r="G53" i="6"/>
  <c r="F53" i="6"/>
  <c r="X53" i="6"/>
  <c r="G57" i="6"/>
  <c r="F57" i="6"/>
  <c r="X57" i="6"/>
  <c r="G63" i="6"/>
  <c r="F63" i="6"/>
  <c r="X63" i="6"/>
  <c r="G67" i="6"/>
  <c r="F67" i="6"/>
  <c r="X67" i="6"/>
  <c r="G76" i="6"/>
  <c r="F76" i="6"/>
  <c r="X76" i="6"/>
  <c r="G84" i="6"/>
  <c r="F84" i="6"/>
  <c r="X84" i="6"/>
  <c r="G96" i="6"/>
  <c r="F96" i="6"/>
  <c r="X96" i="6"/>
  <c r="G55" i="6"/>
  <c r="F55" i="6"/>
  <c r="X55" i="6"/>
  <c r="G69" i="6"/>
  <c r="F69" i="6"/>
  <c r="X69" i="6"/>
  <c r="G52" i="6"/>
  <c r="F52" i="6"/>
  <c r="X52" i="6"/>
  <c r="G54" i="6"/>
  <c r="F54" i="6"/>
  <c r="X54" i="6"/>
  <c r="G56" i="6"/>
  <c r="F56" i="6"/>
  <c r="X56" i="6"/>
  <c r="G58" i="6"/>
  <c r="F58" i="6"/>
  <c r="X58" i="6"/>
  <c r="G60" i="6"/>
  <c r="F60" i="6"/>
  <c r="X60" i="6"/>
  <c r="G62" i="6"/>
  <c r="F62" i="6"/>
  <c r="X62" i="6"/>
  <c r="G64" i="6"/>
  <c r="F64" i="6"/>
  <c r="X64" i="6"/>
  <c r="G66" i="6"/>
  <c r="F66" i="6"/>
  <c r="X66" i="6"/>
  <c r="G68" i="6"/>
  <c r="F68" i="6"/>
  <c r="X68" i="6"/>
  <c r="G70" i="6"/>
  <c r="F70" i="6"/>
  <c r="X70" i="6"/>
  <c r="G72" i="6"/>
  <c r="F72" i="6"/>
  <c r="X72" i="6"/>
  <c r="G73" i="6"/>
  <c r="F73" i="6"/>
  <c r="G6" i="6"/>
  <c r="G5" i="6"/>
  <c r="T11" i="4"/>
  <c r="T10" i="4"/>
  <c r="AT102" i="4"/>
  <c r="AT101" i="4"/>
  <c r="AT97" i="4"/>
  <c r="AT93" i="4"/>
  <c r="AT89" i="4"/>
  <c r="AT85" i="4"/>
  <c r="AT81" i="4"/>
  <c r="AT77" i="4"/>
  <c r="AT73" i="4"/>
  <c r="AT69" i="4"/>
  <c r="AT65" i="4"/>
  <c r="AT61" i="4"/>
  <c r="AT57" i="4"/>
  <c r="AT53" i="4"/>
  <c r="AT49" i="4"/>
  <c r="AT45" i="4"/>
  <c r="AT41" i="4"/>
  <c r="AT37" i="4"/>
  <c r="AT33" i="4"/>
  <c r="AT29" i="4"/>
  <c r="AT25" i="4"/>
  <c r="AT21" i="4"/>
  <c r="AT96" i="4"/>
  <c r="AT88" i="4"/>
  <c r="AT80" i="4"/>
  <c r="AT76" i="4"/>
  <c r="AT68" i="4"/>
  <c r="AT64" i="4"/>
  <c r="AT56" i="4"/>
  <c r="AT52" i="4"/>
  <c r="AT48" i="4"/>
  <c r="AT40" i="4"/>
  <c r="AT36" i="4"/>
  <c r="AT32" i="4"/>
  <c r="AT24" i="4"/>
  <c r="AT100" i="4"/>
  <c r="AT92" i="4"/>
  <c r="AT84" i="4"/>
  <c r="AT72" i="4"/>
  <c r="AT60" i="4"/>
  <c r="AT44" i="4"/>
  <c r="AT28" i="4"/>
  <c r="AT20" i="4"/>
  <c r="AT99" i="4"/>
  <c r="AT95" i="4"/>
  <c r="AT91" i="4"/>
  <c r="AT87" i="4"/>
  <c r="AT83" i="4"/>
  <c r="AT79" i="4"/>
  <c r="AT75" i="4"/>
  <c r="AT71" i="4"/>
  <c r="AT67" i="4"/>
  <c r="AT63" i="4"/>
  <c r="AT59" i="4"/>
  <c r="AT55" i="4"/>
  <c r="AT51" i="4"/>
  <c r="AT47" i="4"/>
  <c r="AT43" i="4"/>
  <c r="AT39" i="4"/>
  <c r="AT35" i="4"/>
  <c r="AT31" i="4"/>
  <c r="AT27" i="4"/>
  <c r="AT23" i="4"/>
  <c r="AT19" i="4"/>
  <c r="AT98" i="4"/>
  <c r="AT90" i="4"/>
  <c r="AT86" i="4"/>
  <c r="AT82" i="4"/>
  <c r="AT74" i="4"/>
  <c r="AT70" i="4"/>
  <c r="AT62" i="4"/>
  <c r="AT54" i="4"/>
  <c r="AT50" i="4"/>
  <c r="AT42" i="4"/>
  <c r="AT34" i="4"/>
  <c r="AT30" i="4"/>
  <c r="AT22" i="4"/>
  <c r="AT94" i="4"/>
  <c r="AT78" i="4"/>
  <c r="AT66" i="4"/>
  <c r="AT58" i="4"/>
  <c r="AT46" i="4"/>
  <c r="AT38" i="4"/>
  <c r="AT26" i="4"/>
  <c r="AT18" i="4"/>
  <c r="AT15" i="4"/>
  <c r="AT16" i="4"/>
  <c r="AT17" i="4"/>
  <c r="P10" i="4"/>
  <c r="AC101" i="4"/>
  <c r="AG101" i="4"/>
  <c r="AB101" i="4"/>
  <c r="AA101" i="4"/>
  <c r="AC100" i="4"/>
  <c r="AG100" i="4"/>
  <c r="AB100" i="4"/>
  <c r="AA100" i="4"/>
  <c r="AC99" i="4"/>
  <c r="AG99" i="4"/>
  <c r="AB99" i="4"/>
  <c r="AA99" i="4"/>
  <c r="AC98" i="4"/>
  <c r="AG98" i="4"/>
  <c r="AB98" i="4"/>
  <c r="AA98" i="4"/>
  <c r="AC97" i="4"/>
  <c r="AG97" i="4"/>
  <c r="AB97" i="4"/>
  <c r="AA97" i="4"/>
  <c r="AC96" i="4"/>
  <c r="AG96" i="4"/>
  <c r="AB96" i="4"/>
  <c r="AA96" i="4"/>
  <c r="AC95" i="4"/>
  <c r="AG95" i="4"/>
  <c r="AB95" i="4"/>
  <c r="AA95" i="4"/>
  <c r="AC94" i="4"/>
  <c r="AG94" i="4"/>
  <c r="AB94" i="4"/>
  <c r="AA94" i="4"/>
  <c r="AC93" i="4"/>
  <c r="AG93" i="4"/>
  <c r="AB93" i="4"/>
  <c r="AA93" i="4"/>
  <c r="AC92" i="4"/>
  <c r="AG92" i="4"/>
  <c r="AB92" i="4"/>
  <c r="AA92" i="4"/>
  <c r="AC91" i="4"/>
  <c r="AG91" i="4"/>
  <c r="AB91" i="4"/>
  <c r="AA91" i="4"/>
  <c r="AC90" i="4"/>
  <c r="AG90" i="4"/>
  <c r="AB90" i="4"/>
  <c r="AA90" i="4"/>
  <c r="AC89" i="4"/>
  <c r="AG89" i="4"/>
  <c r="AB89" i="4"/>
  <c r="AA89" i="4"/>
  <c r="AC88" i="4"/>
  <c r="AG88" i="4"/>
  <c r="AB88" i="4"/>
  <c r="AA88" i="4"/>
  <c r="AC87" i="4"/>
  <c r="AG87" i="4"/>
  <c r="AB87" i="4"/>
  <c r="AA87" i="4"/>
  <c r="AC86" i="4"/>
  <c r="AG86" i="4"/>
  <c r="AB86" i="4"/>
  <c r="AA86" i="4"/>
  <c r="AC85" i="4"/>
  <c r="AG85" i="4"/>
  <c r="AB85" i="4"/>
  <c r="AA85" i="4"/>
  <c r="AC84" i="4"/>
  <c r="AG84" i="4"/>
  <c r="AB84" i="4"/>
  <c r="AA84" i="4"/>
  <c r="AC83" i="4"/>
  <c r="AG83" i="4"/>
  <c r="AB83" i="4"/>
  <c r="AA83" i="4"/>
  <c r="AC82" i="4"/>
  <c r="AG82" i="4"/>
  <c r="AB82" i="4"/>
  <c r="AA82" i="4"/>
  <c r="AC81" i="4"/>
  <c r="AG81" i="4"/>
  <c r="AB81" i="4"/>
  <c r="AA81" i="4"/>
  <c r="AC80" i="4"/>
  <c r="AG80" i="4"/>
  <c r="AB80" i="4"/>
  <c r="AA80" i="4"/>
  <c r="AC79" i="4"/>
  <c r="AG79" i="4"/>
  <c r="AB79" i="4"/>
  <c r="AA79" i="4"/>
  <c r="AC78" i="4"/>
  <c r="AG78" i="4"/>
  <c r="AB78" i="4"/>
  <c r="AA78" i="4"/>
  <c r="AC77" i="4"/>
  <c r="AG77" i="4"/>
  <c r="AB77" i="4"/>
  <c r="AA77" i="4"/>
  <c r="AC76" i="4"/>
  <c r="AG76" i="4"/>
  <c r="AB76" i="4"/>
  <c r="AA76" i="4"/>
  <c r="AC75" i="4"/>
  <c r="AG75" i="4"/>
  <c r="AB75" i="4"/>
  <c r="AA75" i="4"/>
  <c r="AC74" i="4"/>
  <c r="AG74" i="4"/>
  <c r="AB74" i="4"/>
  <c r="AA74" i="4"/>
  <c r="AC73" i="4"/>
  <c r="AG73" i="4"/>
  <c r="AB73" i="4"/>
  <c r="AA73" i="4"/>
  <c r="AC72" i="4"/>
  <c r="AG72" i="4"/>
  <c r="AB72" i="4"/>
  <c r="AA72" i="4"/>
  <c r="AC71" i="4"/>
  <c r="AG71" i="4"/>
  <c r="AB71" i="4"/>
  <c r="AA71" i="4"/>
  <c r="AC70" i="4"/>
  <c r="AG70" i="4"/>
  <c r="AB70" i="4"/>
  <c r="AA70" i="4"/>
  <c r="AC69" i="4"/>
  <c r="AG69" i="4"/>
  <c r="AB69" i="4"/>
  <c r="AA69" i="4"/>
  <c r="AC68" i="4"/>
  <c r="AG68" i="4"/>
  <c r="AB68" i="4"/>
  <c r="AA68" i="4"/>
  <c r="AC67" i="4"/>
  <c r="AG67" i="4"/>
  <c r="AB67" i="4"/>
  <c r="AA67" i="4"/>
  <c r="AC66" i="4"/>
  <c r="AG66" i="4"/>
  <c r="AB66" i="4"/>
  <c r="AA66" i="4"/>
  <c r="AC65" i="4"/>
  <c r="AG65" i="4"/>
  <c r="AB65" i="4"/>
  <c r="AA65" i="4"/>
  <c r="AC64" i="4"/>
  <c r="AG64" i="4"/>
  <c r="AB64" i="4"/>
  <c r="AA64" i="4"/>
  <c r="AC63" i="4"/>
  <c r="AG63" i="4"/>
  <c r="AB63" i="4"/>
  <c r="AA63" i="4"/>
  <c r="AC62" i="4"/>
  <c r="AG62" i="4"/>
  <c r="AB62" i="4"/>
  <c r="AA62" i="4"/>
  <c r="AC61" i="4"/>
  <c r="AG61" i="4"/>
  <c r="AB61" i="4"/>
  <c r="AA61" i="4"/>
  <c r="AC60" i="4"/>
  <c r="AG60" i="4"/>
  <c r="AB60" i="4"/>
  <c r="AA60" i="4"/>
  <c r="AC59" i="4"/>
  <c r="AG59" i="4"/>
  <c r="AB59" i="4"/>
  <c r="AA59" i="4"/>
  <c r="AC58" i="4"/>
  <c r="AG58" i="4"/>
  <c r="AB58" i="4"/>
  <c r="AA58" i="4"/>
  <c r="AC57" i="4"/>
  <c r="AG57" i="4"/>
  <c r="AB57" i="4"/>
  <c r="AA57" i="4"/>
  <c r="AC56" i="4"/>
  <c r="AG56" i="4"/>
  <c r="AB56" i="4"/>
  <c r="AA56" i="4"/>
  <c r="AC55" i="4"/>
  <c r="AG55" i="4"/>
  <c r="AB55" i="4"/>
  <c r="AA55" i="4"/>
  <c r="AC54" i="4"/>
  <c r="AG54" i="4"/>
  <c r="AB54" i="4"/>
  <c r="AA54" i="4"/>
  <c r="AC53" i="4"/>
  <c r="AG53" i="4"/>
  <c r="AB53" i="4"/>
  <c r="AA53" i="4"/>
  <c r="AC52" i="4"/>
  <c r="AG52" i="4"/>
  <c r="AB52" i="4"/>
  <c r="AA52" i="4"/>
  <c r="AC51" i="4"/>
  <c r="AG51" i="4"/>
  <c r="AB51" i="4"/>
  <c r="AA51" i="4"/>
  <c r="AC50" i="4"/>
  <c r="AG50" i="4"/>
  <c r="AB50" i="4"/>
  <c r="AA50"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H102" i="4"/>
  <c r="H101" i="4"/>
  <c r="I101" i="4"/>
  <c r="N101" i="4"/>
  <c r="AS101" i="4" s="1"/>
  <c r="H100" i="4"/>
  <c r="I100" i="4"/>
  <c r="H99" i="4"/>
  <c r="I99" i="4"/>
  <c r="H98" i="4"/>
  <c r="I98" i="4"/>
  <c r="H97" i="4"/>
  <c r="I97" i="4"/>
  <c r="H96" i="4"/>
  <c r="I96" i="4"/>
  <c r="H95" i="4"/>
  <c r="I95" i="4"/>
  <c r="H94" i="4"/>
  <c r="I94" i="4"/>
  <c r="H93" i="4"/>
  <c r="I93" i="4"/>
  <c r="N93" i="4"/>
  <c r="AS93" i="4" s="1"/>
  <c r="H92" i="4"/>
  <c r="I92" i="4"/>
  <c r="H91" i="4"/>
  <c r="I91" i="4"/>
  <c r="H90" i="4"/>
  <c r="I90" i="4"/>
  <c r="H89" i="4"/>
  <c r="I89" i="4"/>
  <c r="H88" i="4"/>
  <c r="I88" i="4"/>
  <c r="H87" i="4"/>
  <c r="I87" i="4"/>
  <c r="H86" i="4"/>
  <c r="I86" i="4"/>
  <c r="H85" i="4"/>
  <c r="I85" i="4"/>
  <c r="N85" i="4"/>
  <c r="AS85" i="4" s="1"/>
  <c r="H84" i="4"/>
  <c r="I84" i="4"/>
  <c r="H83" i="4"/>
  <c r="I83" i="4"/>
  <c r="H82" i="4"/>
  <c r="I82" i="4"/>
  <c r="H81" i="4"/>
  <c r="I81" i="4"/>
  <c r="H80" i="4"/>
  <c r="I80" i="4"/>
  <c r="H79" i="4"/>
  <c r="I79" i="4"/>
  <c r="H78" i="4"/>
  <c r="I78" i="4"/>
  <c r="H77" i="4"/>
  <c r="I77" i="4"/>
  <c r="N77" i="4"/>
  <c r="AS77" i="4" s="1"/>
  <c r="H76" i="4"/>
  <c r="I76" i="4"/>
  <c r="H75" i="4"/>
  <c r="I75" i="4"/>
  <c r="H74" i="4"/>
  <c r="I74" i="4"/>
  <c r="H73" i="4"/>
  <c r="I73" i="4"/>
  <c r="H72" i="4"/>
  <c r="I72" i="4"/>
  <c r="H71" i="4"/>
  <c r="I71" i="4"/>
  <c r="H70" i="4"/>
  <c r="I70" i="4"/>
  <c r="H69" i="4"/>
  <c r="I69" i="4"/>
  <c r="N69" i="4"/>
  <c r="AS69" i="4" s="1"/>
  <c r="H68" i="4"/>
  <c r="I68" i="4"/>
  <c r="H67" i="4"/>
  <c r="I67" i="4"/>
  <c r="H66" i="4"/>
  <c r="I66" i="4"/>
  <c r="H65" i="4"/>
  <c r="I65" i="4"/>
  <c r="H64" i="4"/>
  <c r="I64" i="4"/>
  <c r="H63" i="4"/>
  <c r="I63" i="4"/>
  <c r="H62" i="4"/>
  <c r="I62" i="4"/>
  <c r="H61" i="4"/>
  <c r="I61" i="4"/>
  <c r="N61" i="4"/>
  <c r="AS61" i="4" s="1"/>
  <c r="H60" i="4"/>
  <c r="I60" i="4"/>
  <c r="H59" i="4"/>
  <c r="I59" i="4"/>
  <c r="H58" i="4"/>
  <c r="I58" i="4"/>
  <c r="H57" i="4"/>
  <c r="I57" i="4"/>
  <c r="H56" i="4"/>
  <c r="I56" i="4"/>
  <c r="H55" i="4"/>
  <c r="I55" i="4"/>
  <c r="H54" i="4"/>
  <c r="I54" i="4"/>
  <c r="H53" i="4"/>
  <c r="I53" i="4"/>
  <c r="N53" i="4"/>
  <c r="AS53" i="4" s="1"/>
  <c r="H52" i="4"/>
  <c r="I52" i="4"/>
  <c r="H51" i="4"/>
  <c r="I51" i="4"/>
  <c r="H50" i="4"/>
  <c r="I50" i="4"/>
  <c r="N50" i="4"/>
  <c r="AH50" i="4"/>
  <c r="AB95" i="6"/>
  <c r="AB93" i="6"/>
  <c r="AB86" i="6"/>
  <c r="AB79" i="6"/>
  <c r="AB77" i="6"/>
  <c r="AB70" i="6"/>
  <c r="AB63" i="6"/>
  <c r="AB61" i="6"/>
  <c r="AB53" i="6"/>
  <c r="AB100" i="6"/>
  <c r="W100" i="6"/>
  <c r="AB99" i="6"/>
  <c r="W99" i="6"/>
  <c r="AB98" i="6"/>
  <c r="W98" i="6"/>
  <c r="AB97" i="6"/>
  <c r="W97" i="6"/>
  <c r="AB96" i="6"/>
  <c r="W96" i="6"/>
  <c r="W95" i="6"/>
  <c r="AB94" i="6"/>
  <c r="W94" i="6"/>
  <c r="AB92" i="6"/>
  <c r="W92" i="6"/>
  <c r="AB91" i="6"/>
  <c r="W91" i="6"/>
  <c r="AB90" i="6"/>
  <c r="W90" i="6"/>
  <c r="AB89" i="6"/>
  <c r="W89" i="6"/>
  <c r="AB88" i="6"/>
  <c r="W88" i="6"/>
  <c r="AB87" i="6"/>
  <c r="W87" i="6"/>
  <c r="AB85" i="6"/>
  <c r="AB84" i="6"/>
  <c r="W84" i="6"/>
  <c r="AB83" i="6"/>
  <c r="W83" i="6"/>
  <c r="AB82" i="6"/>
  <c r="W82" i="6"/>
  <c r="AB81" i="6"/>
  <c r="W81" i="6"/>
  <c r="AB80" i="6"/>
  <c r="W80" i="6"/>
  <c r="W79" i="6"/>
  <c r="AB78" i="6"/>
  <c r="W78" i="6"/>
  <c r="W77" i="6"/>
  <c r="AB76" i="6"/>
  <c r="W76" i="6"/>
  <c r="AB75" i="6"/>
  <c r="W75" i="6"/>
  <c r="AB74" i="6"/>
  <c r="W74" i="6"/>
  <c r="AB73" i="6"/>
  <c r="W73" i="6"/>
  <c r="AB72" i="6"/>
  <c r="W72" i="6"/>
  <c r="AB71" i="6"/>
  <c r="W71" i="6"/>
  <c r="W70" i="6"/>
  <c r="AB69" i="6"/>
  <c r="AB68" i="6"/>
  <c r="W68" i="6"/>
  <c r="AB67" i="6"/>
  <c r="W67" i="6"/>
  <c r="AB66" i="6"/>
  <c r="W66" i="6"/>
  <c r="AB65" i="6"/>
  <c r="W65" i="6"/>
  <c r="AB64" i="6"/>
  <c r="W64" i="6"/>
  <c r="W63" i="6"/>
  <c r="AB62" i="6"/>
  <c r="W62" i="6"/>
  <c r="AB60" i="6"/>
  <c r="W60" i="6"/>
  <c r="AB59" i="6"/>
  <c r="W59" i="6"/>
  <c r="AB58" i="6"/>
  <c r="W58" i="6"/>
  <c r="AB57" i="6"/>
  <c r="W57" i="6"/>
  <c r="AB56" i="6"/>
  <c r="W56" i="6"/>
  <c r="AB55" i="6"/>
  <c r="W55" i="6"/>
  <c r="AB54" i="6"/>
  <c r="W54" i="6"/>
  <c r="AB52" i="6"/>
  <c r="W52" i="6"/>
  <c r="AB51" i="6"/>
  <c r="W51" i="6"/>
  <c r="AB50" i="6"/>
  <c r="W50" i="6"/>
  <c r="AB49" i="6"/>
  <c r="W49" i="6"/>
  <c r="W86" i="6"/>
  <c r="W85" i="6"/>
  <c r="W69" i="6"/>
  <c r="W53" i="6"/>
  <c r="AH53" i="4"/>
  <c r="AR53" i="4" s="1"/>
  <c r="AH61" i="4"/>
  <c r="AR61" i="4" s="1"/>
  <c r="AH69" i="4"/>
  <c r="AR69" i="4" s="1"/>
  <c r="AH77" i="4"/>
  <c r="AR77" i="4" s="1"/>
  <c r="AH85" i="4"/>
  <c r="AR85" i="4" s="1"/>
  <c r="AH93" i="4"/>
  <c r="AR93" i="4" s="1"/>
  <c r="AH101" i="4"/>
  <c r="AR101" i="4" s="1"/>
  <c r="O53" i="4"/>
  <c r="AD53" i="4"/>
  <c r="O61" i="4"/>
  <c r="AD61" i="4"/>
  <c r="O69" i="4"/>
  <c r="AD69" i="4"/>
  <c r="O77" i="4"/>
  <c r="AD77" i="4"/>
  <c r="O85" i="4"/>
  <c r="AD85" i="4"/>
  <c r="O93" i="4"/>
  <c r="AD93" i="4"/>
  <c r="O101" i="4"/>
  <c r="AD101" i="4"/>
  <c r="O50" i="4"/>
  <c r="AD50" i="4"/>
  <c r="L52" i="4"/>
  <c r="N52" i="4"/>
  <c r="AH52" i="4"/>
  <c r="N60" i="4"/>
  <c r="AS60" i="4" s="1"/>
  <c r="L60" i="4"/>
  <c r="N68" i="4"/>
  <c r="AS68" i="4" s="1"/>
  <c r="L68" i="4"/>
  <c r="L76" i="4"/>
  <c r="N76" i="4"/>
  <c r="AS76" i="4" s="1"/>
  <c r="L84" i="4"/>
  <c r="N84" i="4"/>
  <c r="AS84" i="4" s="1"/>
  <c r="N92" i="4"/>
  <c r="AS92" i="4" s="1"/>
  <c r="L92" i="4"/>
  <c r="N100" i="4"/>
  <c r="AS100" i="4" s="1"/>
  <c r="L100" i="4"/>
  <c r="L70" i="4"/>
  <c r="N70" i="4"/>
  <c r="AS70" i="4" s="1"/>
  <c r="L78" i="4"/>
  <c r="N78" i="4"/>
  <c r="AS78" i="4" s="1"/>
  <c r="N55" i="4"/>
  <c r="AS55" i="4" s="1"/>
  <c r="L55" i="4"/>
  <c r="N71" i="4"/>
  <c r="AS71" i="4" s="1"/>
  <c r="L71" i="4"/>
  <c r="N87" i="4"/>
  <c r="AS87" i="4" s="1"/>
  <c r="L87" i="4"/>
  <c r="N95" i="4"/>
  <c r="AS95" i="4" s="1"/>
  <c r="L95" i="4"/>
  <c r="N56" i="4"/>
  <c r="AS56" i="4" s="1"/>
  <c r="L56" i="4"/>
  <c r="N64" i="4"/>
  <c r="AS64" i="4" s="1"/>
  <c r="L64" i="4"/>
  <c r="N72" i="4"/>
  <c r="AS72" i="4" s="1"/>
  <c r="L72" i="4"/>
  <c r="N80" i="4"/>
  <c r="AS80" i="4" s="1"/>
  <c r="L80" i="4"/>
  <c r="N88" i="4"/>
  <c r="AS88" i="4" s="1"/>
  <c r="L88" i="4"/>
  <c r="N96" i="4"/>
  <c r="AS96" i="4" s="1"/>
  <c r="L96" i="4"/>
  <c r="L62" i="4"/>
  <c r="N62" i="4"/>
  <c r="AS62" i="4" s="1"/>
  <c r="L86" i="4"/>
  <c r="N86" i="4"/>
  <c r="AS86" i="4" s="1"/>
  <c r="N63" i="4"/>
  <c r="AS63" i="4" s="1"/>
  <c r="L63" i="4"/>
  <c r="N65" i="4"/>
  <c r="AS65" i="4" s="1"/>
  <c r="L65" i="4"/>
  <c r="L73" i="4"/>
  <c r="N73" i="4"/>
  <c r="AS73" i="4" s="1"/>
  <c r="N89" i="4"/>
  <c r="AS89" i="4" s="1"/>
  <c r="L89" i="4"/>
  <c r="L97" i="4"/>
  <c r="N97" i="4"/>
  <c r="AS97" i="4" s="1"/>
  <c r="N58" i="4"/>
  <c r="AS58" i="4" s="1"/>
  <c r="L58" i="4"/>
  <c r="N66" i="4"/>
  <c r="AS66" i="4" s="1"/>
  <c r="L66" i="4"/>
  <c r="N74" i="4"/>
  <c r="AS74" i="4" s="1"/>
  <c r="L74" i="4"/>
  <c r="N82" i="4"/>
  <c r="AS82" i="4" s="1"/>
  <c r="L82" i="4"/>
  <c r="N90" i="4"/>
  <c r="AS90" i="4" s="1"/>
  <c r="L90" i="4"/>
  <c r="N98" i="4"/>
  <c r="AS98" i="4" s="1"/>
  <c r="L98" i="4"/>
  <c r="L94" i="4"/>
  <c r="N94" i="4"/>
  <c r="AS94" i="4" s="1"/>
  <c r="N79" i="4"/>
  <c r="AS79" i="4" s="1"/>
  <c r="L79" i="4"/>
  <c r="N57" i="4"/>
  <c r="AS57" i="4" s="1"/>
  <c r="L57" i="4"/>
  <c r="N81" i="4"/>
  <c r="AS81" i="4" s="1"/>
  <c r="L81" i="4"/>
  <c r="L51" i="4"/>
  <c r="N51" i="4"/>
  <c r="AH51" i="4"/>
  <c r="N59" i="4"/>
  <c r="AS59" i="4" s="1"/>
  <c r="L59" i="4"/>
  <c r="N67" i="4"/>
  <c r="AS67" i="4" s="1"/>
  <c r="L67" i="4"/>
  <c r="L75" i="4"/>
  <c r="N75" i="4"/>
  <c r="AS75" i="4" s="1"/>
  <c r="L83" i="4"/>
  <c r="N83" i="4"/>
  <c r="AS83" i="4" s="1"/>
  <c r="N91" i="4"/>
  <c r="AS91" i="4" s="1"/>
  <c r="L91" i="4"/>
  <c r="N99" i="4"/>
  <c r="AS99" i="4" s="1"/>
  <c r="L99" i="4"/>
  <c r="L54" i="4"/>
  <c r="N54" i="4"/>
  <c r="AS54" i="4" s="1"/>
  <c r="L50" i="4"/>
  <c r="L53" i="4"/>
  <c r="L61" i="4"/>
  <c r="L69" i="4"/>
  <c r="L77" i="4"/>
  <c r="L85" i="4"/>
  <c r="L93" i="4"/>
  <c r="L101" i="4"/>
  <c r="W61" i="6"/>
  <c r="W93" i="6"/>
  <c r="AH80" i="4"/>
  <c r="AR80" i="4" s="1"/>
  <c r="AH87" i="4"/>
  <c r="AR87" i="4" s="1"/>
  <c r="AH57" i="4"/>
  <c r="AR57" i="4" s="1"/>
  <c r="AH71" i="4"/>
  <c r="AR71" i="4" s="1"/>
  <c r="AH82" i="4"/>
  <c r="AR82" i="4" s="1"/>
  <c r="O54" i="4"/>
  <c r="AD54" i="4"/>
  <c r="O75" i="4"/>
  <c r="AD75" i="4"/>
  <c r="O97" i="4"/>
  <c r="AD97" i="4"/>
  <c r="O73" i="4"/>
  <c r="AD73" i="4"/>
  <c r="O62" i="4"/>
  <c r="AD62" i="4"/>
  <c r="O70" i="4"/>
  <c r="AD70" i="4"/>
  <c r="O76" i="4"/>
  <c r="AD76" i="4"/>
  <c r="O91" i="4"/>
  <c r="AD91" i="4"/>
  <c r="O59" i="4"/>
  <c r="AD59" i="4"/>
  <c r="O81" i="4"/>
  <c r="AD81" i="4"/>
  <c r="O79" i="4"/>
  <c r="AD79" i="4"/>
  <c r="O98" i="4"/>
  <c r="AD98" i="4"/>
  <c r="O82" i="4"/>
  <c r="AD82" i="4"/>
  <c r="O66" i="4"/>
  <c r="AD66" i="4"/>
  <c r="O63" i="4"/>
  <c r="AD63" i="4"/>
  <c r="O88" i="4"/>
  <c r="AD88" i="4"/>
  <c r="O72" i="4"/>
  <c r="AD72" i="4"/>
  <c r="O56" i="4"/>
  <c r="AD56" i="4"/>
  <c r="O87" i="4"/>
  <c r="AD87" i="4"/>
  <c r="O55" i="4"/>
  <c r="AD55" i="4"/>
  <c r="O92" i="4"/>
  <c r="AD92" i="4"/>
  <c r="O60" i="4"/>
  <c r="AD60" i="4"/>
  <c r="O83" i="4"/>
  <c r="AD83" i="4"/>
  <c r="O51" i="4"/>
  <c r="AD51" i="4"/>
  <c r="O94" i="4"/>
  <c r="AD94" i="4"/>
  <c r="O86" i="4"/>
  <c r="AD86" i="4"/>
  <c r="O78" i="4"/>
  <c r="AD78" i="4"/>
  <c r="O84" i="4"/>
  <c r="AD84" i="4"/>
  <c r="O52" i="4"/>
  <c r="AD52" i="4"/>
  <c r="O99" i="4"/>
  <c r="AD99" i="4"/>
  <c r="O67" i="4"/>
  <c r="AD67" i="4"/>
  <c r="O57" i="4"/>
  <c r="AD57" i="4"/>
  <c r="O90" i="4"/>
  <c r="AD90" i="4"/>
  <c r="O74" i="4"/>
  <c r="AD74" i="4"/>
  <c r="O58" i="4"/>
  <c r="AD58" i="4"/>
  <c r="O89" i="4"/>
  <c r="AD89" i="4"/>
  <c r="O65" i="4"/>
  <c r="AD65" i="4"/>
  <c r="O96" i="4"/>
  <c r="AD96" i="4"/>
  <c r="O80" i="4"/>
  <c r="AD80" i="4"/>
  <c r="O64" i="4"/>
  <c r="AD64" i="4"/>
  <c r="O95" i="4"/>
  <c r="AD95" i="4"/>
  <c r="O71" i="4"/>
  <c r="AD71" i="4"/>
  <c r="O100" i="4"/>
  <c r="AD100" i="4"/>
  <c r="O68" i="4"/>
  <c r="AD68" i="4"/>
  <c r="AM19" i="4"/>
  <c r="AM18" i="4"/>
  <c r="V11" i="6"/>
  <c r="R11" i="6"/>
  <c r="P11" i="6"/>
  <c r="N11" i="6"/>
  <c r="L11" i="6"/>
  <c r="J11" i="6"/>
  <c r="J12" i="6" s="1"/>
  <c r="R99" i="6"/>
  <c r="R68" i="6"/>
  <c r="R64" i="6"/>
  <c r="R60" i="6"/>
  <c r="R69" i="6"/>
  <c r="R57" i="6"/>
  <c r="R53" i="6"/>
  <c r="R100" i="6"/>
  <c r="R96" i="6"/>
  <c r="R92" i="6"/>
  <c r="R88" i="6"/>
  <c r="R82" i="6"/>
  <c r="R78" i="6"/>
  <c r="R74" i="6"/>
  <c r="R70" i="6"/>
  <c r="R65" i="6"/>
  <c r="R61" i="6"/>
  <c r="R52" i="6"/>
  <c r="R97" i="6"/>
  <c r="R93" i="6"/>
  <c r="R89" i="6"/>
  <c r="R83" i="6"/>
  <c r="R79" i="6"/>
  <c r="R75" i="6"/>
  <c r="R71" i="6"/>
  <c r="R66" i="6"/>
  <c r="R62" i="6"/>
  <c r="R58" i="6"/>
  <c r="R54" i="6"/>
  <c r="R49" i="6"/>
  <c r="R98" i="6"/>
  <c r="R94" i="6"/>
  <c r="R90" i="6"/>
  <c r="R84" i="6"/>
  <c r="R80" i="6"/>
  <c r="R76" i="6"/>
  <c r="R72" i="6"/>
  <c r="R67" i="6"/>
  <c r="R63" i="6"/>
  <c r="R59" i="6"/>
  <c r="R55" i="6"/>
  <c r="R50" i="6"/>
  <c r="R86" i="6"/>
  <c r="R85" i="6"/>
  <c r="R95" i="6"/>
  <c r="R91" i="6"/>
  <c r="R87" i="6"/>
  <c r="R81" i="6"/>
  <c r="R77" i="6"/>
  <c r="R73" i="6"/>
  <c r="R56" i="6"/>
  <c r="R51" i="6"/>
  <c r="P86" i="6"/>
  <c r="P97" i="6"/>
  <c r="P75" i="6"/>
  <c r="P62" i="6"/>
  <c r="P99" i="6"/>
  <c r="P95" i="6"/>
  <c r="P91" i="6"/>
  <c r="P87" i="6"/>
  <c r="P81" i="6"/>
  <c r="P77" i="6"/>
  <c r="P73" i="6"/>
  <c r="P68" i="6"/>
  <c r="P64" i="6"/>
  <c r="P60" i="6"/>
  <c r="P56" i="6"/>
  <c r="P51" i="6"/>
  <c r="P69" i="6"/>
  <c r="P100" i="6"/>
  <c r="P96" i="6"/>
  <c r="P92" i="6"/>
  <c r="P88" i="6"/>
  <c r="P58" i="6"/>
  <c r="P82" i="6"/>
  <c r="P78" i="6"/>
  <c r="P74" i="6"/>
  <c r="P70" i="6"/>
  <c r="P52" i="6"/>
  <c r="P89" i="6"/>
  <c r="P54" i="6"/>
  <c r="P53" i="6"/>
  <c r="P83" i="6"/>
  <c r="P71" i="6"/>
  <c r="P49" i="6"/>
  <c r="P61" i="6"/>
  <c r="P93" i="6"/>
  <c r="P79" i="6"/>
  <c r="P66" i="6"/>
  <c r="P98" i="6"/>
  <c r="P94" i="6"/>
  <c r="P90" i="6"/>
  <c r="P84" i="6"/>
  <c r="P80" i="6"/>
  <c r="P76" i="6"/>
  <c r="P72" i="6"/>
  <c r="P67" i="6"/>
  <c r="P63" i="6"/>
  <c r="P59" i="6"/>
  <c r="P55" i="6"/>
  <c r="P50" i="6"/>
  <c r="P85" i="6"/>
  <c r="P65" i="6"/>
  <c r="P57" i="6"/>
  <c r="J97" i="6"/>
  <c r="J93" i="6"/>
  <c r="J83" i="6"/>
  <c r="J58" i="6"/>
  <c r="J69" i="6"/>
  <c r="J63" i="6"/>
  <c r="J85" i="6"/>
  <c r="J98" i="6"/>
  <c r="J94" i="6"/>
  <c r="J90" i="6"/>
  <c r="J84" i="6"/>
  <c r="J80" i="6"/>
  <c r="J76" i="6"/>
  <c r="J72" i="6"/>
  <c r="J67" i="6"/>
  <c r="J59" i="6"/>
  <c r="J55" i="6"/>
  <c r="J50" i="6"/>
  <c r="J86" i="6"/>
  <c r="J99" i="6"/>
  <c r="J95" i="6"/>
  <c r="J91" i="6"/>
  <c r="J87" i="6"/>
  <c r="J81" i="6"/>
  <c r="J77" i="6"/>
  <c r="J73" i="6"/>
  <c r="J68" i="6"/>
  <c r="J64" i="6"/>
  <c r="J60" i="6"/>
  <c r="J56" i="6"/>
  <c r="J51" i="6"/>
  <c r="J100" i="6"/>
  <c r="J96" i="6"/>
  <c r="J92" i="6"/>
  <c r="J88" i="6"/>
  <c r="J82" i="6"/>
  <c r="J78" i="6"/>
  <c r="J74" i="6"/>
  <c r="J70" i="6"/>
  <c r="J65" i="6"/>
  <c r="J61" i="6"/>
  <c r="J57" i="6"/>
  <c r="J52" i="6"/>
  <c r="J53" i="6"/>
  <c r="J89" i="6"/>
  <c r="J79" i="6"/>
  <c r="J75" i="6"/>
  <c r="J71" i="6"/>
  <c r="J66" i="6"/>
  <c r="J62" i="6"/>
  <c r="J54" i="6"/>
  <c r="J49" i="6"/>
  <c r="V12" i="6"/>
  <c r="V58" i="6"/>
  <c r="V49" i="6"/>
  <c r="V55" i="6"/>
  <c r="V100" i="6"/>
  <c r="V96" i="6"/>
  <c r="V92" i="6"/>
  <c r="V88" i="6"/>
  <c r="V82" i="6"/>
  <c r="V78" i="6"/>
  <c r="V74" i="6"/>
  <c r="V70" i="6"/>
  <c r="V65" i="6"/>
  <c r="V61" i="6"/>
  <c r="V57" i="6"/>
  <c r="V52" i="6"/>
  <c r="V53" i="6"/>
  <c r="V97" i="6"/>
  <c r="V89" i="6"/>
  <c r="V83" i="6"/>
  <c r="V71" i="6"/>
  <c r="V54" i="6"/>
  <c r="V94" i="6"/>
  <c r="V72" i="6"/>
  <c r="V63" i="6"/>
  <c r="V93" i="6"/>
  <c r="V75" i="6"/>
  <c r="V66" i="6"/>
  <c r="V62" i="6"/>
  <c r="V98" i="6"/>
  <c r="V67" i="6"/>
  <c r="V59" i="6"/>
  <c r="V86" i="6"/>
  <c r="V85" i="6"/>
  <c r="V90" i="6"/>
  <c r="V84" i="6"/>
  <c r="V80" i="6"/>
  <c r="V76" i="6"/>
  <c r="V50" i="6"/>
  <c r="V99" i="6"/>
  <c r="V95" i="6"/>
  <c r="V91" i="6"/>
  <c r="V87" i="6"/>
  <c r="V81" i="6"/>
  <c r="V77" i="6"/>
  <c r="V73" i="6"/>
  <c r="V68" i="6"/>
  <c r="V64" i="6"/>
  <c r="V60" i="6"/>
  <c r="V56" i="6"/>
  <c r="V51" i="6"/>
  <c r="V69" i="6"/>
  <c r="V79" i="6"/>
  <c r="L73" i="6"/>
  <c r="L82" i="6"/>
  <c r="L52" i="6"/>
  <c r="L98" i="6"/>
  <c r="L94" i="6"/>
  <c r="L90" i="6"/>
  <c r="L84" i="6"/>
  <c r="L80" i="6"/>
  <c r="L76" i="6"/>
  <c r="L72" i="6"/>
  <c r="L67" i="6"/>
  <c r="L63" i="6"/>
  <c r="L59" i="6"/>
  <c r="L55" i="6"/>
  <c r="L50" i="6"/>
  <c r="L99" i="6"/>
  <c r="L95" i="6"/>
  <c r="L91" i="6"/>
  <c r="L87" i="6"/>
  <c r="L81" i="6"/>
  <c r="L77" i="6"/>
  <c r="L68" i="6"/>
  <c r="L64" i="6"/>
  <c r="L60" i="6"/>
  <c r="L86" i="6"/>
  <c r="L85" i="6"/>
  <c r="L56" i="6"/>
  <c r="L92" i="6"/>
  <c r="L69" i="6"/>
  <c r="L53" i="6"/>
  <c r="L100" i="6"/>
  <c r="L88" i="6"/>
  <c r="L78" i="6"/>
  <c r="L74" i="6"/>
  <c r="L70" i="6"/>
  <c r="L61" i="6"/>
  <c r="L57" i="6"/>
  <c r="L97" i="6"/>
  <c r="L93" i="6"/>
  <c r="L89" i="6"/>
  <c r="L83" i="6"/>
  <c r="L79" i="6"/>
  <c r="L75" i="6"/>
  <c r="L71" i="6"/>
  <c r="L66" i="6"/>
  <c r="L62" i="6"/>
  <c r="L58" i="6"/>
  <c r="L54" i="6"/>
  <c r="L49" i="6"/>
  <c r="L51" i="6"/>
  <c r="L96" i="6"/>
  <c r="L65" i="6"/>
  <c r="N90" i="6"/>
  <c r="N80" i="6"/>
  <c r="N76" i="6"/>
  <c r="N72" i="6"/>
  <c r="N55" i="6"/>
  <c r="N86" i="6"/>
  <c r="N85" i="6"/>
  <c r="N51" i="6"/>
  <c r="N53" i="6"/>
  <c r="N99" i="6"/>
  <c r="N95" i="6"/>
  <c r="N91" i="6"/>
  <c r="N87" i="6"/>
  <c r="N81" i="6"/>
  <c r="N77" i="6"/>
  <c r="N73" i="6"/>
  <c r="N68" i="6"/>
  <c r="N64" i="6"/>
  <c r="N60" i="6"/>
  <c r="N56" i="6"/>
  <c r="N69" i="6"/>
  <c r="N100" i="6"/>
  <c r="N96" i="6"/>
  <c r="N92" i="6"/>
  <c r="N88" i="6"/>
  <c r="N82" i="6"/>
  <c r="N78" i="6"/>
  <c r="N74" i="6"/>
  <c r="N70" i="6"/>
  <c r="N65" i="6"/>
  <c r="N61" i="6"/>
  <c r="N57" i="6"/>
  <c r="N52" i="6"/>
  <c r="N97" i="6"/>
  <c r="N93" i="6"/>
  <c r="N89" i="6"/>
  <c r="N83" i="6"/>
  <c r="N79" i="6"/>
  <c r="N75" i="6"/>
  <c r="N71" i="6"/>
  <c r="N66" i="6"/>
  <c r="N62" i="6"/>
  <c r="N58" i="6"/>
  <c r="N54" i="6"/>
  <c r="N49" i="6"/>
  <c r="N98" i="6"/>
  <c r="N94" i="6"/>
  <c r="N84" i="6"/>
  <c r="N67" i="6"/>
  <c r="N63" i="6"/>
  <c r="N59" i="6"/>
  <c r="N50" i="6"/>
  <c r="R12" i="6"/>
  <c r="P101" i="6"/>
  <c r="P41" i="6"/>
  <c r="P33" i="6"/>
  <c r="P25" i="6"/>
  <c r="P17" i="6"/>
  <c r="P48" i="6"/>
  <c r="P40" i="6"/>
  <c r="P32" i="6"/>
  <c r="P24" i="6"/>
  <c r="P16" i="6"/>
  <c r="P46" i="6"/>
  <c r="P38" i="6"/>
  <c r="P30" i="6"/>
  <c r="P22" i="6"/>
  <c r="P14" i="6"/>
  <c r="P45" i="6"/>
  <c r="P37" i="6"/>
  <c r="P29" i="6"/>
  <c r="P21" i="6"/>
  <c r="P42" i="6"/>
  <c r="P26" i="6"/>
  <c r="P39" i="6"/>
  <c r="P23" i="6"/>
  <c r="P36" i="6"/>
  <c r="P20" i="6"/>
  <c r="P47" i="6"/>
  <c r="P31" i="6"/>
  <c r="P15" i="6"/>
  <c r="P44" i="6"/>
  <c r="P28" i="6"/>
  <c r="P43" i="6"/>
  <c r="P27" i="6"/>
  <c r="P35" i="6"/>
  <c r="P19" i="6"/>
  <c r="P34" i="6"/>
  <c r="P18" i="6"/>
  <c r="P12" i="6"/>
  <c r="R45" i="6"/>
  <c r="R37" i="6"/>
  <c r="R29" i="6"/>
  <c r="R21" i="6"/>
  <c r="R44" i="6"/>
  <c r="R36" i="6"/>
  <c r="R28" i="6"/>
  <c r="R20" i="6"/>
  <c r="R42" i="6"/>
  <c r="R34" i="6"/>
  <c r="R26" i="6"/>
  <c r="R18" i="6"/>
  <c r="R101" i="6"/>
  <c r="R41" i="6"/>
  <c r="R33" i="6"/>
  <c r="R25" i="6"/>
  <c r="R17" i="6"/>
  <c r="R48" i="6"/>
  <c r="R38" i="6"/>
  <c r="R22" i="6"/>
  <c r="R35" i="6"/>
  <c r="R19" i="6"/>
  <c r="R32" i="6"/>
  <c r="R16" i="6"/>
  <c r="R43" i="6"/>
  <c r="R27" i="6"/>
  <c r="R40" i="6"/>
  <c r="R24" i="6"/>
  <c r="R39" i="6"/>
  <c r="R23" i="6"/>
  <c r="R47" i="6"/>
  <c r="R31" i="6"/>
  <c r="R15" i="6"/>
  <c r="R46" i="6"/>
  <c r="R30" i="6"/>
  <c r="R14" i="6"/>
  <c r="J45" i="6"/>
  <c r="J37" i="6"/>
  <c r="J29" i="6"/>
  <c r="J21" i="6"/>
  <c r="J44" i="6"/>
  <c r="J36" i="6"/>
  <c r="J28" i="6"/>
  <c r="J20" i="6"/>
  <c r="J42" i="6"/>
  <c r="J34" i="6"/>
  <c r="J26" i="6"/>
  <c r="J18" i="6"/>
  <c r="J101" i="6"/>
  <c r="J41" i="6"/>
  <c r="J33" i="6"/>
  <c r="J25" i="6"/>
  <c r="J17" i="6"/>
  <c r="J38" i="6"/>
  <c r="J22" i="6"/>
  <c r="J35" i="6"/>
  <c r="J19" i="6"/>
  <c r="J48" i="6"/>
  <c r="J32" i="6"/>
  <c r="J16" i="6"/>
  <c r="J43" i="6"/>
  <c r="J27" i="6"/>
  <c r="J40" i="6"/>
  <c r="J24" i="6"/>
  <c r="J47" i="6"/>
  <c r="J31" i="6"/>
  <c r="J15" i="6"/>
  <c r="J46" i="6"/>
  <c r="J30" i="6"/>
  <c r="J14" i="6"/>
  <c r="J23" i="6"/>
  <c r="J39" i="6"/>
  <c r="L12" i="6"/>
  <c r="L101" i="6"/>
  <c r="L41" i="6"/>
  <c r="L33" i="6"/>
  <c r="L25" i="6"/>
  <c r="L17" i="6"/>
  <c r="L48" i="6"/>
  <c r="L40" i="6"/>
  <c r="L32" i="6"/>
  <c r="L24" i="6"/>
  <c r="L16" i="6"/>
  <c r="L46" i="6"/>
  <c r="L38" i="6"/>
  <c r="L30" i="6"/>
  <c r="L22" i="6"/>
  <c r="L14" i="6"/>
  <c r="L45" i="6"/>
  <c r="L37" i="6"/>
  <c r="L29" i="6"/>
  <c r="L21" i="6"/>
  <c r="L34" i="6"/>
  <c r="L18" i="6"/>
  <c r="L47" i="6"/>
  <c r="L31" i="6"/>
  <c r="L15" i="6"/>
  <c r="L44" i="6"/>
  <c r="L28" i="6"/>
  <c r="L39" i="6"/>
  <c r="L23" i="6"/>
  <c r="L36" i="6"/>
  <c r="L20" i="6"/>
  <c r="L43" i="6"/>
  <c r="L27" i="6"/>
  <c r="L42" i="6"/>
  <c r="L26" i="6"/>
  <c r="L35" i="6"/>
  <c r="L19" i="6"/>
  <c r="V45" i="6"/>
  <c r="V37" i="6"/>
  <c r="V29" i="6"/>
  <c r="V21" i="6"/>
  <c r="V44" i="6"/>
  <c r="V36" i="6"/>
  <c r="V28" i="6"/>
  <c r="V20" i="6"/>
  <c r="V43" i="6"/>
  <c r="V35" i="6"/>
  <c r="V27" i="6"/>
  <c r="V19" i="6"/>
  <c r="V42" i="6"/>
  <c r="V34" i="6"/>
  <c r="V26" i="6"/>
  <c r="V18" i="6"/>
  <c r="V101" i="6"/>
  <c r="V41" i="6"/>
  <c r="V33" i="6"/>
  <c r="V25" i="6"/>
  <c r="V17" i="6"/>
  <c r="V48" i="6"/>
  <c r="V40" i="6"/>
  <c r="V32" i="6"/>
  <c r="V24" i="6"/>
  <c r="V16" i="6"/>
  <c r="V31" i="6"/>
  <c r="V30" i="6"/>
  <c r="V23" i="6"/>
  <c r="V46" i="6"/>
  <c r="V14" i="6"/>
  <c r="V39" i="6"/>
  <c r="V38" i="6"/>
  <c r="V22" i="6"/>
  <c r="V47" i="6"/>
  <c r="V15" i="6"/>
  <c r="N12" i="6"/>
  <c r="N45" i="6"/>
  <c r="N37" i="6"/>
  <c r="N29" i="6"/>
  <c r="N21" i="6"/>
  <c r="N44" i="6"/>
  <c r="N36" i="6"/>
  <c r="N28" i="6"/>
  <c r="N20" i="6"/>
  <c r="N42" i="6"/>
  <c r="N34" i="6"/>
  <c r="N26" i="6"/>
  <c r="N18" i="6"/>
  <c r="N101" i="6"/>
  <c r="N41" i="6"/>
  <c r="N33" i="6"/>
  <c r="N25" i="6"/>
  <c r="N17" i="6"/>
  <c r="N46" i="6"/>
  <c r="N30" i="6"/>
  <c r="N14" i="6"/>
  <c r="N43" i="6"/>
  <c r="N27" i="6"/>
  <c r="N40" i="6"/>
  <c r="N24" i="6"/>
  <c r="N35" i="6"/>
  <c r="N19" i="6"/>
  <c r="N48" i="6"/>
  <c r="N32" i="6"/>
  <c r="N16" i="6"/>
  <c r="N47" i="6"/>
  <c r="N31" i="6"/>
  <c r="N39" i="6"/>
  <c r="N23" i="6"/>
  <c r="N38" i="6"/>
  <c r="N22" i="6"/>
  <c r="N15" i="6"/>
  <c r="T6" i="4"/>
  <c r="AB12" i="6"/>
  <c r="D12" i="4"/>
  <c r="K12" i="6"/>
  <c r="T11" i="6"/>
  <c r="X11" i="6"/>
  <c r="F79" i="1"/>
  <c r="T99" i="6"/>
  <c r="T91" i="6"/>
  <c r="T79" i="6"/>
  <c r="T71" i="6"/>
  <c r="T61" i="6"/>
  <c r="T51" i="6"/>
  <c r="T82" i="6"/>
  <c r="T100" i="6"/>
  <c r="T92" i="6"/>
  <c r="T80" i="6"/>
  <c r="T72" i="6"/>
  <c r="T62" i="6"/>
  <c r="T54" i="6"/>
  <c r="T53" i="6"/>
  <c r="T52" i="6"/>
  <c r="T55" i="6"/>
  <c r="T94" i="6"/>
  <c r="T56" i="6"/>
  <c r="T93" i="6"/>
  <c r="T81" i="6"/>
  <c r="T73" i="6"/>
  <c r="T63" i="6"/>
  <c r="T64" i="6"/>
  <c r="T74" i="6"/>
  <c r="T95" i="6"/>
  <c r="T87" i="6"/>
  <c r="T86" i="6"/>
  <c r="T83" i="6"/>
  <c r="T75" i="6"/>
  <c r="T65" i="6"/>
  <c r="T57" i="6"/>
  <c r="T69" i="6"/>
  <c r="T50" i="6"/>
  <c r="T96" i="6"/>
  <c r="T88" i="6"/>
  <c r="T85" i="6"/>
  <c r="T84" i="6"/>
  <c r="T76" i="6"/>
  <c r="T66" i="6"/>
  <c r="T58" i="6"/>
  <c r="T49" i="6"/>
  <c r="T98" i="6"/>
  <c r="T90" i="6"/>
  <c r="T70" i="6"/>
  <c r="T97" i="6"/>
  <c r="T89" i="6"/>
  <c r="T77" i="6"/>
  <c r="T67" i="6"/>
  <c r="T59" i="6"/>
  <c r="T78" i="6"/>
  <c r="T68" i="6"/>
  <c r="T60" i="6"/>
  <c r="T12" i="6"/>
  <c r="T32" i="6"/>
  <c r="T45" i="6"/>
  <c r="T42" i="6"/>
  <c r="T26" i="6"/>
  <c r="T16" i="6"/>
  <c r="T23" i="6"/>
  <c r="T101" i="6"/>
  <c r="T24" i="6"/>
  <c r="T37" i="6"/>
  <c r="T19" i="6"/>
  <c r="T43" i="6"/>
  <c r="T29" i="6"/>
  <c r="T17" i="6"/>
  <c r="T41" i="6"/>
  <c r="T39" i="6"/>
  <c r="T36" i="6"/>
  <c r="T33" i="6"/>
  <c r="T46" i="6"/>
  <c r="T21" i="6"/>
  <c r="T18" i="6"/>
  <c r="T34" i="6"/>
  <c r="T25" i="6"/>
  <c r="T38" i="6"/>
  <c r="T44" i="6"/>
  <c r="T35" i="6"/>
  <c r="T31" i="6"/>
  <c r="T48" i="6"/>
  <c r="T22" i="6"/>
  <c r="T28" i="6"/>
  <c r="T27" i="6"/>
  <c r="T15" i="6"/>
  <c r="T40" i="6"/>
  <c r="T14" i="6"/>
  <c r="T20" i="6"/>
  <c r="T47" i="6"/>
  <c r="T30" i="6"/>
  <c r="W11" i="6"/>
  <c r="T7" i="4"/>
  <c r="F87" i="1"/>
  <c r="F86" i="1"/>
  <c r="F85" i="1"/>
  <c r="F84" i="1"/>
  <c r="F83" i="1"/>
  <c r="F82" i="1"/>
  <c r="F81" i="1"/>
  <c r="F80" i="1"/>
  <c r="F88" i="1"/>
  <c r="G93" i="1"/>
  <c r="G8" i="4"/>
  <c r="B4" i="1"/>
  <c r="AC17" i="4"/>
  <c r="AG17" i="4"/>
  <c r="AC18" i="4"/>
  <c r="AG18" i="4"/>
  <c r="AC19" i="4"/>
  <c r="AG19" i="4"/>
  <c r="AC20" i="4"/>
  <c r="AG20" i="4"/>
  <c r="AC21" i="4"/>
  <c r="AG21" i="4"/>
  <c r="AC22" i="4"/>
  <c r="AG22" i="4"/>
  <c r="AC23" i="4"/>
  <c r="AG23" i="4"/>
  <c r="AC24" i="4"/>
  <c r="AG24" i="4"/>
  <c r="AC25" i="4"/>
  <c r="AG25" i="4"/>
  <c r="AC26" i="4"/>
  <c r="AG26" i="4"/>
  <c r="AC27" i="4"/>
  <c r="AG27" i="4"/>
  <c r="AC28" i="4"/>
  <c r="AG28" i="4"/>
  <c r="AC29" i="4"/>
  <c r="AG29" i="4"/>
  <c r="AC30" i="4"/>
  <c r="AG30" i="4"/>
  <c r="AC31" i="4"/>
  <c r="AG31" i="4"/>
  <c r="AC32" i="4"/>
  <c r="AG32" i="4"/>
  <c r="AC33" i="4"/>
  <c r="AG33" i="4"/>
  <c r="AC34" i="4"/>
  <c r="AG34" i="4"/>
  <c r="AC35" i="4"/>
  <c r="AG35" i="4"/>
  <c r="AC36" i="4"/>
  <c r="AG36" i="4"/>
  <c r="AC37" i="4"/>
  <c r="AG37" i="4"/>
  <c r="AC38" i="4"/>
  <c r="AG38" i="4"/>
  <c r="AC39" i="4"/>
  <c r="AG39" i="4"/>
  <c r="AC40" i="4"/>
  <c r="AG40" i="4"/>
  <c r="AC41" i="4"/>
  <c r="AG41" i="4"/>
  <c r="AC42" i="4"/>
  <c r="AG42" i="4"/>
  <c r="AC43" i="4"/>
  <c r="AG43" i="4"/>
  <c r="AC44" i="4"/>
  <c r="AG44" i="4"/>
  <c r="AC45" i="4"/>
  <c r="AG45" i="4"/>
  <c r="AC46" i="4"/>
  <c r="AG46" i="4"/>
  <c r="AC47" i="4"/>
  <c r="AG47" i="4"/>
  <c r="AC48" i="4"/>
  <c r="AG48" i="4"/>
  <c r="AC49" i="4"/>
  <c r="AG49" i="4"/>
  <c r="AC102" i="4"/>
  <c r="AG102" i="4"/>
  <c r="AB102" i="4"/>
  <c r="AB49" i="4"/>
  <c r="AB48" i="4"/>
  <c r="AB47" i="4"/>
  <c r="AB46" i="4"/>
  <c r="AB45" i="4"/>
  <c r="AB44" i="4"/>
  <c r="AB43" i="4"/>
  <c r="AB42" i="4"/>
  <c r="AB41" i="4"/>
  <c r="AB40" i="4"/>
  <c r="AB39" i="4"/>
  <c r="AB38" i="4"/>
  <c r="AB37" i="4"/>
  <c r="AB36" i="4"/>
  <c r="AB35" i="4"/>
  <c r="AB34" i="4"/>
  <c r="AB33" i="4"/>
  <c r="AB32" i="4"/>
  <c r="AB31" i="4"/>
  <c r="AB30" i="4"/>
  <c r="AB29" i="4"/>
  <c r="AB28" i="4"/>
  <c r="AB27" i="4"/>
  <c r="AB26" i="4"/>
  <c r="AB25" i="4"/>
  <c r="AB24" i="4"/>
  <c r="AB23" i="4"/>
  <c r="AB22" i="4"/>
  <c r="AB21" i="4"/>
  <c r="AB20" i="4"/>
  <c r="AB19" i="4"/>
  <c r="AB18" i="4"/>
  <c r="AB17" i="4"/>
  <c r="AB16" i="4"/>
  <c r="AB15" i="4"/>
  <c r="A128" i="8"/>
  <c r="A129" i="8"/>
  <c r="A130" i="8"/>
  <c r="A131" i="8"/>
  <c r="A132" i="8"/>
  <c r="A133" i="8"/>
  <c r="A135" i="8"/>
  <c r="A136" i="8"/>
  <c r="A127" i="8"/>
  <c r="A105" i="8"/>
  <c r="A106" i="8"/>
  <c r="A107" i="8"/>
  <c r="A108" i="8"/>
  <c r="A109" i="8"/>
  <c r="A110" i="8"/>
  <c r="A104" i="8"/>
  <c r="A75" i="8"/>
  <c r="A94" i="8"/>
  <c r="A95" i="8"/>
  <c r="A96" i="8"/>
  <c r="A97" i="8"/>
  <c r="A98" i="8"/>
  <c r="A99" i="8"/>
  <c r="A100" i="8"/>
  <c r="A101" i="8"/>
  <c r="A102" i="8"/>
  <c r="A74" i="8"/>
  <c r="A63" i="8"/>
  <c r="A64" i="8"/>
  <c r="A65" i="8"/>
  <c r="A66" i="8"/>
  <c r="A67" i="8"/>
  <c r="A68" i="8"/>
  <c r="A69" i="8"/>
  <c r="A71" i="8"/>
  <c r="A72" i="8"/>
  <c r="A62" i="8"/>
  <c r="A40" i="8"/>
  <c r="A41" i="8"/>
  <c r="A42" i="8"/>
  <c r="A43" i="8"/>
  <c r="A44" i="8"/>
  <c r="A45" i="8"/>
  <c r="A46" i="8"/>
  <c r="A47" i="8"/>
  <c r="A48" i="8"/>
  <c r="A49" i="8"/>
  <c r="A50" i="8"/>
  <c r="A51" i="8"/>
  <c r="A52" i="8"/>
  <c r="A53" i="8"/>
  <c r="A56" i="8"/>
  <c r="A57" i="8"/>
  <c r="A59" i="8"/>
  <c r="A39" i="8"/>
  <c r="A27" i="8"/>
  <c r="A28" i="8"/>
  <c r="A29" i="8"/>
  <c r="A30" i="8"/>
  <c r="A26" i="8"/>
  <c r="A3" i="8"/>
  <c r="A4" i="8"/>
  <c r="A5" i="8"/>
  <c r="A6" i="8"/>
  <c r="A7" i="8"/>
  <c r="A8" i="8"/>
  <c r="A9" i="8"/>
  <c r="A10" i="8"/>
  <c r="A11" i="8"/>
  <c r="A12" i="8"/>
  <c r="A13" i="8"/>
  <c r="A2" i="8"/>
  <c r="F10" i="4"/>
  <c r="F9" i="4"/>
  <c r="AJ28" i="4"/>
  <c r="AJ29" i="4"/>
  <c r="AI28" i="4"/>
  <c r="AJ19" i="4"/>
  <c r="AJ18" i="4"/>
  <c r="AF19" i="4"/>
  <c r="AF18" i="4"/>
  <c r="C12" i="4"/>
  <c r="C11" i="4"/>
  <c r="AA5" i="4"/>
  <c r="C10" i="4"/>
  <c r="A4" i="1"/>
  <c r="T8" i="4"/>
  <c r="E114" i="1"/>
  <c r="C114" i="1"/>
  <c r="C9" i="4"/>
  <c r="AA11" i="4" s="1"/>
  <c r="AC16" i="4"/>
  <c r="AG16" i="4"/>
  <c r="D5" i="1"/>
  <c r="E7" i="5"/>
  <c r="B14" i="6"/>
  <c r="G14" i="6"/>
  <c r="F14" i="6"/>
  <c r="C14" i="6"/>
  <c r="D14" i="6"/>
  <c r="E14" i="6"/>
  <c r="C7" i="6"/>
  <c r="C6" i="6"/>
  <c r="C5" i="6"/>
  <c r="H1" i="6"/>
  <c r="AA25" i="4"/>
  <c r="H16" i="4"/>
  <c r="I16" i="4"/>
  <c r="H17" i="4"/>
  <c r="I17" i="4"/>
  <c r="H18" i="4"/>
  <c r="I18" i="4"/>
  <c r="H19" i="4"/>
  <c r="I19" i="4"/>
  <c r="H20" i="4"/>
  <c r="I20" i="4"/>
  <c r="L20" i="4"/>
  <c r="H21" i="4"/>
  <c r="I21" i="4"/>
  <c r="L21" i="4"/>
  <c r="H22" i="4"/>
  <c r="I22" i="4"/>
  <c r="L22" i="4"/>
  <c r="H23" i="4"/>
  <c r="I23" i="4"/>
  <c r="L23" i="4"/>
  <c r="H24" i="4"/>
  <c r="I24" i="4"/>
  <c r="L24" i="4"/>
  <c r="H25" i="4"/>
  <c r="I25" i="4"/>
  <c r="L25" i="4"/>
  <c r="H26" i="4"/>
  <c r="H27" i="4"/>
  <c r="I27" i="4"/>
  <c r="L27" i="4"/>
  <c r="H28" i="4"/>
  <c r="I28" i="4"/>
  <c r="L28" i="4"/>
  <c r="H29" i="4"/>
  <c r="I29" i="4"/>
  <c r="L29" i="4"/>
  <c r="H30" i="4"/>
  <c r="I30" i="4"/>
  <c r="L30" i="4"/>
  <c r="H31" i="4"/>
  <c r="I31" i="4"/>
  <c r="L31" i="4"/>
  <c r="H32" i="4"/>
  <c r="I32" i="4"/>
  <c r="L32" i="4"/>
  <c r="H33" i="4"/>
  <c r="I33" i="4"/>
  <c r="L33" i="4"/>
  <c r="H34" i="4"/>
  <c r="I34" i="4"/>
  <c r="L34" i="4"/>
  <c r="H35" i="4"/>
  <c r="I35" i="4"/>
  <c r="L35" i="4"/>
  <c r="H36" i="4"/>
  <c r="I36" i="4"/>
  <c r="L36" i="4"/>
  <c r="H37" i="4"/>
  <c r="I37" i="4"/>
  <c r="L37" i="4"/>
  <c r="H38" i="4"/>
  <c r="I38" i="4"/>
  <c r="L38" i="4"/>
  <c r="H39" i="4"/>
  <c r="I39" i="4"/>
  <c r="L39" i="4"/>
  <c r="H40" i="4"/>
  <c r="I40" i="4"/>
  <c r="L40" i="4"/>
  <c r="H41" i="4"/>
  <c r="I41" i="4"/>
  <c r="L41" i="4"/>
  <c r="H42" i="4"/>
  <c r="I42" i="4"/>
  <c r="L42" i="4"/>
  <c r="H43" i="4"/>
  <c r="I43" i="4"/>
  <c r="L43" i="4"/>
  <c r="H44" i="4"/>
  <c r="I44" i="4"/>
  <c r="L44" i="4"/>
  <c r="H45" i="4"/>
  <c r="I45" i="4"/>
  <c r="L45" i="4"/>
  <c r="H46" i="4"/>
  <c r="I46" i="4"/>
  <c r="L46" i="4"/>
  <c r="H47" i="4"/>
  <c r="I47" i="4"/>
  <c r="L47" i="4"/>
  <c r="H48" i="4"/>
  <c r="I48" i="4"/>
  <c r="L48" i="4"/>
  <c r="H49" i="4"/>
  <c r="I49" i="4"/>
  <c r="L49" i="4"/>
  <c r="I102" i="4"/>
  <c r="I26" i="4"/>
  <c r="L26" i="4"/>
  <c r="H15" i="4"/>
  <c r="I15" i="4" s="1"/>
  <c r="C8" i="4"/>
  <c r="C18" i="5"/>
  <c r="C7" i="4"/>
  <c r="C17" i="5"/>
  <c r="C6" i="4"/>
  <c r="C16" i="5"/>
  <c r="I1" i="4"/>
  <c r="G1" i="5"/>
  <c r="I7" i="4"/>
  <c r="I6" i="4"/>
  <c r="AA8" i="4"/>
  <c r="AA9" i="4"/>
  <c r="AA10" i="4"/>
  <c r="AA6" i="4"/>
  <c r="C24" i="5"/>
  <c r="C23" i="5"/>
  <c r="C22" i="5"/>
  <c r="C21" i="5"/>
  <c r="C66" i="5"/>
  <c r="C65" i="5"/>
  <c r="C64" i="5"/>
  <c r="C62" i="5"/>
  <c r="C61" i="5"/>
  <c r="C60" i="5"/>
  <c r="C59" i="5"/>
  <c r="G57" i="5"/>
  <c r="G56" i="5"/>
  <c r="G55" i="5"/>
  <c r="G54" i="5"/>
  <c r="G53" i="5"/>
  <c r="G52" i="5"/>
  <c r="G51" i="5"/>
  <c r="G50" i="5"/>
  <c r="G49" i="5"/>
  <c r="C57" i="5"/>
  <c r="C56" i="5"/>
  <c r="C55" i="5"/>
  <c r="C54" i="5"/>
  <c r="C53" i="5"/>
  <c r="C52" i="5"/>
  <c r="C51" i="5"/>
  <c r="C50" i="5"/>
  <c r="C49" i="5"/>
  <c r="AB101" i="6"/>
  <c r="E48" i="6"/>
  <c r="AB48" i="6"/>
  <c r="D48" i="6"/>
  <c r="C48" i="6"/>
  <c r="B48" i="6"/>
  <c r="X48" i="6"/>
  <c r="E47" i="6"/>
  <c r="AB47" i="6"/>
  <c r="D47" i="6"/>
  <c r="C47" i="6"/>
  <c r="B47" i="6"/>
  <c r="X47" i="6"/>
  <c r="E46" i="6"/>
  <c r="AB46" i="6"/>
  <c r="D46" i="6"/>
  <c r="C46" i="6"/>
  <c r="B46" i="6"/>
  <c r="X46" i="6"/>
  <c r="E45" i="6"/>
  <c r="AB45" i="6"/>
  <c r="D45" i="6"/>
  <c r="C45" i="6"/>
  <c r="B45" i="6"/>
  <c r="X45" i="6"/>
  <c r="E44" i="6"/>
  <c r="AB44" i="6"/>
  <c r="D44" i="6"/>
  <c r="C44" i="6"/>
  <c r="B44" i="6"/>
  <c r="X44" i="6"/>
  <c r="E43" i="6"/>
  <c r="AB43" i="6"/>
  <c r="D43" i="6"/>
  <c r="C43" i="6"/>
  <c r="B43" i="6"/>
  <c r="X43" i="6"/>
  <c r="E42" i="6"/>
  <c r="AB42" i="6"/>
  <c r="D42" i="6"/>
  <c r="C42" i="6"/>
  <c r="B42" i="6"/>
  <c r="X42" i="6"/>
  <c r="E41" i="6"/>
  <c r="AB41" i="6"/>
  <c r="D41" i="6"/>
  <c r="C41" i="6"/>
  <c r="B41" i="6"/>
  <c r="X41" i="6"/>
  <c r="E40" i="6"/>
  <c r="AB40" i="6"/>
  <c r="D40" i="6"/>
  <c r="C40" i="6"/>
  <c r="B40" i="6"/>
  <c r="X40" i="6"/>
  <c r="E39" i="6"/>
  <c r="AB39" i="6"/>
  <c r="D39" i="6"/>
  <c r="C39" i="6"/>
  <c r="B39" i="6"/>
  <c r="X39" i="6"/>
  <c r="E38" i="6"/>
  <c r="AB38" i="6"/>
  <c r="D38" i="6"/>
  <c r="C38" i="6"/>
  <c r="B38" i="6"/>
  <c r="X38" i="6"/>
  <c r="E37" i="6"/>
  <c r="AB37" i="6"/>
  <c r="D37" i="6"/>
  <c r="C37" i="6"/>
  <c r="B37" i="6"/>
  <c r="X37" i="6"/>
  <c r="E36" i="6"/>
  <c r="AB36" i="6"/>
  <c r="D36" i="6"/>
  <c r="C36" i="6"/>
  <c r="B36" i="6"/>
  <c r="X36" i="6"/>
  <c r="E35" i="6"/>
  <c r="AB35" i="6"/>
  <c r="D35" i="6"/>
  <c r="C35" i="6"/>
  <c r="B35" i="6"/>
  <c r="X35" i="6"/>
  <c r="E34" i="6"/>
  <c r="AB34" i="6"/>
  <c r="D34" i="6"/>
  <c r="C34" i="6"/>
  <c r="B34" i="6"/>
  <c r="X34" i="6"/>
  <c r="E33" i="6"/>
  <c r="AB33" i="6"/>
  <c r="D33" i="6"/>
  <c r="C33" i="6"/>
  <c r="B33" i="6"/>
  <c r="X33" i="6"/>
  <c r="E32" i="6"/>
  <c r="AB32" i="6"/>
  <c r="D32" i="6"/>
  <c r="C32" i="6"/>
  <c r="B32" i="6"/>
  <c r="X32" i="6"/>
  <c r="E31" i="6"/>
  <c r="AB31" i="6"/>
  <c r="D31" i="6"/>
  <c r="C31" i="6"/>
  <c r="B31" i="6"/>
  <c r="X31" i="6"/>
  <c r="E30" i="6"/>
  <c r="AB30" i="6"/>
  <c r="D30" i="6"/>
  <c r="C30" i="6"/>
  <c r="B30" i="6"/>
  <c r="X30" i="6"/>
  <c r="E29" i="6"/>
  <c r="AB29" i="6"/>
  <c r="D29" i="6"/>
  <c r="C29" i="6"/>
  <c r="B29" i="6"/>
  <c r="X29" i="6"/>
  <c r="E28" i="6"/>
  <c r="AB28" i="6"/>
  <c r="D28" i="6"/>
  <c r="C28" i="6"/>
  <c r="B28" i="6"/>
  <c r="X28" i="6"/>
  <c r="E27" i="6"/>
  <c r="AB27" i="6"/>
  <c r="D27" i="6"/>
  <c r="C27" i="6"/>
  <c r="B27" i="6"/>
  <c r="X27" i="6"/>
  <c r="E26" i="6"/>
  <c r="AB26" i="6"/>
  <c r="D26" i="6"/>
  <c r="C26" i="6"/>
  <c r="B26" i="6"/>
  <c r="X26" i="6"/>
  <c r="E25" i="6"/>
  <c r="AB25" i="6"/>
  <c r="D25" i="6"/>
  <c r="C25" i="6"/>
  <c r="B25" i="6"/>
  <c r="X25" i="6"/>
  <c r="E24" i="6"/>
  <c r="AB24" i="6"/>
  <c r="D24" i="6"/>
  <c r="C24" i="6"/>
  <c r="B24" i="6"/>
  <c r="X24" i="6"/>
  <c r="E23" i="6"/>
  <c r="AB23" i="6"/>
  <c r="D23" i="6"/>
  <c r="C23" i="6"/>
  <c r="B23" i="6"/>
  <c r="X23" i="6"/>
  <c r="E22" i="6"/>
  <c r="AB22" i="6"/>
  <c r="D22" i="6"/>
  <c r="C22" i="6"/>
  <c r="B22" i="6"/>
  <c r="X22" i="6"/>
  <c r="E21" i="6"/>
  <c r="AB21" i="6"/>
  <c r="D21" i="6"/>
  <c r="C21" i="6"/>
  <c r="B21" i="6"/>
  <c r="X21" i="6"/>
  <c r="E20" i="6"/>
  <c r="AB20" i="6"/>
  <c r="D20" i="6"/>
  <c r="C20" i="6"/>
  <c r="B20" i="6"/>
  <c r="X20" i="6"/>
  <c r="E19" i="6"/>
  <c r="AB19" i="6"/>
  <c r="D19" i="6"/>
  <c r="C19" i="6"/>
  <c r="B19" i="6"/>
  <c r="X19" i="6"/>
  <c r="E18" i="6"/>
  <c r="D18" i="6"/>
  <c r="C18" i="6"/>
  <c r="B18" i="6"/>
  <c r="X18" i="6"/>
  <c r="E17" i="6"/>
  <c r="D17" i="6"/>
  <c r="C17" i="6"/>
  <c r="B17" i="6"/>
  <c r="X17" i="6"/>
  <c r="E16" i="6"/>
  <c r="D16" i="6"/>
  <c r="C16" i="6"/>
  <c r="B16" i="6"/>
  <c r="X16" i="6"/>
  <c r="E15" i="6"/>
  <c r="D15" i="6"/>
  <c r="C15" i="6"/>
  <c r="B15" i="6"/>
  <c r="AA49" i="4"/>
  <c r="K49" i="4"/>
  <c r="AA48" i="4"/>
  <c r="K48" i="4"/>
  <c r="AA47" i="4"/>
  <c r="K47" i="4"/>
  <c r="AA46" i="4"/>
  <c r="K46" i="4"/>
  <c r="AA45" i="4"/>
  <c r="K45" i="4"/>
  <c r="AA44" i="4"/>
  <c r="K44" i="4"/>
  <c r="AA43" i="4"/>
  <c r="K43" i="4"/>
  <c r="AA42" i="4"/>
  <c r="K42" i="4"/>
  <c r="AA41" i="4"/>
  <c r="K41" i="4"/>
  <c r="AA40" i="4"/>
  <c r="K40" i="4"/>
  <c r="AA39" i="4"/>
  <c r="K39" i="4"/>
  <c r="AA38" i="4"/>
  <c r="K38" i="4"/>
  <c r="AA37" i="4"/>
  <c r="K37" i="4"/>
  <c r="AA36" i="4"/>
  <c r="K36" i="4"/>
  <c r="AA35" i="4"/>
  <c r="K35" i="4"/>
  <c r="AA34" i="4"/>
  <c r="K34" i="4"/>
  <c r="AA33" i="4"/>
  <c r="K33" i="4"/>
  <c r="AA32" i="4"/>
  <c r="K32" i="4"/>
  <c r="AA31" i="4"/>
  <c r="K31" i="4"/>
  <c r="AA30" i="4"/>
  <c r="K30" i="4"/>
  <c r="AA29" i="4"/>
  <c r="K29" i="4"/>
  <c r="AA28" i="4"/>
  <c r="K28" i="4"/>
  <c r="AA27" i="4"/>
  <c r="K27" i="4"/>
  <c r="AA26" i="4"/>
  <c r="K26" i="4"/>
  <c r="K25" i="4"/>
  <c r="AA24" i="4"/>
  <c r="K24" i="4"/>
  <c r="AA23" i="4"/>
  <c r="K23" i="4"/>
  <c r="AA22" i="4"/>
  <c r="K22" i="4"/>
  <c r="AA21" i="4"/>
  <c r="K21" i="4"/>
  <c r="AA20" i="4"/>
  <c r="K20" i="4"/>
  <c r="K19" i="4"/>
  <c r="K18" i="4"/>
  <c r="K17" i="4"/>
  <c r="K16" i="4"/>
  <c r="K15" i="4"/>
  <c r="K14" i="4"/>
  <c r="G15" i="6"/>
  <c r="X15" i="6"/>
  <c r="G18" i="6"/>
  <c r="F18" i="6"/>
  <c r="W18" i="6"/>
  <c r="G30" i="6"/>
  <c r="F30" i="6"/>
  <c r="W30" i="6"/>
  <c r="G32" i="6"/>
  <c r="F32" i="6"/>
  <c r="W32" i="6"/>
  <c r="G34" i="6"/>
  <c r="F34" i="6"/>
  <c r="W34" i="6"/>
  <c r="G36" i="6"/>
  <c r="F36" i="6"/>
  <c r="W36" i="6"/>
  <c r="G38" i="6"/>
  <c r="F38" i="6"/>
  <c r="W38" i="6"/>
  <c r="G40" i="6"/>
  <c r="F40" i="6"/>
  <c r="W40" i="6"/>
  <c r="G42" i="6"/>
  <c r="F42" i="6"/>
  <c r="W42" i="6"/>
  <c r="G44" i="6"/>
  <c r="F44" i="6"/>
  <c r="W44" i="6"/>
  <c r="G46" i="6"/>
  <c r="F46" i="6"/>
  <c r="W46" i="6"/>
  <c r="G48" i="6"/>
  <c r="F48" i="6"/>
  <c r="W48" i="6"/>
  <c r="G28" i="6"/>
  <c r="F28" i="6"/>
  <c r="W28" i="6"/>
  <c r="G20" i="6"/>
  <c r="F20" i="6"/>
  <c r="W20" i="6"/>
  <c r="G22" i="6"/>
  <c r="F22" i="6"/>
  <c r="W22" i="6"/>
  <c r="G19" i="6"/>
  <c r="F19" i="6"/>
  <c r="W19" i="6"/>
  <c r="G21" i="6"/>
  <c r="F21" i="6"/>
  <c r="W21" i="6"/>
  <c r="G23" i="6"/>
  <c r="F23" i="6"/>
  <c r="W23" i="6"/>
  <c r="G25" i="6"/>
  <c r="F25" i="6"/>
  <c r="W25" i="6"/>
  <c r="G27" i="6"/>
  <c r="F27" i="6"/>
  <c r="W27" i="6"/>
  <c r="G29" i="6"/>
  <c r="F29" i="6"/>
  <c r="W29" i="6"/>
  <c r="G31" i="6"/>
  <c r="F31" i="6"/>
  <c r="W31" i="6"/>
  <c r="G33" i="6"/>
  <c r="F33" i="6"/>
  <c r="W33" i="6"/>
  <c r="G35" i="6"/>
  <c r="F35" i="6"/>
  <c r="W35" i="6"/>
  <c r="G37" i="6"/>
  <c r="F37" i="6"/>
  <c r="W37" i="6"/>
  <c r="G39" i="6"/>
  <c r="F39" i="6"/>
  <c r="W39" i="6"/>
  <c r="G41" i="6"/>
  <c r="F41" i="6"/>
  <c r="W41" i="6"/>
  <c r="G43" i="6"/>
  <c r="F43" i="6"/>
  <c r="W43" i="6"/>
  <c r="G45" i="6"/>
  <c r="F45" i="6"/>
  <c r="W45" i="6"/>
  <c r="G47" i="6"/>
  <c r="F47" i="6"/>
  <c r="W47" i="6"/>
  <c r="W101" i="6"/>
  <c r="G26" i="6"/>
  <c r="F26" i="6"/>
  <c r="W26" i="6"/>
  <c r="G24" i="6"/>
  <c r="F24" i="6"/>
  <c r="W24" i="6"/>
  <c r="G17" i="6"/>
  <c r="F17" i="6"/>
  <c r="W17" i="6"/>
  <c r="G16" i="6"/>
  <c r="F16" i="6"/>
  <c r="W16" i="6"/>
  <c r="AB15" i="6"/>
  <c r="AB14" i="6"/>
  <c r="AB13" i="6"/>
  <c r="AA7" i="4"/>
  <c r="N22" i="4"/>
  <c r="AH22" i="4"/>
  <c r="N26" i="4"/>
  <c r="AH26" i="4"/>
  <c r="N30" i="4"/>
  <c r="AH30" i="4"/>
  <c r="N34" i="4"/>
  <c r="AH34" i="4"/>
  <c r="N38" i="4"/>
  <c r="AH38" i="4"/>
  <c r="N42" i="4"/>
  <c r="AH42" i="4"/>
  <c r="N46" i="4"/>
  <c r="AH46" i="4"/>
  <c r="N23" i="4"/>
  <c r="AH23" i="4"/>
  <c r="N27" i="4"/>
  <c r="AH27" i="4"/>
  <c r="N31" i="4"/>
  <c r="AH31" i="4"/>
  <c r="N35" i="4"/>
  <c r="AH35" i="4"/>
  <c r="N39" i="4"/>
  <c r="AH39" i="4"/>
  <c r="N43" i="4"/>
  <c r="AH43" i="4"/>
  <c r="N47" i="4"/>
  <c r="AH47" i="4"/>
  <c r="N20" i="4"/>
  <c r="AH20" i="4"/>
  <c r="N24" i="4"/>
  <c r="AH24" i="4"/>
  <c r="N28" i="4"/>
  <c r="AH28" i="4"/>
  <c r="N32" i="4"/>
  <c r="AH32" i="4"/>
  <c r="N36" i="4"/>
  <c r="AH36" i="4"/>
  <c r="N40" i="4"/>
  <c r="AH40" i="4"/>
  <c r="N44" i="4"/>
  <c r="AH44" i="4"/>
  <c r="N48" i="4"/>
  <c r="AH48" i="4"/>
  <c r="N21" i="4"/>
  <c r="AH21" i="4"/>
  <c r="N25" i="4"/>
  <c r="AH25" i="4"/>
  <c r="N29" i="4"/>
  <c r="AH29" i="4"/>
  <c r="N33" i="4"/>
  <c r="AH33" i="4"/>
  <c r="N37" i="4"/>
  <c r="AH37" i="4"/>
  <c r="N41" i="4"/>
  <c r="AH41" i="4"/>
  <c r="N45" i="4"/>
  <c r="AH45" i="4"/>
  <c r="N49" i="4"/>
  <c r="AH49" i="4"/>
  <c r="AB18" i="6"/>
  <c r="AB17" i="6"/>
  <c r="AB16" i="6"/>
  <c r="AA15" i="4"/>
  <c r="AA102" i="4"/>
  <c r="L102" i="4"/>
  <c r="N102" i="4"/>
  <c r="AS102" i="4" s="1"/>
  <c r="O45" i="4"/>
  <c r="AD45" i="4"/>
  <c r="O49" i="4"/>
  <c r="AD49" i="4"/>
  <c r="O48" i="4"/>
  <c r="AD48" i="4"/>
  <c r="O47" i="4"/>
  <c r="AD47" i="4"/>
  <c r="O46" i="4"/>
  <c r="AD46" i="4"/>
  <c r="O33" i="4"/>
  <c r="AD33" i="4"/>
  <c r="O29" i="4"/>
  <c r="AD29" i="4"/>
  <c r="O44" i="4"/>
  <c r="AD44" i="4"/>
  <c r="O28" i="4"/>
  <c r="AD28" i="4"/>
  <c r="O43" i="4"/>
  <c r="AD43" i="4"/>
  <c r="O27" i="4"/>
  <c r="AD27" i="4"/>
  <c r="O42" i="4"/>
  <c r="AD42" i="4"/>
  <c r="O26" i="4"/>
  <c r="AD26" i="4"/>
  <c r="O41" i="4"/>
  <c r="AD41" i="4"/>
  <c r="O25" i="4"/>
  <c r="AD25" i="4"/>
  <c r="O40" i="4"/>
  <c r="AD40" i="4"/>
  <c r="O24" i="4"/>
  <c r="AD24" i="4"/>
  <c r="O39" i="4"/>
  <c r="AD39" i="4"/>
  <c r="O23" i="4"/>
  <c r="AD23" i="4"/>
  <c r="O38" i="4"/>
  <c r="AD38" i="4"/>
  <c r="O22" i="4"/>
  <c r="AD22" i="4"/>
  <c r="O37" i="4"/>
  <c r="AD37" i="4"/>
  <c r="O36" i="4"/>
  <c r="AD36" i="4"/>
  <c r="O20" i="4"/>
  <c r="AD20" i="4"/>
  <c r="O35" i="4"/>
  <c r="AD35" i="4"/>
  <c r="O34" i="4"/>
  <c r="AD34" i="4"/>
  <c r="O21" i="4"/>
  <c r="AD21" i="4"/>
  <c r="O32" i="4"/>
  <c r="AD32" i="4"/>
  <c r="O31" i="4"/>
  <c r="AD31" i="4"/>
  <c r="O30" i="4"/>
  <c r="AD30" i="4"/>
  <c r="AA18" i="4"/>
  <c r="L18" i="4"/>
  <c r="AA19" i="4"/>
  <c r="L19" i="4"/>
  <c r="AA16" i="4"/>
  <c r="L16" i="4"/>
  <c r="N16" i="4"/>
  <c r="AH16" i="4"/>
  <c r="AA17" i="4"/>
  <c r="L17" i="4"/>
  <c r="AH102" i="4"/>
  <c r="AR102" i="4" s="1"/>
  <c r="O102" i="4"/>
  <c r="AD102" i="4"/>
  <c r="N17" i="4"/>
  <c r="AH17" i="4"/>
  <c r="N19" i="4"/>
  <c r="AH19" i="4"/>
  <c r="N18" i="4"/>
  <c r="AH18" i="4"/>
  <c r="F15" i="6"/>
  <c r="W15" i="6"/>
  <c r="AD15" i="4"/>
  <c r="O19" i="4"/>
  <c r="AD19" i="4"/>
  <c r="O17" i="4"/>
  <c r="AD17" i="4"/>
  <c r="O18" i="4"/>
  <c r="AD18" i="4"/>
  <c r="O16" i="4"/>
  <c r="AD16" i="4"/>
  <c r="AF29" i="4"/>
  <c r="AE29" i="4"/>
  <c r="AE38" i="4"/>
  <c r="AF39" i="4"/>
  <c r="AE41" i="4"/>
  <c r="AF44" i="4"/>
  <c r="AE46" i="4"/>
  <c r="AF47" i="4"/>
  <c r="AE49" i="4"/>
  <c r="AF52" i="4"/>
  <c r="AE54" i="4"/>
  <c r="AF55" i="4"/>
  <c r="AE57" i="4"/>
  <c r="AF60" i="4"/>
  <c r="AE62" i="4"/>
  <c r="AF63" i="4"/>
  <c r="AE65" i="4"/>
  <c r="AF68" i="4"/>
  <c r="AE70" i="4"/>
  <c r="AF71" i="4"/>
  <c r="AE73" i="4"/>
  <c r="AF76" i="4"/>
  <c r="AF45" i="4"/>
  <c r="AF50" i="4"/>
  <c r="AF58" i="4"/>
  <c r="AE63" i="4"/>
  <c r="AF69" i="4"/>
  <c r="AE76" i="4"/>
  <c r="AF38" i="4"/>
  <c r="AE40" i="4"/>
  <c r="AF41" i="4"/>
  <c r="AE43" i="4"/>
  <c r="AF46" i="4"/>
  <c r="AE48" i="4"/>
  <c r="AF49" i="4"/>
  <c r="AE51" i="4"/>
  <c r="AF54" i="4"/>
  <c r="AE56" i="4"/>
  <c r="AF57" i="4"/>
  <c r="AE59" i="4"/>
  <c r="AF62" i="4"/>
  <c r="AE64" i="4"/>
  <c r="AF65" i="4"/>
  <c r="AE67" i="4"/>
  <c r="AF70" i="4"/>
  <c r="AE72" i="4"/>
  <c r="AF73" i="4"/>
  <c r="AE75" i="4"/>
  <c r="AE44" i="4"/>
  <c r="AE52" i="4"/>
  <c r="AE55" i="4"/>
  <c r="AE60" i="4"/>
  <c r="AE68" i="4"/>
  <c r="AF74" i="4"/>
  <c r="AF40" i="4"/>
  <c r="AE42" i="4"/>
  <c r="AF43" i="4"/>
  <c r="AE45" i="4"/>
  <c r="AF48" i="4"/>
  <c r="AE50" i="4"/>
  <c r="AF51" i="4"/>
  <c r="AE53" i="4"/>
  <c r="AF56" i="4"/>
  <c r="AE58" i="4"/>
  <c r="AF59" i="4"/>
  <c r="AE61" i="4"/>
  <c r="AF64" i="4"/>
  <c r="AE66" i="4"/>
  <c r="AF67" i="4"/>
  <c r="AE69" i="4"/>
  <c r="AF72" i="4"/>
  <c r="AE74" i="4"/>
  <c r="AF75" i="4"/>
  <c r="AE39" i="4"/>
  <c r="AF42" i="4"/>
  <c r="AE47" i="4"/>
  <c r="AF53" i="4"/>
  <c r="AF61" i="4"/>
  <c r="AF66" i="4"/>
  <c r="AE71" i="4"/>
  <c r="AE37" i="4"/>
  <c r="AE36" i="4"/>
  <c r="AE35" i="4"/>
  <c r="AE32" i="4"/>
  <c r="AF33" i="4"/>
  <c r="AE33" i="4"/>
  <c r="AF32" i="4"/>
  <c r="AF31" i="4"/>
  <c r="AE31" i="4"/>
  <c r="AF34" i="4"/>
  <c r="AF37" i="4"/>
  <c r="AF36" i="4"/>
  <c r="AF35" i="4"/>
  <c r="AE34" i="4"/>
  <c r="AF30" i="4"/>
  <c r="AE30" i="4"/>
  <c r="B99" i="1"/>
  <c r="C99" i="1"/>
  <c r="Y6" i="6"/>
  <c r="D98" i="1"/>
  <c r="R22" i="7"/>
  <c r="Q22" i="7"/>
  <c r="P22" i="7"/>
  <c r="J22" i="7"/>
  <c r="O22" i="7"/>
  <c r="R21" i="7"/>
  <c r="Q21" i="7"/>
  <c r="P21" i="7"/>
  <c r="J21" i="7"/>
  <c r="O21" i="7"/>
  <c r="R20" i="7"/>
  <c r="Q20" i="7"/>
  <c r="P20" i="7"/>
  <c r="J20" i="7"/>
  <c r="O20" i="7"/>
  <c r="R19" i="7"/>
  <c r="Q19" i="7"/>
  <c r="P19" i="7"/>
  <c r="J19" i="7"/>
  <c r="O19" i="7"/>
  <c r="R18" i="7"/>
  <c r="Q18" i="7"/>
  <c r="P18" i="7"/>
  <c r="J18" i="7"/>
  <c r="O18" i="7"/>
  <c r="R17" i="7"/>
  <c r="Q17" i="7"/>
  <c r="P17" i="7"/>
  <c r="J17" i="7"/>
  <c r="O17" i="7"/>
  <c r="R16" i="7"/>
  <c r="Q16" i="7"/>
  <c r="P16" i="7"/>
  <c r="J16" i="7"/>
  <c r="O16" i="7"/>
  <c r="R15" i="7"/>
  <c r="Q15" i="7"/>
  <c r="P15" i="7"/>
  <c r="J15" i="7"/>
  <c r="O15" i="7"/>
  <c r="R14" i="7"/>
  <c r="Q14" i="7"/>
  <c r="P14" i="7"/>
  <c r="J14" i="7"/>
  <c r="O14" i="7"/>
  <c r="R13" i="7"/>
  <c r="Q13" i="7"/>
  <c r="P13" i="7"/>
  <c r="J13" i="7"/>
  <c r="O13" i="7"/>
  <c r="R12" i="7"/>
  <c r="Q12" i="7"/>
  <c r="P12" i="7"/>
  <c r="J12" i="7"/>
  <c r="O12" i="7"/>
  <c r="R11" i="7"/>
  <c r="Q11" i="7"/>
  <c r="P11" i="7"/>
  <c r="J11" i="7"/>
  <c r="O11" i="7"/>
  <c r="R10" i="7"/>
  <c r="Q10" i="7"/>
  <c r="P10" i="7"/>
  <c r="J10" i="7"/>
  <c r="O10" i="7"/>
  <c r="R9" i="7"/>
  <c r="Q9" i="7"/>
  <c r="P9" i="7"/>
  <c r="J9" i="7"/>
  <c r="O9" i="7"/>
  <c r="R8" i="7"/>
  <c r="Q8" i="7"/>
  <c r="P8" i="7"/>
  <c r="J8" i="7"/>
  <c r="O8" i="7"/>
  <c r="R7" i="7"/>
  <c r="Q7" i="7"/>
  <c r="P7" i="7"/>
  <c r="J7" i="7"/>
  <c r="N7" i="7"/>
  <c r="R6" i="7"/>
  <c r="Q6" i="7"/>
  <c r="P6" i="7"/>
  <c r="J6" i="7"/>
  <c r="O6" i="7"/>
  <c r="R5" i="7"/>
  <c r="Q5" i="7"/>
  <c r="P5" i="7"/>
  <c r="J5" i="7"/>
  <c r="O5" i="7"/>
  <c r="R4" i="7"/>
  <c r="Q4" i="7"/>
  <c r="P4" i="7"/>
  <c r="J4" i="7"/>
  <c r="O4" i="7"/>
  <c r="R3" i="7"/>
  <c r="Q3" i="7"/>
  <c r="P3" i="7"/>
  <c r="J3" i="7"/>
  <c r="L3" i="7"/>
  <c r="L22" i="7"/>
  <c r="K21" i="7"/>
  <c r="N15" i="7"/>
  <c r="L9" i="7"/>
  <c r="L18" i="7"/>
  <c r="K13" i="7"/>
  <c r="K5" i="7"/>
  <c r="N19" i="7"/>
  <c r="K17" i="7"/>
  <c r="L14" i="7"/>
  <c r="N10" i="7"/>
  <c r="L7" i="7"/>
  <c r="C140" i="1"/>
  <c r="E5" i="5"/>
  <c r="N22" i="7"/>
  <c r="K22" i="7"/>
  <c r="N21" i="7"/>
  <c r="L20" i="7"/>
  <c r="K19" i="7"/>
  <c r="N17" i="7"/>
  <c r="L16" i="7"/>
  <c r="K15" i="7"/>
  <c r="N13" i="7"/>
  <c r="K12" i="7"/>
  <c r="K10" i="7"/>
  <c r="N8" i="7"/>
  <c r="L6" i="7"/>
  <c r="L4" i="7"/>
  <c r="L21" i="7"/>
  <c r="K20" i="7"/>
  <c r="N18" i="7"/>
  <c r="L17" i="7"/>
  <c r="K16" i="7"/>
  <c r="N14" i="7"/>
  <c r="L13" i="7"/>
  <c r="L11" i="7"/>
  <c r="N9" i="7"/>
  <c r="K8" i="7"/>
  <c r="N5" i="7"/>
  <c r="K4" i="7"/>
  <c r="N20" i="7"/>
  <c r="L19" i="7"/>
  <c r="K18" i="7"/>
  <c r="N16" i="7"/>
  <c r="L15" i="7"/>
  <c r="K14" i="7"/>
  <c r="N12" i="7"/>
  <c r="L10" i="7"/>
  <c r="K9" i="7"/>
  <c r="O7" i="7"/>
  <c r="N4" i="7"/>
  <c r="L12" i="7"/>
  <c r="N11" i="7"/>
  <c r="K11" i="7"/>
  <c r="L8" i="7"/>
  <c r="K7" i="7"/>
  <c r="N6" i="7"/>
  <c r="K6" i="7"/>
  <c r="N3" i="7"/>
  <c r="L5" i="7"/>
  <c r="AH60" i="4"/>
  <c r="AR60" i="4" s="1"/>
  <c r="AH68" i="4"/>
  <c r="AR68" i="4" s="1"/>
  <c r="AH65" i="4"/>
  <c r="AR65" i="4" s="1"/>
  <c r="AH99" i="4"/>
  <c r="AR99" i="4" s="1"/>
  <c r="AH98" i="4"/>
  <c r="AR98" i="4" s="1"/>
  <c r="AH94" i="4"/>
  <c r="AR94" i="4" s="1"/>
  <c r="AH83" i="4"/>
  <c r="AR83" i="4" s="1"/>
  <c r="AH86" i="4"/>
  <c r="AR86" i="4" s="1"/>
  <c r="AH97" i="4"/>
  <c r="AR97" i="4" s="1"/>
  <c r="AH73" i="4"/>
  <c r="AR73" i="4" s="1"/>
  <c r="AH55" i="4"/>
  <c r="AR55" i="4" s="1"/>
  <c r="AH59" i="4"/>
  <c r="AR59" i="4" s="1"/>
  <c r="AH100" i="4"/>
  <c r="AR100" i="4" s="1"/>
  <c r="AH64" i="4"/>
  <c r="AR64" i="4" s="1"/>
  <c r="AH90" i="4"/>
  <c r="AR90" i="4" s="1"/>
  <c r="AH67" i="4"/>
  <c r="AR67" i="4" s="1"/>
  <c r="AH72" i="4"/>
  <c r="AR72" i="4" s="1"/>
  <c r="AH81" i="4"/>
  <c r="AR81" i="4" s="1"/>
  <c r="X14" i="6"/>
  <c r="W14" i="6"/>
  <c r="AC15" i="4"/>
  <c r="AG15" i="4"/>
  <c r="O3" i="7"/>
  <c r="K3" i="7"/>
  <c r="AH88" i="4"/>
  <c r="AR88" i="4" s="1"/>
  <c r="AH79" i="4"/>
  <c r="AR79" i="4" s="1"/>
  <c r="AH96" i="4"/>
  <c r="AR96" i="4" s="1"/>
  <c r="AH58" i="4"/>
  <c r="AR58" i="4" s="1"/>
  <c r="AH66" i="4"/>
  <c r="AR66" i="4" s="1"/>
  <c r="AH89" i="4"/>
  <c r="AR89" i="4" s="1"/>
  <c r="AH70" i="4"/>
  <c r="AR70" i="4" s="1"/>
  <c r="AH54" i="4"/>
  <c r="AR54" i="4" s="1"/>
  <c r="AH92" i="4"/>
  <c r="AR92" i="4" s="1"/>
  <c r="AH56" i="4"/>
  <c r="AR56" i="4" s="1"/>
  <c r="AH63" i="4"/>
  <c r="AR63" i="4" s="1"/>
  <c r="AH91" i="4"/>
  <c r="AR91" i="4" s="1"/>
  <c r="AH84" i="4"/>
  <c r="AR84" i="4" s="1"/>
  <c r="AH74" i="4"/>
  <c r="AR74" i="4" s="1"/>
  <c r="AH95" i="4"/>
  <c r="AR95" i="4" s="1"/>
  <c r="AH76" i="4"/>
  <c r="AR76" i="4" s="1"/>
  <c r="AH62" i="4"/>
  <c r="AR62" i="4" s="1"/>
  <c r="AH75" i="4"/>
  <c r="AR75" i="4" s="1"/>
  <c r="AH78" i="4"/>
  <c r="AR78" i="4" s="1"/>
  <c r="L15" i="4"/>
  <c r="AF28" i="4"/>
  <c r="AE28" i="4"/>
  <c r="D138" i="1"/>
  <c r="D137" i="1"/>
  <c r="AJ25" i="4"/>
  <c r="P13" i="4"/>
  <c r="C106" i="1"/>
  <c r="F8" i="4"/>
  <c r="N15" i="4" l="1"/>
  <c r="AH1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Meijerink, N.P. (Nick)</author>
    <author>Wever, R.J. (Ramon)</author>
    <author>Laar - Horeweg, E. BEc van de (Elien)</author>
    <author>Nistelrooij, B.B.J. van (Bram)</author>
    <author>Smit, B. (Bruno)</author>
  </authors>
  <commentList>
    <comment ref="D1" authorId="0" shapeId="0" xr:uid="{F8667419-E23F-420B-8110-536FB20FC54D}">
      <text>
        <r>
          <rPr>
            <b/>
            <sz val="9"/>
            <color indexed="81"/>
            <rFont val="Verdana"/>
            <family val="2"/>
          </rPr>
          <t xml:space="preserve">Let op: Het referentienummer wordt ingevoerd door de Inhuurdesk (Account Team 11)
</t>
        </r>
        <r>
          <rPr>
            <sz val="9"/>
            <color indexed="81"/>
            <rFont val="Verdana"/>
            <family val="2"/>
          </rPr>
          <t>Doordat deze informatie ook gebruikt wordt om bestanden een naam te geven moet deze voldoen aan de naamconventie en mogen derhalve de volgende tekens niet gebruikt worden :  \ / ? : * " &gt; &lt; | en een spatie.</t>
        </r>
      </text>
    </comment>
    <comment ref="C14" authorId="0" shapeId="0" xr:uid="{53466F25-5170-45E6-B08C-B8A7B655A1AF}">
      <text>
        <r>
          <rPr>
            <b/>
            <sz val="9"/>
            <color indexed="81"/>
            <rFont val="Verdana"/>
            <family val="2"/>
          </rPr>
          <t>Contactpersoon:</t>
        </r>
        <r>
          <rPr>
            <sz val="9"/>
            <color indexed="81"/>
            <rFont val="Verdana"/>
            <family val="2"/>
          </rPr>
          <t xml:space="preserve">
Hier graag aangeven wie de inhuuraanvraag in behandeling neemt, indien dit niet de inhurend manager is.</t>
        </r>
        <r>
          <rPr>
            <sz val="9"/>
            <color indexed="81"/>
            <rFont val="Tahoma"/>
            <family val="2"/>
          </rPr>
          <t xml:space="preserve">
</t>
        </r>
      </text>
    </comment>
    <comment ref="C19" authorId="0" shapeId="0" xr:uid="{96043116-6ED1-4C97-99F1-F0201528DA66}">
      <text>
        <r>
          <rPr>
            <b/>
            <sz val="9"/>
            <color indexed="81"/>
            <rFont val="Verdana"/>
            <family val="2"/>
          </rPr>
          <t>Keuze Raamovereenkomst:</t>
        </r>
        <r>
          <rPr>
            <sz val="9"/>
            <color indexed="81"/>
            <rFont val="Verdana"/>
            <family val="2"/>
          </rPr>
          <t xml:space="preserve">
Graag selecteren welke Raamovereenkomst van toepassing is voor de functie. 
Indien de raamovereenkomst onbekend is dan kan dit veld leeggelaten worden of je kunt direct advies hierover vragen door een e-mail te sturen naar accountteam11@rvo.nl
</t>
        </r>
        <r>
          <rPr>
            <b/>
            <sz val="9"/>
            <color indexed="81"/>
            <rFont val="Verdana"/>
            <family val="2"/>
          </rPr>
          <t>Let op:</t>
        </r>
        <r>
          <rPr>
            <sz val="9"/>
            <color indexed="81"/>
            <rFont val="Verdana"/>
            <family val="2"/>
          </rPr>
          <t xml:space="preserve"> 
Eerst dient de Raamovereenkomst geselecteerd te worden, vervolgens het Perceel en als derde het Functieprofiel.
</t>
        </r>
        <r>
          <rPr>
            <b/>
            <sz val="9"/>
            <color indexed="81"/>
            <rFont val="Verdana"/>
            <family val="2"/>
          </rPr>
          <t>Let op:</t>
        </r>
        <r>
          <rPr>
            <sz val="9"/>
            <color indexed="81"/>
            <rFont val="Verdana"/>
            <family val="2"/>
          </rPr>
          <t xml:space="preserve">
Een aantal diensten kunnen niet gebruik maken van alle Raamovereenkomsten. Voor meer informatie hierover verwijs ik u naar het tabblad 'Informatie Raamovereenkomsten'.
</t>
        </r>
        <r>
          <rPr>
            <b/>
            <sz val="9"/>
            <color indexed="81"/>
            <rFont val="Verdana"/>
            <family val="2"/>
          </rPr>
          <t>Meer informatie:</t>
        </r>
        <r>
          <rPr>
            <sz val="9"/>
            <color indexed="81"/>
            <rFont val="Verdana"/>
            <family val="2"/>
          </rPr>
          <t xml:space="preserve">
Voor meer informatie over de Raamovereenkomsten zie tabblad 'Informatie Raamovereenkomsten'.</t>
        </r>
      </text>
    </comment>
    <comment ref="C20" authorId="0" shapeId="0" xr:uid="{4FECB82A-BF32-440F-990E-9F5F2C8C1BC9}">
      <text>
        <r>
          <rPr>
            <b/>
            <sz val="9"/>
            <color indexed="81"/>
            <rFont val="Verdana"/>
            <family val="2"/>
          </rPr>
          <t>Keuze perceel:</t>
        </r>
        <r>
          <rPr>
            <sz val="9"/>
            <color indexed="81"/>
            <rFont val="Verdana"/>
            <family val="2"/>
          </rPr>
          <t xml:space="preserve">
Graag selecteren welk perceel van de geselecteerde Raamovereenkomst van toepassing is voor de functie. 
Voor meer informatie over de percelen zie tabblad 'Informatie Raamovereenkomsten'.
</t>
        </r>
        <r>
          <rPr>
            <b/>
            <sz val="9"/>
            <color indexed="81"/>
            <rFont val="Verdana"/>
            <family val="2"/>
          </rPr>
          <t xml:space="preserve">Let op: </t>
        </r>
        <r>
          <rPr>
            <sz val="9"/>
            <color indexed="81"/>
            <rFont val="Verdana"/>
            <family val="2"/>
          </rPr>
          <t xml:space="preserve">
Eerst dient de Raamovereenkomst geselecteerd te worden, vervolgens het Perceel en als derde het Functieprofiel.</t>
        </r>
      </text>
    </comment>
    <comment ref="C22" authorId="1" shapeId="0" xr:uid="{4E87C393-2342-4552-AC0F-2CC7190644A5}">
      <text>
        <r>
          <rPr>
            <b/>
            <sz val="9"/>
            <color indexed="81"/>
            <rFont val="Tahoma"/>
            <family val="2"/>
          </rPr>
          <t xml:space="preserve">Bepaling Schaalniveau:
</t>
        </r>
        <r>
          <rPr>
            <sz val="9"/>
            <color indexed="81"/>
            <rFont val="Tahoma"/>
            <family val="2"/>
          </rPr>
          <t>Neem contact op met jouw P&amp;O-adviseur om de inschaling van de functie te bepalen.</t>
        </r>
      </text>
    </comment>
    <comment ref="C33" authorId="0" shapeId="0" xr:uid="{F1C0A9D0-6CBB-4E72-A2A0-7D75DC8E8A5A}">
      <text>
        <r>
          <rPr>
            <sz val="9"/>
            <color indexed="81"/>
            <rFont val="Verdana"/>
            <family val="2"/>
          </rPr>
          <t xml:space="preserve">De eisen zijn </t>
        </r>
        <r>
          <rPr>
            <b/>
            <sz val="9"/>
            <color indexed="81"/>
            <rFont val="Verdana"/>
            <family val="2"/>
          </rPr>
          <t>knock-out criteria</t>
        </r>
        <r>
          <rPr>
            <sz val="9"/>
            <color indexed="81"/>
            <rFont val="Verdana"/>
            <family val="2"/>
          </rPr>
          <t xml:space="preserve">. Dit zijn </t>
        </r>
        <r>
          <rPr>
            <u/>
            <sz val="9"/>
            <color indexed="81"/>
            <rFont val="Verdana"/>
            <family val="2"/>
          </rPr>
          <t>minimumeisen</t>
        </r>
        <r>
          <rPr>
            <sz val="9"/>
            <color indexed="81"/>
            <rFont val="Verdana"/>
            <family val="2"/>
          </rPr>
          <t xml:space="preserve"> waaraan een kandidaat minimaal moet voldoen om de werkzaamheden te kunnen uitvoeren. Op de eisen wordt </t>
        </r>
        <r>
          <rPr>
            <b/>
            <sz val="9"/>
            <color indexed="81"/>
            <rFont val="Verdana"/>
            <family val="2"/>
          </rPr>
          <t>niet</t>
        </r>
        <r>
          <rPr>
            <sz val="9"/>
            <color indexed="81"/>
            <rFont val="Verdana"/>
            <family val="2"/>
          </rPr>
          <t xml:space="preserve"> beoordeeld. 
Voldoet een kandidaat niet aan één of meerdere eisen, dan wordt deze uitgesloten (knock-out) en niet meegenomen in de beoordeling. De beoordeling vindt plaats op basis van de </t>
        </r>
        <r>
          <rPr>
            <u/>
            <sz val="9"/>
            <color indexed="81"/>
            <rFont val="Verdana"/>
            <family val="2"/>
          </rPr>
          <t>wensen</t>
        </r>
        <r>
          <rPr>
            <sz val="9"/>
            <color indexed="81"/>
            <rFont val="Verdana"/>
            <family val="2"/>
          </rPr>
          <t xml:space="preserve">.
De eisen dienen SMART-geformuleerd te worden en mogen niet worden toegeschreven op een specifieke kandidaat. Wees terughoudend in het hanteren van strenge eisen, formuleer slechts minimumeisen.
In de raamovereenkomst kunnen per functieprofiel al eisen zijn opgenomen, deze eisen mogen in de offertaanvraag niet verzwaard worden. Zie hiervoor het tabblad ‘Informatie Raamovereenkomsten’. 
Meer informatie over de eisen is te vinden in het tabblad </t>
        </r>
        <r>
          <rPr>
            <u/>
            <sz val="9"/>
            <color indexed="81"/>
            <rFont val="Verdana"/>
            <family val="2"/>
          </rPr>
          <t>Eisen en wensen</t>
        </r>
        <r>
          <rPr>
            <sz val="9"/>
            <color indexed="81"/>
            <rFont val="Verdana"/>
            <family val="2"/>
          </rPr>
          <t xml:space="preserve">.
</t>
        </r>
      </text>
    </comment>
    <comment ref="C43" authorId="0" shapeId="0" xr:uid="{1DF40811-B344-4262-96AC-E5B0060EA7EF}">
      <text>
        <r>
          <rPr>
            <sz val="9"/>
            <color indexed="81"/>
            <rFont val="Verdana"/>
            <family val="2"/>
          </rPr>
          <t xml:space="preserve">Vul bij eisen de </t>
        </r>
        <r>
          <rPr>
            <u/>
            <sz val="9"/>
            <color indexed="81"/>
            <rFont val="Verdana"/>
            <family val="2"/>
          </rPr>
          <t>minimumeisen</t>
        </r>
        <r>
          <rPr>
            <sz val="9"/>
            <color indexed="81"/>
            <rFont val="Verdana"/>
            <family val="2"/>
          </rPr>
          <t xml:space="preserve"> in waaraan de kandidaat moet voldoen om de functie uit te kunnen voeren. Eisen dienen SMART geformuleerd te worden.
</t>
        </r>
        <r>
          <rPr>
            <b/>
            <sz val="9"/>
            <color indexed="81"/>
            <rFont val="Verdana"/>
            <family val="2"/>
          </rPr>
          <t xml:space="preserve">Let op: </t>
        </r>
        <r>
          <rPr>
            <sz val="9"/>
            <color indexed="81"/>
            <rFont val="Verdana"/>
            <family val="2"/>
          </rPr>
          <t xml:space="preserve">
Wees terughoudend in het hanteren van eisen:
- Eisen zijn knock-out criteria (kandidaten die niet voldoen aan deze eisen komen niet meer in aanmerking voor de functie)
- In het geselecteerde perceel en/of functieprofiel zijn in veel Raamovereenkomsten afspraken gemaakt waaraan kandidaten moeten voldoen. Eisen mogen hier niet in grote mate van afwijken. Voor meer informatie over deze afspraken, zie tabblad 'Informatie Raamovereenkomsten'.</t>
        </r>
      </text>
    </comment>
    <comment ref="C48" authorId="0" shapeId="0" xr:uid="{8E4DD77C-05C2-48E3-BF81-801C7F7E9147}">
      <text>
        <r>
          <rPr>
            <sz val="9"/>
            <color indexed="81"/>
            <rFont val="Verdana"/>
            <family val="2"/>
          </rPr>
          <t xml:space="preserve">Vul bij eisen de </t>
        </r>
        <r>
          <rPr>
            <u/>
            <sz val="9"/>
            <color indexed="81"/>
            <rFont val="Verdana"/>
            <family val="2"/>
          </rPr>
          <t>minimumeisen</t>
        </r>
        <r>
          <rPr>
            <sz val="9"/>
            <color indexed="81"/>
            <rFont val="Verdana"/>
            <family val="2"/>
          </rPr>
          <t xml:space="preserve"> in waaraan de kandidaat moet voldoen om de functie uit te kunnen voeren. Eisen dienen SMART geformuleerd te worden.
</t>
        </r>
        <r>
          <rPr>
            <b/>
            <sz val="9"/>
            <color indexed="81"/>
            <rFont val="Verdana"/>
            <family val="2"/>
          </rPr>
          <t>Let op:</t>
        </r>
        <r>
          <rPr>
            <sz val="9"/>
            <color indexed="81"/>
            <rFont val="Verdana"/>
            <family val="2"/>
          </rPr>
          <t xml:space="preserve"> 
Wees terughoudend in het hanteren van eisen:
- Eisen zijn knock-out criteria (kandidaten die niet voldoen aan deze eisen komen niet meer in aanmerking voor de functie)
- In het geselecteerde perceel en/of functieprofiel zijn in veel Raamovereenkomsten afspraken gemaakt waaraan kandidaten moeten voldoen. Eisen mogen hier niet in grote mate van afwijken. Voor meer informatie over deze afspraken, zie tabblad 'Informatie Raamovereenkomsten'.</t>
        </r>
        <r>
          <rPr>
            <sz val="9"/>
            <color indexed="81"/>
            <rFont val="Tahoma"/>
            <family val="2"/>
          </rPr>
          <t xml:space="preserve">
</t>
        </r>
      </text>
    </comment>
    <comment ref="C54" authorId="0" shapeId="0" xr:uid="{18E7FBEF-ABE1-4B66-BA8F-4FDBDC292A0F}">
      <text>
        <r>
          <rPr>
            <sz val="9"/>
            <color indexed="81"/>
            <rFont val="Verdana"/>
            <family val="2"/>
          </rPr>
          <t xml:space="preserve">De beoordeling op kwaliteit vindt plaats op basis van de wensen. De wensen zijn de criteria waarop kandidaten zich onderscheiden en waarop zij beoordeeld worden. Vul daarom (ruim) voldoende competenties, aanvullende kennis en functiewensen zoals werkervaring in. 
Hoe beter een kandidaat aan de gestelde wensen voldoet, hoe hoger zijn/haar beoordeling zal uitvallen. Elke aangeboden kandidaat wordt, aan de hand van de wensen, beoordeeld met een cijfer: 
  0 - Voldoet aan geen enkele wens (0% van maximaal aantal punten voor kwaliteit)
  2 - Voldoet slecht aan de wensen (20% van maximaal aantal punten voor kwaliteit)
  4 - Voldoet matig aan de wensen (40% van maximaal aantal punten voor kwaliteit)
  6 - Voldoet voldoende aan de wensen (60% van maximaal aantal punten voor kwaliteit)
  8 - Voldoet goed aan de wensen ( 80% van maximaal aantal punten voor kwaliteit)
10 - Voldoet uitstekend aan de wensen, met toegevoegde waarde (100% van maximaal aantal punten voor kwaliteit)
Op basis van dit cijfer wordt automatisch het aantal punten voor de kwaliteit berekend.
</t>
        </r>
        <r>
          <rPr>
            <b/>
            <u/>
            <sz val="9"/>
            <color indexed="81"/>
            <rFont val="Verdana"/>
            <family val="2"/>
          </rPr>
          <t>Let op:</t>
        </r>
        <r>
          <rPr>
            <sz val="9"/>
            <color indexed="81"/>
            <rFont val="Verdana"/>
            <family val="2"/>
          </rPr>
          <t xml:space="preserve"> Het is aan te raden om niet alleen wensen te benoemen die enkel tijdens een gesprek getoetst kunnen worden, zoals bijvoorbeeld bepaalde competenties. Idealiter wilt u ook uitsluitend kunnen beoordelen op basis van de CV`s. 
</t>
        </r>
        <r>
          <rPr>
            <b/>
            <sz val="9"/>
            <color indexed="81"/>
            <rFont val="Tahoma"/>
            <family val="2"/>
          </rPr>
          <t xml:space="preserve">
</t>
        </r>
      </text>
    </comment>
    <comment ref="C60" authorId="0" shapeId="0" xr:uid="{31C93B55-34B7-4D2B-ABA4-79BDAC402609}">
      <text>
        <r>
          <rPr>
            <sz val="9"/>
            <color indexed="81"/>
            <rFont val="Verdana"/>
            <family val="2"/>
          </rPr>
          <t xml:space="preserve">Vul hier de wensen in waaraan u graag ziet dat een kandidaat voldoet. 
</t>
        </r>
        <r>
          <rPr>
            <b/>
            <sz val="9"/>
            <color indexed="81"/>
            <rFont val="Verdana"/>
            <family val="2"/>
          </rPr>
          <t>Let op:</t>
        </r>
        <r>
          <rPr>
            <sz val="9"/>
            <color indexed="81"/>
            <rFont val="Verdana"/>
            <family val="2"/>
          </rPr>
          <t xml:space="preserve"> 
Voorgestelde kandidaten mogen niet uitsluitend op wensen worden afgewezen. Wel kunnen wensen in gelijke geschiktheid van kandidaten de doorslag geven.</t>
        </r>
      </text>
    </comment>
    <comment ref="F60" authorId="0" shapeId="0" xr:uid="{99EC48CE-D0B4-44A0-A44E-D57429AEC05C}">
      <text>
        <r>
          <rPr>
            <sz val="9"/>
            <color indexed="81"/>
            <rFont val="Verdana"/>
            <family val="2"/>
          </rPr>
          <t xml:space="preserve">Vul hier de wensen in waaraan u graag ziet dat een kandidaat voldoet. 
</t>
        </r>
        <r>
          <rPr>
            <b/>
            <sz val="9"/>
            <color indexed="81"/>
            <rFont val="Verdana"/>
            <family val="2"/>
          </rPr>
          <t xml:space="preserve">Let op: </t>
        </r>
        <r>
          <rPr>
            <sz val="9"/>
            <color indexed="81"/>
            <rFont val="Verdana"/>
            <family val="2"/>
          </rPr>
          <t xml:space="preserve">
Voorgestelde kandidaten mogen niet uitsluitend op wensen worden afgewezen. Wel kunnen wensen in gelijke geschiktheid van kandidaten de doorslag geven.</t>
        </r>
      </text>
    </comment>
    <comment ref="C66" authorId="0" shapeId="0" xr:uid="{AC752B03-F311-4C9D-96E8-CB29EDF84687}">
      <text>
        <r>
          <rPr>
            <sz val="9"/>
            <color indexed="81"/>
            <rFont val="Verdana"/>
            <family val="2"/>
          </rPr>
          <t xml:space="preserve">Vul hier de wensen in waaraan u graag ziet dat een kandidaat voldoet. 
</t>
        </r>
        <r>
          <rPr>
            <b/>
            <sz val="9"/>
            <color indexed="81"/>
            <rFont val="Verdana"/>
            <family val="2"/>
          </rPr>
          <t>Let op:</t>
        </r>
        <r>
          <rPr>
            <sz val="9"/>
            <color indexed="81"/>
            <rFont val="Verdana"/>
            <family val="2"/>
          </rPr>
          <t xml:space="preserve"> 
Voorgestelde kandidaten mogen niet uitsluitend op wensen worden afgewezen. Wel kunnen wensen in gelijke geschiktheid van kandidaten de doorslag geven.</t>
        </r>
      </text>
    </comment>
    <comment ref="C73" authorId="0" shapeId="0" xr:uid="{6FC47363-996E-4D87-B897-D1581A8C8815}">
      <text>
        <r>
          <rPr>
            <sz val="9"/>
            <color indexed="81"/>
            <rFont val="Verdana"/>
            <family val="2"/>
          </rPr>
          <t>Standaard mag één CV  worden aangeboden.
Het aantal kan worden aangepast.</t>
        </r>
      </text>
    </comment>
    <comment ref="C77" authorId="0" shapeId="0" xr:uid="{D8281474-78CB-4862-89C3-E238E1B0A441}">
      <text>
        <r>
          <rPr>
            <sz val="9"/>
            <color indexed="81"/>
            <rFont val="Verdana"/>
            <family val="2"/>
          </rPr>
          <t xml:space="preserve">Deze beoordelingswijze is vastgesteld op basis van de door u geselecteerde Raamovereenkomst. </t>
        </r>
      </text>
    </comment>
    <comment ref="C78" authorId="0" shapeId="0" xr:uid="{B6238779-0427-4F12-972D-53E0AAF862D8}">
      <text>
        <r>
          <rPr>
            <sz val="9"/>
            <color indexed="81"/>
            <rFont val="Verdana"/>
            <family val="2"/>
          </rPr>
          <t xml:space="preserve">Verdeel 100 punten over de onderstaande velden. 
Indien een criterium niet van toepassing is laat het veld dan leeg. </t>
        </r>
      </text>
    </comment>
    <comment ref="B79" authorId="0" shapeId="0" xr:uid="{33D086E3-3FDD-4109-8F4F-3B1379E85C05}">
      <text>
        <r>
          <rPr>
            <sz val="9"/>
            <color indexed="81"/>
            <rFont val="Verdana"/>
            <family val="2"/>
          </rPr>
          <t xml:space="preserve">Deze gunningscriteria zijn vastgesteld op basis van de door u geselecteerde Raamovereenkomst. </t>
        </r>
      </text>
    </comment>
    <comment ref="C79" authorId="0" shapeId="0" xr:uid="{32AE092F-C0FD-4932-A172-B03D5A225D9C}">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0" authorId="0" shapeId="0" xr:uid="{937C4939-13B3-4364-A6AB-7C044A368232}">
      <text>
        <r>
          <rPr>
            <sz val="9"/>
            <color indexed="81"/>
            <rFont val="Verdana"/>
            <family val="2"/>
          </rPr>
          <t xml:space="preserve">Deze gunningscriteria zijn vastgesteld op basis van de door u geselecteerde Raamovereenkomst. </t>
        </r>
      </text>
    </comment>
    <comment ref="C80" authorId="0" shapeId="0" xr:uid="{BDF0BAF3-D68F-48F1-AA4E-3D79F8468DB3}">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r>
          <rPr>
            <sz val="9"/>
            <color indexed="81"/>
            <rFont val="Tahoma"/>
            <family val="2"/>
          </rPr>
          <t xml:space="preserve">
</t>
        </r>
      </text>
    </comment>
    <comment ref="B81" authorId="0" shapeId="0" xr:uid="{61709564-5257-4581-8968-B63E332C5A1C}">
      <text>
        <r>
          <rPr>
            <sz val="9"/>
            <color indexed="81"/>
            <rFont val="Verdana"/>
            <family val="2"/>
          </rPr>
          <t xml:space="preserve">Deze gunningscriteria zijn vastgesteld op basis van de door u geselecteerde Raamovereenkomst. </t>
        </r>
      </text>
    </comment>
    <comment ref="C81" authorId="0" shapeId="0" xr:uid="{7FB00EE8-0828-46E3-AF3D-C109F4CA5B68}">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2" authorId="0" shapeId="0" xr:uid="{141DC3A8-DA19-4FB6-8426-7D3307CCD3D6}">
      <text>
        <r>
          <rPr>
            <sz val="9"/>
            <color indexed="81"/>
            <rFont val="Verdana"/>
            <family val="2"/>
          </rPr>
          <t xml:space="preserve">Deze gunningscriteria zijn vastgesteld op basis van de door u geselecteerde Raamovereenkomst. </t>
        </r>
      </text>
    </comment>
    <comment ref="C82" authorId="0" shapeId="0" xr:uid="{43491A4D-9FF1-41A8-96C0-C96F306677AC}">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3" authorId="0" shapeId="0" xr:uid="{F8324715-CF02-47D3-8C77-1FFF301E4A8F}">
      <text>
        <r>
          <rPr>
            <sz val="9"/>
            <color indexed="81"/>
            <rFont val="Verdana"/>
            <family val="2"/>
          </rPr>
          <t xml:space="preserve">Deze gunningscriteria zijn vastgesteld op basis van de door u geselecteerde Raamovereenkomst. </t>
        </r>
      </text>
    </comment>
    <comment ref="B84" authorId="0" shapeId="0" xr:uid="{7290E27A-E7D9-4C30-8060-888257960646}">
      <text>
        <r>
          <rPr>
            <sz val="9"/>
            <color indexed="81"/>
            <rFont val="Verdana"/>
            <family val="2"/>
          </rPr>
          <t xml:space="preserve">Deze gunningscriteria zijn vastgesteld op basis van de door u geselecteerde Raamovereenkomst. </t>
        </r>
      </text>
    </comment>
    <comment ref="B85" authorId="0" shapeId="0" xr:uid="{519C94C5-3E69-4472-81A3-972930EEB0C8}">
      <text>
        <r>
          <rPr>
            <sz val="9"/>
            <color indexed="81"/>
            <rFont val="Verdana"/>
            <family val="2"/>
          </rPr>
          <t xml:space="preserve">Deze gunningscriteria zijn vastgesteld op basis van de door u geselecteerde Raamovereenkomst. </t>
        </r>
      </text>
    </comment>
    <comment ref="B86" authorId="0" shapeId="0" xr:uid="{C54E5D43-2CD5-4F98-9BAF-26FC9D9B8170}">
      <text>
        <r>
          <rPr>
            <sz val="9"/>
            <color indexed="81"/>
            <rFont val="Verdana"/>
            <family val="2"/>
          </rPr>
          <t xml:space="preserve">Deze gunningscriteria zijn vastgesteld op basis van de door u geselecteerde Raamovereenkomst. </t>
        </r>
      </text>
    </comment>
    <comment ref="B87" authorId="0" shapeId="0" xr:uid="{EA46DE4D-E369-4C46-A951-A74956A41EFE}">
      <text>
        <r>
          <rPr>
            <sz val="9"/>
            <color indexed="81"/>
            <rFont val="Verdana"/>
            <family val="2"/>
          </rPr>
          <t xml:space="preserve">Deze gunningscriteria zijn vastgesteld op basis van de door u geselecteerde Raamovereenkomst. </t>
        </r>
      </text>
    </comment>
    <comment ref="F88" authorId="0" shapeId="0" xr:uid="{8D514AC9-C9DA-4F3C-AB61-D8AD4C076418}">
      <text>
        <r>
          <rPr>
            <sz val="9"/>
            <color indexed="81"/>
            <rFont val="Verdana"/>
            <family val="2"/>
          </rPr>
          <t xml:space="preserve">Indien dit veld rood gekleurd is dan zijn er meer of minder dan 100 punten verdeeld over de velden links. </t>
        </r>
        <r>
          <rPr>
            <b/>
            <sz val="9"/>
            <color indexed="81"/>
            <rFont val="Tahoma"/>
            <family val="2"/>
          </rPr>
          <t xml:space="preserve">
</t>
        </r>
      </text>
    </comment>
    <comment ref="C92" authorId="0" shapeId="0" xr:uid="{8CDAA232-7490-49F0-9240-1C4F941D8609}">
      <text>
        <r>
          <rPr>
            <sz val="9"/>
            <color indexed="81"/>
            <rFont val="Verdana"/>
            <family val="2"/>
          </rPr>
          <t xml:space="preserve">De startdatum waarop de inzet moet aanvangen.
Invulformaat is DD-MM-JJJJ
</t>
        </r>
        <r>
          <rPr>
            <b/>
            <sz val="9"/>
            <color indexed="81"/>
            <rFont val="Verdana"/>
            <family val="2"/>
          </rPr>
          <t xml:space="preserve">Let op: </t>
        </r>
        <r>
          <rPr>
            <sz val="9"/>
            <color indexed="81"/>
            <rFont val="Verdana"/>
            <family val="2"/>
          </rPr>
          <t xml:space="preserve">
De kandidaat kan alleen starten nadat de inhuurdesk (Account Team 11) de opdracht heeft gegund.</t>
        </r>
      </text>
    </comment>
    <comment ref="C93" authorId="0" shapeId="0" xr:uid="{16E7CDEA-DCEA-4BFE-81CB-2AAA0499B35D}">
      <text>
        <r>
          <rPr>
            <sz val="9"/>
            <color indexed="81"/>
            <rFont val="Verdana"/>
            <family val="2"/>
          </rPr>
          <t>De initiële einddatum van de inzet.
Invulformaat is DD-MM-JJ</t>
        </r>
      </text>
    </comment>
    <comment ref="G93" authorId="0" shapeId="0" xr:uid="{0AA5953F-DCFD-446D-8B2C-A816423254A3}">
      <text>
        <r>
          <rPr>
            <sz val="9"/>
            <color indexed="81"/>
            <rFont val="Verdana"/>
            <family val="2"/>
          </rPr>
          <t xml:space="preserve">Door afrondingskeuzes in de berekening kan het aantal maanden van de initiële inhuurtermijn in incidentele gevallen niet het juiste aantal geven. Overschrijf eventueel met het juiste aantal.
</t>
        </r>
      </text>
    </comment>
    <comment ref="C95" authorId="0" shapeId="0" xr:uid="{0B70A657-3724-41EE-B6F8-2E3DB4586B5A}">
      <text>
        <r>
          <rPr>
            <sz val="9"/>
            <color indexed="81"/>
            <rFont val="Verdana"/>
            <family val="2"/>
          </rPr>
          <t xml:space="preserve">Hier kunt u aangeven of er sprake is van een verlengingsoptie, indien "Ja" dan moet het aantal en de termijn van de verlenging worden ingevuld in de velden hieronder.
</t>
        </r>
        <r>
          <rPr>
            <b/>
            <sz val="9"/>
            <color indexed="81"/>
            <rFont val="Verdana"/>
            <family val="2"/>
          </rPr>
          <t xml:space="preserve">Let op:
</t>
        </r>
        <r>
          <rPr>
            <sz val="9"/>
            <color indexed="81"/>
            <rFont val="Verdana"/>
            <family val="2"/>
          </rPr>
          <t>Het wordt aangeraden om vrijwel altijd een verlengingsoptie op te nemen:</t>
        </r>
        <r>
          <rPr>
            <b/>
            <sz val="9"/>
            <color indexed="81"/>
            <rFont val="Verdana"/>
            <family val="2"/>
          </rPr>
          <t xml:space="preserve">
</t>
        </r>
        <r>
          <rPr>
            <sz val="9"/>
            <color indexed="81"/>
            <rFont val="Verdana"/>
            <family val="2"/>
          </rPr>
          <t>- Indien hier geen verlengingsoptie wordt vermeld, dan kan een ingehuurde kandidaat na zijn inhuurperiode niet meer verlengd worden. Dit kan later ook niet meer worden aangevraagd.
- Om een verlengingsoptie toe te voegen bent u vooralsnog geen budgettaire goedkeuring nodig, dit is pas ter sprake wanneer u daadwerkelijk besluit om de ingehuurde kandidaat te verlengen. 
- Een eventuele verlengingsoptie mag niet ingaan wanneer de geselecteerde Raamovereenkomst reeds is verlopen. De Inhuurdesk (Account Team 11) kan daarom de verlengingsoptie in een aantal gevallen inkorten.</t>
        </r>
      </text>
    </comment>
    <comment ref="C103" authorId="2" shapeId="0" xr:uid="{DF9427E9-E20B-4085-96E3-3393E062CA1E}">
      <text>
        <r>
          <rPr>
            <sz val="9"/>
            <color indexed="81"/>
            <rFont val=" Verdana"/>
          </rPr>
          <t>Het minimum aantal uren per week dient lager te zijn, dan het maximum aantal uren per week.</t>
        </r>
      </text>
    </comment>
    <comment ref="C106" authorId="2" shapeId="0" xr:uid="{E636E838-A943-4EBF-A427-0C96A9959D74}">
      <text>
        <r>
          <rPr>
            <sz val="9"/>
            <color indexed="81"/>
            <rFont val="Tahoma"/>
            <family val="2"/>
          </rPr>
          <t xml:space="preserve">Wordt uitgerekend door het aantal werkdagen tussen de startdatum en de initiële einddatum te bepalen en te vermenigvuldigen met het gemiddeld aantal werkuren per werkdag. In de berekening wordt rekening gehouden met Nieuwjaarsdag, Pasen, Koningsdag, Hemelvaartsdag, Pinksteren en Kerstmis als zijnde wettelijke feestdagen.
De rubriek is overschrijfbaar. 
Met </t>
        </r>
        <r>
          <rPr>
            <b/>
            <sz val="9"/>
            <color indexed="81"/>
            <rFont val="Tahoma"/>
            <family val="2"/>
          </rPr>
          <t>Ctrl + Shift + I</t>
        </r>
        <r>
          <rPr>
            <sz val="9"/>
            <color indexed="81"/>
            <rFont val="Tahoma"/>
            <family val="2"/>
          </rPr>
          <t xml:space="preserve"> kunt u het aantal uren opnieuw uitrekenen.</t>
        </r>
      </text>
    </comment>
    <comment ref="C108" authorId="0" shapeId="0" xr:uid="{E3D71FE2-EE32-4556-A328-543A29BC2B25}">
      <text>
        <r>
          <rPr>
            <sz val="9"/>
            <color indexed="81"/>
            <rFont val="Verdana"/>
            <family val="2"/>
          </rPr>
          <t xml:space="preserve">Indien hier 'Conform ROK' staat dan kunt u dit veld niet aanpassen. In dit geval zijn er in de door u geselecteerde Raamovereenkomst afspraken gemaakt over uurtarieven, van deze afspraken mag niet worden afgeweken. Voor meer informatie over deze tarieven kunt u contact opnemen met de inhuurdesk (Account Team 11) via </t>
        </r>
        <r>
          <rPr>
            <b/>
            <sz val="9"/>
            <color indexed="81"/>
            <rFont val="Verdana"/>
            <family val="2"/>
          </rPr>
          <t>06-21364008</t>
        </r>
        <r>
          <rPr>
            <sz val="9"/>
            <color indexed="81"/>
            <rFont val="Verdana"/>
            <family val="2"/>
          </rPr>
          <t xml:space="preserve"> of </t>
        </r>
        <r>
          <rPr>
            <b/>
            <sz val="9"/>
            <color indexed="81"/>
            <rFont val="Verdana"/>
            <family val="2"/>
          </rPr>
          <t>Accountteam11@rvo.nl</t>
        </r>
        <r>
          <rPr>
            <sz val="9"/>
            <color indexed="81"/>
            <rFont val="Verdana"/>
            <family val="2"/>
          </rPr>
          <t xml:space="preserve">.
Indien hier 'Geen' staat dan kunt u dit veld aanpassen en aangeven of u een maximum uurtarief voor deze functie wilt hanteren. Het uurtarief is exclusief BTW. Uiteraard kunt u leveranciers ook vrij laten om kandidaten volgens een marktconform tarief aan te laten bieden. 
</t>
        </r>
      </text>
    </comment>
    <comment ref="E115" authorId="0" shapeId="0" xr:uid="{75752021-04C8-4852-BDB5-12CD4AAE51C2}">
      <text>
        <r>
          <rPr>
            <sz val="9"/>
            <color indexed="81"/>
            <rFont val="Verdana"/>
            <family val="2"/>
          </rPr>
          <t xml:space="preserve">Een veelgebruikt screeningsitem is een VOG (Verklaring Omtrent Gedrag).
Vul hier de VOG nummers in waarop de kandidaat gescreend moet worden. Zie tabblad 'Info VOG Items' voor een overzicht van de VOG Items.
 </t>
        </r>
      </text>
    </comment>
    <comment ref="C120" authorId="3" shapeId="0" xr:uid="{A6AE82CD-BAE9-4BDE-844F-C08D613F721E}">
      <text>
        <r>
          <rPr>
            <sz val="9"/>
            <color indexed="81"/>
            <rFont val="Tahoma"/>
            <family val="2"/>
          </rPr>
          <t>Zie tabblad "informatie raamovereenkomst" voor extra informatie over Deta-vast constructie (verambtelijking).</t>
        </r>
      </text>
    </comment>
    <comment ref="C122" authorId="0" shapeId="0" xr:uid="{3B5E7714-6C2A-4C79-9CEE-1C3E8AE3676D}">
      <text>
        <r>
          <rPr>
            <sz val="9"/>
            <color indexed="81"/>
            <rFont val="Verdana"/>
            <family val="2"/>
          </rPr>
          <t xml:space="preserve">Voer hier overige bepalingen in die opgenomen moeten worden in de Nadere Overeenkomst. Indien de gewenste bepaling niet wordt ingevoerd kan dit naderhand niet meer in de Nadere Overeenkomst worden opgenomen.
</t>
        </r>
        <r>
          <rPr>
            <b/>
            <sz val="9"/>
            <color indexed="81"/>
            <rFont val="Verdana"/>
            <family val="2"/>
          </rPr>
          <t>Let op:</t>
        </r>
        <r>
          <rPr>
            <sz val="9"/>
            <color indexed="81"/>
            <rFont val="Verdana"/>
            <family val="2"/>
          </rPr>
          <t xml:space="preserve"> 
Niet alle bepalingen kunnen in de overeenkomst worden opgenomen. De Inhuurdesk (Account Team 11) controleert de ingevoerde bepaling.</t>
        </r>
      </text>
    </comment>
    <comment ref="C136" authorId="0" shapeId="0" xr:uid="{B8344B1C-71BD-4314-9234-A48A445A4141}">
      <text>
        <r>
          <rPr>
            <sz val="9"/>
            <color indexed="81"/>
            <rFont val="Verdana"/>
            <family val="2"/>
          </rPr>
          <t xml:space="preserve">Datum van plaatsing van de aanvraag.
Standaard wordt hier de actuele datum in geplaatst.
</t>
        </r>
        <r>
          <rPr>
            <b/>
            <sz val="9"/>
            <color indexed="81"/>
            <rFont val="Verdana"/>
            <family val="2"/>
          </rPr>
          <t>Let op:</t>
        </r>
        <r>
          <rPr>
            <sz val="9"/>
            <color indexed="81"/>
            <rFont val="Verdana"/>
            <family val="2"/>
          </rPr>
          <t xml:space="preserve"> 
Dit veld wordt ingevoerd door de Inhuurdesk (Account Team 11)
Het veld is overschrijfbaar
Invulformaat is DD-MM-JJ</t>
        </r>
      </text>
    </comment>
    <comment ref="D136" authorId="4" shapeId="0" xr:uid="{00000000-0006-0000-0000-00000B000000}">
      <text>
        <r>
          <rPr>
            <sz val="8"/>
            <color indexed="81"/>
            <rFont val="Tahoma"/>
            <family val="2"/>
          </rPr>
          <t>Tijd van plaatsing van de aanvraag.
Standaard wordt hier de actuele tijd in geplaatst.
Het veld is overschrijfbaar
Invulformaat is HH-MM</t>
        </r>
      </text>
    </comment>
    <comment ref="C137" authorId="0" shapeId="0" xr:uid="{65794FB8-AEEF-49F9-8FF0-3C26538EB283}">
      <text>
        <r>
          <rPr>
            <sz val="9"/>
            <color indexed="81"/>
            <rFont val="Verdana"/>
            <family val="2"/>
          </rPr>
          <t xml:space="preserve">Datum met betrekking tot het laatste moment van het stellen van vragen betreffende deze aanvraag.
</t>
        </r>
        <r>
          <rPr>
            <b/>
            <sz val="9"/>
            <color indexed="81"/>
            <rFont val="Verdana"/>
            <family val="2"/>
          </rPr>
          <t>Let op:</t>
        </r>
        <r>
          <rPr>
            <sz val="9"/>
            <color indexed="81"/>
            <rFont val="Verdana"/>
            <family val="2"/>
          </rPr>
          <t xml:space="preserve"> 
Dit veld wordt ingevoerd door de Inhuurdesk (Account Team 11)
Standaard wordt na invullen van de datum aanvraag deze einddatum vastgesteld door hier 2 werkdagen bij op te tellen.
Het veld is overschrijfbaar.
Invulformaat is DD-MM-JJ</t>
        </r>
      </text>
    </comment>
    <comment ref="D137" authorId="4" shapeId="0" xr:uid="{00000000-0006-0000-0000-00000D000000}">
      <text>
        <r>
          <rPr>
            <sz val="8"/>
            <color indexed="81"/>
            <rFont val="Tahoma"/>
            <family val="2"/>
          </rPr>
          <t>Tijd behorende bij de datum met betrekking tot het laatste moment van het stellen van vragen betreffende deze aanvraag.
Standaard wordt hier het tijdstip van de datum en tijd offerte ingevuld.
Het veld is overschrijfbaar.
Invulformaat is HH:MM.</t>
        </r>
      </text>
    </comment>
    <comment ref="C138" authorId="0" shapeId="0" xr:uid="{BDA843AC-DD95-41D6-89F6-8BEB4B378301}">
      <text>
        <r>
          <rPr>
            <sz val="9"/>
            <color indexed="81"/>
            <rFont val="Verdana"/>
            <family val="2"/>
          </rPr>
          <t xml:space="preserve">Datum met betrekking tot het laatste moment dat de beantwoording op de gestelde vragen plaats vindt.
</t>
        </r>
        <r>
          <rPr>
            <b/>
            <sz val="9"/>
            <color indexed="81"/>
            <rFont val="Verdana"/>
            <family val="2"/>
          </rPr>
          <t>Let op:</t>
        </r>
        <r>
          <rPr>
            <sz val="9"/>
            <color indexed="81"/>
            <rFont val="Verdana"/>
            <family val="2"/>
          </rPr>
          <t xml:space="preserve"> 
Dit veld wordt ingevoerd door de Inhuurdesk (Account Team 11)
Standaard wordt na vaststelling van het laatste moment van vragen hier 1 werkdag bij opgeteld.
Het veld is overschrijfbaar.
Invulformaat is DD-MM-JJ</t>
        </r>
      </text>
    </comment>
    <comment ref="D138" authorId="4" shapeId="0" xr:uid="{00000000-0006-0000-0000-00000F000000}">
      <text>
        <r>
          <rPr>
            <sz val="8"/>
            <color indexed="81"/>
            <rFont val="Tahoma"/>
            <family val="2"/>
          </rPr>
          <t>Tijd behorende bij de datum met betrekking tot het laatste moment van het beantwoorden van vragen betreffende deze aanvraag.
Standaard wordt hier het tijdstip van de datum en tijd offerte ingevuld.
Het veld is overschrijfbaar.
Invulformaat is HH:MM.</t>
        </r>
      </text>
    </comment>
    <comment ref="C140" authorId="0" shapeId="0" xr:uid="{3B75EC40-CA0F-4EA8-8336-156A5C39B594}">
      <text>
        <r>
          <rPr>
            <sz val="9"/>
            <color indexed="81"/>
            <rFont val="Verdana"/>
            <family val="2"/>
          </rPr>
          <t xml:space="preserve">Datum met betrekking tot het laatste moment dat de offertes mogen worden ingediend.
</t>
        </r>
        <r>
          <rPr>
            <b/>
            <sz val="9"/>
            <color indexed="81"/>
            <rFont val="Verdana"/>
            <family val="2"/>
          </rPr>
          <t xml:space="preserve">Let op: </t>
        </r>
        <r>
          <rPr>
            <sz val="9"/>
            <color indexed="81"/>
            <rFont val="Verdana"/>
            <family val="2"/>
          </rPr>
          <t xml:space="preserve">
Dit veld wordt ingevoerd door de Inhuurdesk (Account Team 11)
Standaard worden na vaststelling van het laatste moment van beantwoording van vragen hier 2 werkdagen bij opgeteld.
Het veld is overschrijfbaar.
Invulformaat is DD-MM-JJ
</t>
        </r>
      </text>
    </comment>
    <comment ref="D140" authorId="4" shapeId="0" xr:uid="{00000000-0006-0000-0000-000011000000}">
      <text>
        <r>
          <rPr>
            <sz val="8"/>
            <color indexed="81"/>
            <rFont val="Tahoma"/>
            <family val="2"/>
          </rPr>
          <t>Tijd behorende bij de datum met betrekking tot het laatste moment van het indienen van offertes betreffende deze aanvraag.
Standaard wordt hier het tijdstip van de datum en tijd offerte ingevuld.
Het veld is overschrijfbaar.
Invulformaat is HH:MM.</t>
        </r>
      </text>
    </comment>
    <comment ref="C142" authorId="0" shapeId="0" xr:uid="{EDF9597A-0329-4E06-ABE2-EE876A76D578}">
      <text>
        <r>
          <rPr>
            <sz val="9"/>
            <color indexed="81"/>
            <rFont val="Verdana"/>
            <family val="2"/>
          </rPr>
          <t>Geef aan wanneer de mogelijke interviews met kandidaten gepland zijn.</t>
        </r>
      </text>
    </comment>
    <comment ref="C144" authorId="0" shapeId="0" xr:uid="{37D67042-7890-405E-98E3-7EC43757397C}">
      <text>
        <r>
          <rPr>
            <sz val="9"/>
            <color indexed="81"/>
            <rFont val="Verdana"/>
            <family val="2"/>
          </rPr>
          <t>Invulformaat is DD-MM-JJ</t>
        </r>
      </text>
    </comment>
    <comment ref="C146" authorId="0" shapeId="0" xr:uid="{3311BC3B-ADAF-4F66-AE06-2AB1483EA043}">
      <text>
        <r>
          <rPr>
            <sz val="9"/>
            <color indexed="81"/>
            <rFont val="Verdana"/>
            <family val="2"/>
          </rPr>
          <t>Indien er sprake is van een spoedaanvraag, dan moet hier "Ja" worden ingevuld en een toelichting gegeven worden waarom er sprake is van een spoedaanvraag.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Meijerink, N.P. (Nick)</author>
  </authors>
  <commentList>
    <comment ref="F15" authorId="0" shapeId="0" xr:uid="{C11E770D-92B0-4962-B33C-9DDDAF60704E}">
      <text>
        <r>
          <rPr>
            <sz val="9"/>
            <color indexed="81"/>
            <rFont val="Verdana"/>
            <family val="2"/>
          </rPr>
          <t xml:space="preserve">Geef aan of de opdrachtgever heeft bevestigd dat aan alle eisen in de aanvraag is voldaan. </t>
        </r>
      </text>
    </comment>
    <comment ref="G15" authorId="0" shapeId="0" xr:uid="{92FEFAB3-E5DF-4876-92F3-4F244EE217A9}">
      <text>
        <r>
          <rPr>
            <sz val="9"/>
            <color indexed="81"/>
            <rFont val="Verdana"/>
            <family val="2"/>
          </rPr>
          <t xml:space="preserve">Geef aan of de opdrachtgever heeft bevestigd dat aan alle eisen in de aanvraag is voldaan. </t>
        </r>
      </text>
    </comment>
    <comment ref="M15" authorId="0" shapeId="0" xr:uid="{D4D1E5F2-0CCD-46B4-83EB-8870EBDD9302}">
      <text>
        <r>
          <rPr>
            <sz val="9"/>
            <color indexed="81"/>
            <rFont val="Verdana"/>
            <family val="2"/>
          </rPr>
          <t>Vul hier de totaalscore vanuit het beoordelingsforomulier in, die ontvangen is van de opdrachtgever.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Meijerink, N.P. (Nick)</author>
    <author>Smit, B. (Bruno)</author>
  </authors>
  <commentList>
    <comment ref="C44" authorId="0" shapeId="0" xr:uid="{C6C9C051-38CC-4DFE-A07F-705115F2AC88}">
      <text>
        <r>
          <rPr>
            <sz val="9"/>
            <color indexed="81"/>
            <rFont val="Verdana"/>
            <family val="2"/>
          </rPr>
          <t>Kandidaat is zzp’er of dga van een vennootschap met slechts 1 werknemer</t>
        </r>
      </text>
    </comment>
    <comment ref="I49" authorId="0" shapeId="0" xr:uid="{3C29BA93-B22C-45A6-AEF7-886E70F34439}">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0" authorId="0" shapeId="0" xr:uid="{880F6C2A-9852-4AB4-B49B-5281C7C63203}">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1" authorId="0" shapeId="0" xr:uid="{4EA1D22F-0318-4B4A-AF0E-46AF6A285711}">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2" authorId="0" shapeId="0" xr:uid="{C1C13A49-27EA-4668-8C2F-DE67A6189D28}">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3" authorId="0" shapeId="0" xr:uid="{CEF386A0-323C-4F64-AA7B-CB6B0461F40C}">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4" authorId="0" shapeId="0" xr:uid="{6849A723-02EE-4CC6-BF62-EB47A7C6700D}">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5" authorId="0" shapeId="0" xr:uid="{DEB17DA8-C424-4A79-B217-89C562B2AD99}">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6" authorId="0" shapeId="0" xr:uid="{B461CCF8-7DBF-484C-AF60-EE46266AF78B}">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7" authorId="0" shapeId="0" xr:uid="{06A081EE-F588-4721-8437-0E707535F3EA}">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 xml:space="preserve">
Let op: 
Eisen zijn knock-out criteria</t>
        </r>
      </text>
    </comment>
    <comment ref="I59" authorId="0" shapeId="0" xr:uid="{F8EC3906-12E7-434E-BF37-F962B2F832E2}">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0" authorId="0" shapeId="0" xr:uid="{1DF3F892-DDC4-4C88-B60C-B04176C3FADA}">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1" authorId="0" shapeId="0" xr:uid="{25303DDA-31D4-4C0D-9CA5-46F4D9866860}">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2" authorId="0" shapeId="0" xr:uid="{D6539B57-2416-4A29-9D3C-4003E83262E8}">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 xml:space="preserve">
Let op: 
Eisen zijn knock-out criteria</t>
        </r>
      </text>
    </comment>
    <comment ref="I64" authorId="0" shapeId="0" xr:uid="{12AC3155-8B46-4798-9B40-9144C72C969E}">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5" authorId="0" shapeId="0" xr:uid="{630E03D9-E85C-4B42-884C-79A04AEC0E63}">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6" authorId="0" shapeId="0" xr:uid="{3F391C05-59D9-4C0D-ABDF-DD3D16D58C8E}">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C71" authorId="0" shapeId="0" xr:uid="{F6711A01-9039-4C86-8CDB-A68814D1F1C5}">
      <text>
        <r>
          <rPr>
            <sz val="9"/>
            <color indexed="81"/>
            <rFont val="Verdana"/>
            <family val="2"/>
          </rPr>
          <t>Vul het uurtarief in voor deze kandidaat.
Het uurtarief is exclusief BTW.</t>
        </r>
      </text>
    </comment>
    <comment ref="C73" authorId="1" shapeId="0" xr:uid="{068B82CF-CB26-4581-9BBB-DE6936C5BE55}">
      <text>
        <r>
          <rPr>
            <sz val="8"/>
            <color indexed="81"/>
            <rFont val="Tahoma"/>
            <family val="2"/>
          </rPr>
          <t>Vul het verlengde tarief in voor deze kandidaat dat van toepassing is bij een eventuele verlenging. Alleen invullen indien in de aanvraag de optie op verlenging op "Ja" staat.
Let op! Bij de minicompetitie wordt, indien verlenging van toepassing, gekeken of het ingevulde percentage niet lager is dan bij de inschrijving op de aanbesteding is opgegeven. Dit is een knock-out criterium.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Meijerink, N.P. (Nick)</author>
  </authors>
  <commentList>
    <comment ref="H14" authorId="0" shapeId="0" xr:uid="{EB5C0B19-672B-4AFC-A860-BB1D866C3DD4}">
      <text>
        <r>
          <rPr>
            <sz val="9"/>
            <color indexed="81"/>
            <rFont val="Verdana"/>
            <family val="2"/>
          </rPr>
          <t xml:space="preserve">Geef aan of de kandidaat voldoet aan alle </t>
        </r>
        <r>
          <rPr>
            <b/>
            <sz val="9"/>
            <color indexed="81"/>
            <rFont val="Verdana"/>
            <family val="2"/>
          </rPr>
          <t xml:space="preserve">eisen </t>
        </r>
        <r>
          <rPr>
            <sz val="9"/>
            <color indexed="81"/>
            <rFont val="Verdana"/>
            <family val="2"/>
          </rPr>
          <t>die door u in de aanvraag zijn opgesteld.</t>
        </r>
      </text>
    </comment>
    <comment ref="I14" authorId="0" shapeId="0" xr:uid="{D445A1DA-F623-4EE6-9720-4E6B9108B193}">
      <text>
        <r>
          <rPr>
            <sz val="9"/>
            <color indexed="81"/>
            <rFont val="Verdana"/>
            <family val="2"/>
          </rPr>
          <t xml:space="preserve">Geef per kandidaat een cijfer aan de hand van de wensen uit de nadere offerteaanvraag (NOA). </t>
        </r>
      </text>
    </comment>
    <comment ref="K14" authorId="0" shapeId="0" xr:uid="{2AC3A664-723B-4337-B525-4C234178AA8C}">
      <text>
        <r>
          <rPr>
            <sz val="9"/>
            <color indexed="81"/>
            <rFont val="Verdana"/>
            <family val="2"/>
          </rPr>
          <t>Geef per kandidaat een score op het hierboven vermelde gunningscriteria. 
De score mag niet hoger zijn dan het hierboven vermelde getal.</t>
        </r>
      </text>
    </comment>
    <comment ref="W14" authorId="0" shapeId="0" xr:uid="{F9034001-E7C7-4DA5-AC20-DD03A55B2A99}">
      <text>
        <r>
          <rPr>
            <sz val="9"/>
            <color indexed="81"/>
            <rFont val="Verdana"/>
            <family val="2"/>
          </rPr>
          <t>De totaalscore mag niet hoger zijn dan de hierboven vermelde maximale score.</t>
        </r>
      </text>
    </comment>
    <comment ref="X14" authorId="0" shapeId="0" xr:uid="{62A037A6-A498-4DFA-B498-75EB55000AAD}">
      <text>
        <r>
          <rPr>
            <sz val="9"/>
            <color indexed="81"/>
            <rFont val="Verdana"/>
            <family val="2"/>
          </rPr>
          <t>De totaalscore mag niet hoger zijn dan de hierboven vermelde maximale score.</t>
        </r>
      </text>
    </comment>
    <comment ref="Y14" authorId="0" shapeId="0" xr:uid="{F95715B6-2D2A-45A7-9153-B3603AA02809}">
      <text>
        <r>
          <rPr>
            <b/>
            <sz val="9"/>
            <color indexed="81"/>
            <rFont val="Verdana"/>
            <family val="2"/>
          </rPr>
          <t>Toelichting beoordeling:</t>
        </r>
        <r>
          <rPr>
            <sz val="9"/>
            <color indexed="81"/>
            <rFont val="Verdana"/>
            <family val="2"/>
          </rPr>
          <t xml:space="preserve">
- Voor elke </t>
        </r>
        <r>
          <rPr>
            <b/>
            <sz val="9"/>
            <color indexed="81"/>
            <rFont val="Verdana"/>
            <family val="2"/>
          </rPr>
          <t>afgewezen</t>
        </r>
        <r>
          <rPr>
            <sz val="9"/>
            <color indexed="81"/>
            <rFont val="Verdana"/>
            <family val="2"/>
          </rPr>
          <t xml:space="preserve"> </t>
        </r>
        <r>
          <rPr>
            <b/>
            <sz val="9"/>
            <color indexed="81"/>
            <rFont val="Verdana"/>
            <family val="2"/>
          </rPr>
          <t>kandidaat</t>
        </r>
        <r>
          <rPr>
            <sz val="9"/>
            <color indexed="81"/>
            <rFont val="Verdana"/>
            <family val="2"/>
          </rPr>
          <t xml:space="preserve"> verwachten wij een degelijke reden van afwijzing en de daarbij behorende scores.
- Voor de </t>
        </r>
        <r>
          <rPr>
            <b/>
            <sz val="9"/>
            <color indexed="81"/>
            <rFont val="Verdana"/>
            <family val="2"/>
          </rPr>
          <t>gekozen kandidaat</t>
        </r>
        <r>
          <rPr>
            <sz val="9"/>
            <color indexed="81"/>
            <rFont val="Verdana"/>
            <family val="2"/>
          </rPr>
          <t xml:space="preserve"> graag ook een gedegen onderbouwing waarom u deze kandidaat heeft gekozen.
</t>
        </r>
        <r>
          <rPr>
            <b/>
            <sz val="9"/>
            <color indexed="81"/>
            <rFont val="Verdana"/>
            <family val="2"/>
          </rPr>
          <t>Let op:</t>
        </r>
        <r>
          <rPr>
            <sz val="9"/>
            <color indexed="81"/>
            <rFont val="Verdana"/>
            <family val="2"/>
          </rPr>
          <t xml:space="preserve">
Houdt er s.v.p. bij het formuleren van de motivatie/aanbeveling rekening mee, dat deze toelichting één op één doorgestuurd wordt naar de leverancier.
Rijhoogte kan handmatig worden aangepast.
</t>
        </r>
      </text>
    </comment>
    <comment ref="W15" authorId="0" shapeId="0" xr:uid="{475CDC5A-7036-4847-A1DE-713E04A940CC}">
      <text>
        <r>
          <rPr>
            <sz val="9"/>
            <color indexed="81"/>
            <rFont val="Verdana"/>
            <family val="2"/>
          </rPr>
          <t>De totaalscore mag niet hoger zijn dan de hierboven vermelde maximale score.</t>
        </r>
      </text>
    </comment>
    <comment ref="X15" authorId="0" shapeId="0" xr:uid="{BEE5153A-25A6-45C8-B09B-BA99E650ED85}">
      <text>
        <r>
          <rPr>
            <sz val="9"/>
            <color indexed="81"/>
            <rFont val="Verdana"/>
            <family val="2"/>
          </rPr>
          <t>De totaalscore mag niet hoger zijn dan de hierboven vermelde maximale score.</t>
        </r>
      </text>
    </comment>
    <comment ref="W16" authorId="0" shapeId="0" xr:uid="{4E307228-4968-4391-ADA3-24BFA63EB062}">
      <text>
        <r>
          <rPr>
            <sz val="9"/>
            <color indexed="81"/>
            <rFont val="Verdana"/>
            <family val="2"/>
          </rPr>
          <t>De totaalscore mag niet hoger zijn dan de hierboven vermelde maximale score.</t>
        </r>
      </text>
    </comment>
    <comment ref="X16" authorId="0" shapeId="0" xr:uid="{BAC1755B-376D-423E-B8D6-B4C1A7335AFA}">
      <text>
        <r>
          <rPr>
            <sz val="9"/>
            <color indexed="81"/>
            <rFont val="Verdana"/>
            <family val="2"/>
          </rPr>
          <t>De totaalscore mag niet hoger zijn dan de hierboven vermelde maximale score.</t>
        </r>
      </text>
    </comment>
    <comment ref="W17" authorId="0" shapeId="0" xr:uid="{AD408BAB-350D-4D86-AD56-EE9472FD1DC4}">
      <text>
        <r>
          <rPr>
            <sz val="9"/>
            <color indexed="81"/>
            <rFont val="Verdana"/>
            <family val="2"/>
          </rPr>
          <t>De totaalscore mag niet hoger zijn dan de hierboven vermelde maximale score.</t>
        </r>
      </text>
    </comment>
    <comment ref="X17" authorId="0" shapeId="0" xr:uid="{00781C15-A923-4C6D-A213-ED462A12F91C}">
      <text>
        <r>
          <rPr>
            <sz val="9"/>
            <color indexed="81"/>
            <rFont val="Verdana"/>
            <family val="2"/>
          </rPr>
          <t>De totaalscore mag niet hoger zijn dan de hierboven vermelde maximale score.</t>
        </r>
      </text>
    </comment>
    <comment ref="W18" authorId="0" shapeId="0" xr:uid="{BF2AB0F2-814C-425C-AC04-6BC01F996462}">
      <text>
        <r>
          <rPr>
            <sz val="9"/>
            <color indexed="81"/>
            <rFont val="Verdana"/>
            <family val="2"/>
          </rPr>
          <t>De totaalscore mag niet hoger zijn dan de hierboven vermelde maximale score.</t>
        </r>
      </text>
    </comment>
    <comment ref="X18" authorId="0" shapeId="0" xr:uid="{4ECC9295-CA7E-4D2C-8555-BB886BE5303B}">
      <text>
        <r>
          <rPr>
            <sz val="9"/>
            <color indexed="81"/>
            <rFont val="Verdana"/>
            <family val="2"/>
          </rPr>
          <t>De totaalscore mag niet hoger zijn dan de hierboven vermelde maximale score.</t>
        </r>
      </text>
    </comment>
    <comment ref="W19" authorId="0" shapeId="0" xr:uid="{2DD467C6-CA1B-4337-AA2E-55F489106F5E}">
      <text>
        <r>
          <rPr>
            <sz val="9"/>
            <color indexed="81"/>
            <rFont val="Verdana"/>
            <family val="2"/>
          </rPr>
          <t>De totaalscore mag niet hoger zijn dan de hierboven vermelde maximale score.</t>
        </r>
      </text>
    </comment>
    <comment ref="X19" authorId="0" shapeId="0" xr:uid="{1FD701D3-9BD5-44DA-A78C-4C056BBCBBF0}">
      <text>
        <r>
          <rPr>
            <sz val="9"/>
            <color indexed="81"/>
            <rFont val="Verdana"/>
            <family val="2"/>
          </rPr>
          <t>De totaalscore mag niet hoger zijn dan de hierboven vermelde maximale score.</t>
        </r>
      </text>
    </comment>
    <comment ref="W20" authorId="0" shapeId="0" xr:uid="{ED5F5DF0-5E68-417B-8CCF-1AA93668E9A6}">
      <text>
        <r>
          <rPr>
            <sz val="9"/>
            <color indexed="81"/>
            <rFont val="Verdana"/>
            <family val="2"/>
          </rPr>
          <t>De totaalscore mag niet hoger zijn dan de hierboven vermelde maximale score.</t>
        </r>
      </text>
    </comment>
    <comment ref="X20" authorId="0" shapeId="0" xr:uid="{CBC1BE9B-10F0-45AA-8926-1E747A8E002D}">
      <text>
        <r>
          <rPr>
            <sz val="9"/>
            <color indexed="81"/>
            <rFont val="Verdana"/>
            <family val="2"/>
          </rPr>
          <t>De totaalscore mag niet hoger zijn dan de hierboven vermelde maximale score.</t>
        </r>
      </text>
    </comment>
    <comment ref="W21" authorId="0" shapeId="0" xr:uid="{E2B9A5F6-46C8-4BD3-8E4C-D8997DD1A158}">
      <text>
        <r>
          <rPr>
            <sz val="9"/>
            <color indexed="81"/>
            <rFont val="Verdana"/>
            <family val="2"/>
          </rPr>
          <t>De totaalscore mag niet hoger zijn dan de hierboven vermelde maximale score.</t>
        </r>
      </text>
    </comment>
    <comment ref="X21" authorId="0" shapeId="0" xr:uid="{7CCA788F-B2F4-4385-A3AB-784DDB96ADEA}">
      <text>
        <r>
          <rPr>
            <sz val="9"/>
            <color indexed="81"/>
            <rFont val="Verdana"/>
            <family val="2"/>
          </rPr>
          <t>De totaalscore mag niet hoger zijn dan de hierboven vermelde maximale score.</t>
        </r>
      </text>
    </comment>
    <comment ref="W22" authorId="0" shapeId="0" xr:uid="{7255694D-1237-4950-A9BA-730DB63692DC}">
      <text>
        <r>
          <rPr>
            <sz val="9"/>
            <color indexed="81"/>
            <rFont val="Verdana"/>
            <family val="2"/>
          </rPr>
          <t>De totaalscore mag niet hoger zijn dan de hierboven vermelde maximale score.</t>
        </r>
      </text>
    </comment>
    <comment ref="X22" authorId="0" shapeId="0" xr:uid="{7CD41795-FE27-4CBF-A09E-DCC23BA85120}">
      <text>
        <r>
          <rPr>
            <sz val="9"/>
            <color indexed="81"/>
            <rFont val="Verdana"/>
            <family val="2"/>
          </rPr>
          <t>De totaalscore mag niet hoger zijn dan de hierboven vermelde maximale score.</t>
        </r>
      </text>
    </comment>
    <comment ref="W23" authorId="0" shapeId="0" xr:uid="{33633329-0D2E-43BC-ADA5-20C3E64ECD15}">
      <text>
        <r>
          <rPr>
            <sz val="9"/>
            <color indexed="81"/>
            <rFont val="Verdana"/>
            <family val="2"/>
          </rPr>
          <t>De totaalscore mag niet hoger zijn dan de hierboven vermelde maximale score.</t>
        </r>
      </text>
    </comment>
    <comment ref="X23" authorId="0" shapeId="0" xr:uid="{264C97C7-690F-4AEA-B2EE-E87835F49418}">
      <text>
        <r>
          <rPr>
            <sz val="9"/>
            <color indexed="81"/>
            <rFont val="Verdana"/>
            <family val="2"/>
          </rPr>
          <t>De totaalscore mag niet hoger zijn dan de hierboven vermelde maximale score.</t>
        </r>
      </text>
    </comment>
    <comment ref="W24" authorId="0" shapeId="0" xr:uid="{C54397F1-15B8-431D-B440-7A7774C6994B}">
      <text>
        <r>
          <rPr>
            <sz val="9"/>
            <color indexed="81"/>
            <rFont val="Verdana"/>
            <family val="2"/>
          </rPr>
          <t>De totaalscore mag niet hoger zijn dan de hierboven vermelde maximale score.</t>
        </r>
      </text>
    </comment>
    <comment ref="X24" authorId="0" shapeId="0" xr:uid="{9CB10E96-33A9-459C-A9D1-504FBAB144F2}">
      <text>
        <r>
          <rPr>
            <sz val="9"/>
            <color indexed="81"/>
            <rFont val="Verdana"/>
            <family val="2"/>
          </rPr>
          <t>De totaalscore mag niet hoger zijn dan de hierboven vermelde maximale score.</t>
        </r>
      </text>
    </comment>
    <comment ref="W25" authorId="0" shapeId="0" xr:uid="{9AFED07E-22C9-4416-85F1-FBE046232A1B}">
      <text>
        <r>
          <rPr>
            <sz val="9"/>
            <color indexed="81"/>
            <rFont val="Verdana"/>
            <family val="2"/>
          </rPr>
          <t>De totaalscore mag niet hoger zijn dan de hierboven vermelde maximale score.</t>
        </r>
      </text>
    </comment>
    <comment ref="X25" authorId="0" shapeId="0" xr:uid="{D26CCF05-B659-45A8-87B5-D34B9E9402B5}">
      <text>
        <r>
          <rPr>
            <sz val="9"/>
            <color indexed="81"/>
            <rFont val="Verdana"/>
            <family val="2"/>
          </rPr>
          <t>De totaalscore mag niet hoger zijn dan de hierboven vermelde maximale score.</t>
        </r>
      </text>
    </comment>
    <comment ref="W26" authorId="0" shapeId="0" xr:uid="{E77C3FC2-8FC8-4A9F-840E-A6E680B1901C}">
      <text>
        <r>
          <rPr>
            <sz val="9"/>
            <color indexed="81"/>
            <rFont val="Verdana"/>
            <family val="2"/>
          </rPr>
          <t>De totaalscore mag niet hoger zijn dan de hierboven vermelde maximale score.</t>
        </r>
      </text>
    </comment>
    <comment ref="X26" authorId="0" shapeId="0" xr:uid="{F205D08D-3B27-43DA-B3AD-D298C4BEDF26}">
      <text>
        <r>
          <rPr>
            <sz val="9"/>
            <color indexed="81"/>
            <rFont val="Verdana"/>
            <family val="2"/>
          </rPr>
          <t>De totaalscore mag niet hoger zijn dan de hierboven vermelde maximale score.</t>
        </r>
      </text>
    </comment>
    <comment ref="W27" authorId="0" shapeId="0" xr:uid="{1BC827D6-9B27-4D42-90A8-1055F7481075}">
      <text>
        <r>
          <rPr>
            <sz val="9"/>
            <color indexed="81"/>
            <rFont val="Verdana"/>
            <family val="2"/>
          </rPr>
          <t>De totaalscore mag niet hoger zijn dan de hierboven vermelde maximale score.</t>
        </r>
      </text>
    </comment>
    <comment ref="X27" authorId="0" shapeId="0" xr:uid="{8A424B9A-EF8A-4FB2-998F-85B7100AA17B}">
      <text>
        <r>
          <rPr>
            <sz val="9"/>
            <color indexed="81"/>
            <rFont val="Verdana"/>
            <family val="2"/>
          </rPr>
          <t>De totaalscore mag niet hoger zijn dan de hierboven vermelde maximale score.</t>
        </r>
      </text>
    </comment>
    <comment ref="W28" authorId="0" shapeId="0" xr:uid="{EEE3706B-AE3F-4506-8C29-16E9F34037D7}">
      <text>
        <r>
          <rPr>
            <sz val="9"/>
            <color indexed="81"/>
            <rFont val="Verdana"/>
            <family val="2"/>
          </rPr>
          <t>De totaalscore mag niet hoger zijn dan de hierboven vermelde maximale score.</t>
        </r>
      </text>
    </comment>
    <comment ref="X28" authorId="0" shapeId="0" xr:uid="{CD82A244-9387-4FE0-8173-EA0004FA6A7A}">
      <text>
        <r>
          <rPr>
            <sz val="9"/>
            <color indexed="81"/>
            <rFont val="Verdana"/>
            <family val="2"/>
          </rPr>
          <t>De totaalscore mag niet hoger zijn dan de hierboven vermelde maximale score.</t>
        </r>
      </text>
    </comment>
    <comment ref="W29" authorId="0" shapeId="0" xr:uid="{884A7D8E-A4CE-40AE-8743-A01E4A3D9824}">
      <text>
        <r>
          <rPr>
            <sz val="9"/>
            <color indexed="81"/>
            <rFont val="Verdana"/>
            <family val="2"/>
          </rPr>
          <t>De totaalscore mag niet hoger zijn dan de hierboven vermelde maximale score.</t>
        </r>
      </text>
    </comment>
    <comment ref="X29" authorId="0" shapeId="0" xr:uid="{0764A6A3-2D1E-4C89-8105-F9426FA522CA}">
      <text>
        <r>
          <rPr>
            <sz val="9"/>
            <color indexed="81"/>
            <rFont val="Verdana"/>
            <family val="2"/>
          </rPr>
          <t>De totaalscore mag niet hoger zijn dan de hierboven vermelde maximale score.</t>
        </r>
      </text>
    </comment>
    <comment ref="W30" authorId="0" shapeId="0" xr:uid="{2A1B954F-C4E0-4EDE-81CE-725EBDAF3699}">
      <text>
        <r>
          <rPr>
            <sz val="9"/>
            <color indexed="81"/>
            <rFont val="Verdana"/>
            <family val="2"/>
          </rPr>
          <t>De totaalscore mag niet hoger zijn dan de hierboven vermelde maximale score.</t>
        </r>
      </text>
    </comment>
    <comment ref="X30" authorId="0" shapeId="0" xr:uid="{F713289C-6160-4B39-9F84-77BDB056F991}">
      <text>
        <r>
          <rPr>
            <sz val="9"/>
            <color indexed="81"/>
            <rFont val="Verdana"/>
            <family val="2"/>
          </rPr>
          <t>De totaalscore mag niet hoger zijn dan de hierboven vermelde maximale score.</t>
        </r>
      </text>
    </comment>
    <comment ref="W31" authorId="0" shapeId="0" xr:uid="{7B77B575-91AD-4E60-8CA3-E1F0E5C19F6F}">
      <text>
        <r>
          <rPr>
            <sz val="9"/>
            <color indexed="81"/>
            <rFont val="Verdana"/>
            <family val="2"/>
          </rPr>
          <t>De totaalscore mag niet hoger zijn dan de hierboven vermelde maximale score.</t>
        </r>
      </text>
    </comment>
    <comment ref="X31" authorId="0" shapeId="0" xr:uid="{1838C5A3-512F-4B8B-A135-D1BE5A9864BA}">
      <text>
        <r>
          <rPr>
            <sz val="9"/>
            <color indexed="81"/>
            <rFont val="Verdana"/>
            <family val="2"/>
          </rPr>
          <t>De totaalscore mag niet hoger zijn dan de hierboven vermelde maximale score.</t>
        </r>
      </text>
    </comment>
    <comment ref="W32" authorId="0" shapeId="0" xr:uid="{D2B5B01E-BB03-4040-9CB0-B8B9B5CCF76B}">
      <text>
        <r>
          <rPr>
            <sz val="9"/>
            <color indexed="81"/>
            <rFont val="Verdana"/>
            <family val="2"/>
          </rPr>
          <t>De totaalscore mag niet hoger zijn dan de hierboven vermelde maximale score.</t>
        </r>
      </text>
    </comment>
    <comment ref="X32" authorId="0" shapeId="0" xr:uid="{C812F7E5-C645-406F-A5AF-6C0AA90E5DF2}">
      <text>
        <r>
          <rPr>
            <sz val="9"/>
            <color indexed="81"/>
            <rFont val="Verdana"/>
            <family val="2"/>
          </rPr>
          <t>De totaalscore mag niet hoger zijn dan de hierboven vermelde maximale score.</t>
        </r>
      </text>
    </comment>
    <comment ref="W33" authorId="0" shapeId="0" xr:uid="{D6224C28-1063-452C-98B2-FF721B0C617A}">
      <text>
        <r>
          <rPr>
            <sz val="9"/>
            <color indexed="81"/>
            <rFont val="Verdana"/>
            <family val="2"/>
          </rPr>
          <t>De totaalscore mag niet hoger zijn dan de hierboven vermelde maximale score.</t>
        </r>
      </text>
    </comment>
    <comment ref="X33" authorId="0" shapeId="0" xr:uid="{BACE0FE0-5760-4EAF-820A-ADE2A0367CF5}">
      <text>
        <r>
          <rPr>
            <sz val="9"/>
            <color indexed="81"/>
            <rFont val="Verdana"/>
            <family val="2"/>
          </rPr>
          <t>De totaalscore mag niet hoger zijn dan de hierboven vermelde maximale score.</t>
        </r>
      </text>
    </comment>
    <comment ref="W34" authorId="0" shapeId="0" xr:uid="{EE5A44B0-B578-40B4-A5DA-5EC0345B98B1}">
      <text>
        <r>
          <rPr>
            <sz val="9"/>
            <color indexed="81"/>
            <rFont val="Verdana"/>
            <family val="2"/>
          </rPr>
          <t>De totaalscore mag niet hoger zijn dan de hierboven vermelde maximale score.</t>
        </r>
      </text>
    </comment>
    <comment ref="X34" authorId="0" shapeId="0" xr:uid="{DB98C59F-38CD-4B54-A848-F3DFCD7EF016}">
      <text>
        <r>
          <rPr>
            <sz val="9"/>
            <color indexed="81"/>
            <rFont val="Verdana"/>
            <family val="2"/>
          </rPr>
          <t>De totaalscore mag niet hoger zijn dan de hierboven vermelde maximale score.</t>
        </r>
      </text>
    </comment>
    <comment ref="W35" authorId="0" shapeId="0" xr:uid="{33E91E06-1E4B-4CFA-A784-AA793DDF0999}">
      <text>
        <r>
          <rPr>
            <sz val="9"/>
            <color indexed="81"/>
            <rFont val="Verdana"/>
            <family val="2"/>
          </rPr>
          <t>De totaalscore mag niet hoger zijn dan de hierboven vermelde maximale score.</t>
        </r>
      </text>
    </comment>
    <comment ref="X35" authorId="0" shapeId="0" xr:uid="{65F330DC-0634-481E-AD2C-BB65C9D004D3}">
      <text>
        <r>
          <rPr>
            <sz val="9"/>
            <color indexed="81"/>
            <rFont val="Verdana"/>
            <family val="2"/>
          </rPr>
          <t>De totaalscore mag niet hoger zijn dan de hierboven vermelde maximale score.</t>
        </r>
      </text>
    </comment>
    <comment ref="W36" authorId="0" shapeId="0" xr:uid="{59D75843-545D-4ACF-A91A-C265FB7EB70D}">
      <text>
        <r>
          <rPr>
            <sz val="9"/>
            <color indexed="81"/>
            <rFont val="Verdana"/>
            <family val="2"/>
          </rPr>
          <t>De totaalscore mag niet hoger zijn dan de hierboven vermelde maximale score.</t>
        </r>
      </text>
    </comment>
    <comment ref="X36" authorId="0" shapeId="0" xr:uid="{E3B9244F-235D-47D3-863D-1F25851325CD}">
      <text>
        <r>
          <rPr>
            <sz val="9"/>
            <color indexed="81"/>
            <rFont val="Verdana"/>
            <family val="2"/>
          </rPr>
          <t>De totaalscore mag niet hoger zijn dan de hierboven vermelde maximale score.</t>
        </r>
      </text>
    </comment>
    <comment ref="W37" authorId="0" shapeId="0" xr:uid="{B1011A44-DEB6-4608-881F-81DA0FB91AA6}">
      <text>
        <r>
          <rPr>
            <sz val="9"/>
            <color indexed="81"/>
            <rFont val="Verdana"/>
            <family val="2"/>
          </rPr>
          <t>De totaalscore mag niet hoger zijn dan de hierboven vermelde maximale score.</t>
        </r>
      </text>
    </comment>
    <comment ref="X37" authorId="0" shapeId="0" xr:uid="{AD858584-4F40-4BFF-9471-608342120032}">
      <text>
        <r>
          <rPr>
            <sz val="9"/>
            <color indexed="81"/>
            <rFont val="Verdana"/>
            <family val="2"/>
          </rPr>
          <t>De totaalscore mag niet hoger zijn dan de hierboven vermelde maximale score.</t>
        </r>
      </text>
    </comment>
    <comment ref="W38" authorId="0" shapeId="0" xr:uid="{3E933C65-5C95-4C4E-97DA-A24FD24A93D8}">
      <text>
        <r>
          <rPr>
            <sz val="9"/>
            <color indexed="81"/>
            <rFont val="Verdana"/>
            <family val="2"/>
          </rPr>
          <t>De totaalscore mag niet hoger zijn dan de hierboven vermelde maximale score.</t>
        </r>
      </text>
    </comment>
    <comment ref="X38" authorId="0" shapeId="0" xr:uid="{40B86CB4-94EB-4557-A6C7-72417A06B4F1}">
      <text>
        <r>
          <rPr>
            <sz val="9"/>
            <color indexed="81"/>
            <rFont val="Verdana"/>
            <family val="2"/>
          </rPr>
          <t>De totaalscore mag niet hoger zijn dan de hierboven vermelde maximale score.</t>
        </r>
      </text>
    </comment>
    <comment ref="W39" authorId="0" shapeId="0" xr:uid="{A17BD351-4806-4D06-BB28-84251BC05BF5}">
      <text>
        <r>
          <rPr>
            <sz val="9"/>
            <color indexed="81"/>
            <rFont val="Verdana"/>
            <family val="2"/>
          </rPr>
          <t>De totaalscore mag niet hoger zijn dan de hierboven vermelde maximale score.</t>
        </r>
      </text>
    </comment>
    <comment ref="X39" authorId="0" shapeId="0" xr:uid="{877D7610-A0D4-4FEF-A017-4A837812DFC5}">
      <text>
        <r>
          <rPr>
            <sz val="9"/>
            <color indexed="81"/>
            <rFont val="Verdana"/>
            <family val="2"/>
          </rPr>
          <t>De totaalscore mag niet hoger zijn dan de hierboven vermelde maximale score.</t>
        </r>
      </text>
    </comment>
    <comment ref="W40" authorId="0" shapeId="0" xr:uid="{3A3EE88C-4517-42B2-9080-A5E02AE2B199}">
      <text>
        <r>
          <rPr>
            <sz val="9"/>
            <color indexed="81"/>
            <rFont val="Verdana"/>
            <family val="2"/>
          </rPr>
          <t>De totaalscore mag niet hoger zijn dan de hierboven vermelde maximale score.</t>
        </r>
      </text>
    </comment>
    <comment ref="X40" authorId="0" shapeId="0" xr:uid="{7B261381-F97D-4F86-8924-AA16F921CABA}">
      <text>
        <r>
          <rPr>
            <sz val="9"/>
            <color indexed="81"/>
            <rFont val="Verdana"/>
            <family val="2"/>
          </rPr>
          <t>De totaalscore mag niet hoger zijn dan de hierboven vermelde maximale score.</t>
        </r>
      </text>
    </comment>
    <comment ref="W41" authorId="0" shapeId="0" xr:uid="{348580BE-BF32-4FF9-BC25-23DE794E07E5}">
      <text>
        <r>
          <rPr>
            <sz val="9"/>
            <color indexed="81"/>
            <rFont val="Verdana"/>
            <family val="2"/>
          </rPr>
          <t>De totaalscore mag niet hoger zijn dan de hierboven vermelde maximale score.</t>
        </r>
      </text>
    </comment>
    <comment ref="X41" authorId="0" shapeId="0" xr:uid="{2E50593E-3378-4AAA-9F49-73D42897FBE3}">
      <text>
        <r>
          <rPr>
            <sz val="9"/>
            <color indexed="81"/>
            <rFont val="Verdana"/>
            <family val="2"/>
          </rPr>
          <t>De totaalscore mag niet hoger zijn dan de hierboven vermelde maximale score.</t>
        </r>
      </text>
    </comment>
    <comment ref="W42" authorId="0" shapeId="0" xr:uid="{2AFE182E-6A84-4C14-B784-2A94C61F1D09}">
      <text>
        <r>
          <rPr>
            <sz val="9"/>
            <color indexed="81"/>
            <rFont val="Verdana"/>
            <family val="2"/>
          </rPr>
          <t>De totaalscore mag niet hoger zijn dan de hierboven vermelde maximale score.</t>
        </r>
      </text>
    </comment>
    <comment ref="X42" authorId="0" shapeId="0" xr:uid="{D2B70202-C66A-4840-BCEA-5F21FBC5575D}">
      <text>
        <r>
          <rPr>
            <sz val="9"/>
            <color indexed="81"/>
            <rFont val="Verdana"/>
            <family val="2"/>
          </rPr>
          <t>De totaalscore mag niet hoger zijn dan de hierboven vermelde maximale score.</t>
        </r>
      </text>
    </comment>
    <comment ref="W43" authorId="0" shapeId="0" xr:uid="{90E05B35-E730-43F2-B488-2D0A49E04FC6}">
      <text>
        <r>
          <rPr>
            <sz val="9"/>
            <color indexed="81"/>
            <rFont val="Verdana"/>
            <family val="2"/>
          </rPr>
          <t>De totaalscore mag niet hoger zijn dan de hierboven vermelde maximale score.</t>
        </r>
      </text>
    </comment>
    <comment ref="X43" authorId="0" shapeId="0" xr:uid="{1C918798-C8BF-4E3F-97F7-8E2B0AEF35B6}">
      <text>
        <r>
          <rPr>
            <sz val="9"/>
            <color indexed="81"/>
            <rFont val="Verdana"/>
            <family val="2"/>
          </rPr>
          <t>De totaalscore mag niet hoger zijn dan de hierboven vermelde maximale score.</t>
        </r>
      </text>
    </comment>
    <comment ref="W44" authorId="0" shapeId="0" xr:uid="{06FCBB9F-1D77-4AE5-91E8-790B6394A891}">
      <text>
        <r>
          <rPr>
            <sz val="9"/>
            <color indexed="81"/>
            <rFont val="Verdana"/>
            <family val="2"/>
          </rPr>
          <t>De totaalscore mag niet hoger zijn dan de hierboven vermelde maximale score.</t>
        </r>
      </text>
    </comment>
    <comment ref="X44" authorId="0" shapeId="0" xr:uid="{4FAD02A6-14EB-4056-AE7C-2B8DA0D77388}">
      <text>
        <r>
          <rPr>
            <sz val="9"/>
            <color indexed="81"/>
            <rFont val="Verdana"/>
            <family val="2"/>
          </rPr>
          <t>De totaalscore mag niet hoger zijn dan de hierboven vermelde maximale score.</t>
        </r>
      </text>
    </comment>
    <comment ref="W45" authorId="0" shapeId="0" xr:uid="{03854A67-E914-4F8B-BDBE-37DC2A05AD31}">
      <text>
        <r>
          <rPr>
            <sz val="9"/>
            <color indexed="81"/>
            <rFont val="Verdana"/>
            <family val="2"/>
          </rPr>
          <t>De totaalscore mag niet hoger zijn dan de hierboven vermelde maximale score.</t>
        </r>
      </text>
    </comment>
    <comment ref="X45" authorId="0" shapeId="0" xr:uid="{BB4A36DC-E040-43CC-BEB9-4A1334AC27B4}">
      <text>
        <r>
          <rPr>
            <sz val="9"/>
            <color indexed="81"/>
            <rFont val="Verdana"/>
            <family val="2"/>
          </rPr>
          <t>De totaalscore mag niet hoger zijn dan de hierboven vermelde maximale score.</t>
        </r>
      </text>
    </comment>
    <comment ref="W46" authorId="0" shapeId="0" xr:uid="{3A9B0788-9159-4F8A-9D18-3D32B130E4D2}">
      <text>
        <r>
          <rPr>
            <sz val="9"/>
            <color indexed="81"/>
            <rFont val="Verdana"/>
            <family val="2"/>
          </rPr>
          <t>De totaalscore mag niet hoger zijn dan de hierboven vermelde maximale score.</t>
        </r>
      </text>
    </comment>
    <comment ref="X46" authorId="0" shapeId="0" xr:uid="{B7288A72-3A74-42FF-B18C-E4B3BF175501}">
      <text>
        <r>
          <rPr>
            <sz val="9"/>
            <color indexed="81"/>
            <rFont val="Verdana"/>
            <family val="2"/>
          </rPr>
          <t>De totaalscore mag niet hoger zijn dan de hierboven vermelde maximale score.</t>
        </r>
      </text>
    </comment>
    <comment ref="W47" authorId="0" shapeId="0" xr:uid="{B453E913-0EEB-406D-A955-92EC64D6F293}">
      <text>
        <r>
          <rPr>
            <sz val="9"/>
            <color indexed="81"/>
            <rFont val="Verdana"/>
            <family val="2"/>
          </rPr>
          <t>De totaalscore mag niet hoger zijn dan de hierboven vermelde maximale score.</t>
        </r>
      </text>
    </comment>
    <comment ref="X47" authorId="0" shapeId="0" xr:uid="{EB979389-2C58-452F-AD7D-5A4F58CDB1D9}">
      <text>
        <r>
          <rPr>
            <sz val="9"/>
            <color indexed="81"/>
            <rFont val="Verdana"/>
            <family val="2"/>
          </rPr>
          <t>De totaalscore mag niet hoger zijn dan de hierboven vermelde maximale score.</t>
        </r>
      </text>
    </comment>
    <comment ref="W48" authorId="0" shapeId="0" xr:uid="{DB307C8F-BAE7-4BB8-8422-BAF5D640E7E0}">
      <text>
        <r>
          <rPr>
            <sz val="9"/>
            <color indexed="81"/>
            <rFont val="Verdana"/>
            <family val="2"/>
          </rPr>
          <t>De totaalscore mag niet hoger zijn dan de hierboven vermelde maximale score.</t>
        </r>
      </text>
    </comment>
    <comment ref="X48" authorId="0" shapeId="0" xr:uid="{056FA540-6E26-4D89-B196-FE708A8C3BC3}">
      <text>
        <r>
          <rPr>
            <sz val="9"/>
            <color indexed="81"/>
            <rFont val="Verdana"/>
            <family val="2"/>
          </rPr>
          <t>De totaalscore mag niet hoger zijn dan de hierboven vermelde maximale score.</t>
        </r>
      </text>
    </comment>
    <comment ref="W49" authorId="0" shapeId="0" xr:uid="{A1685BC0-686E-4CEE-997C-E1749D2EDEE9}">
      <text>
        <r>
          <rPr>
            <sz val="9"/>
            <color indexed="81"/>
            <rFont val="Verdana"/>
            <family val="2"/>
          </rPr>
          <t>De totaalscore mag niet hoger zijn dan de hierboven vermelde maximale score.</t>
        </r>
      </text>
    </comment>
    <comment ref="X49" authorId="0" shapeId="0" xr:uid="{F815F8FF-7C99-4A40-B7BB-2995B87F753D}">
      <text>
        <r>
          <rPr>
            <sz val="9"/>
            <color indexed="81"/>
            <rFont val="Verdana"/>
            <family val="2"/>
          </rPr>
          <t>De totaalscore mag niet hoger zijn dan de hierboven vermelde maximale score.</t>
        </r>
      </text>
    </comment>
    <comment ref="W50" authorId="0" shapeId="0" xr:uid="{0D932EA1-48FE-46FB-8583-F4B7CAC304D9}">
      <text>
        <r>
          <rPr>
            <sz val="9"/>
            <color indexed="81"/>
            <rFont val="Verdana"/>
            <family val="2"/>
          </rPr>
          <t>De totaalscore mag niet hoger zijn dan de hierboven vermelde maximale score.</t>
        </r>
      </text>
    </comment>
    <comment ref="X50" authorId="0" shapeId="0" xr:uid="{EC52884A-24A3-4B15-9D5C-3BC99D9039A5}">
      <text>
        <r>
          <rPr>
            <sz val="9"/>
            <color indexed="81"/>
            <rFont val="Verdana"/>
            <family val="2"/>
          </rPr>
          <t>De totaalscore mag niet hoger zijn dan de hierboven vermelde maximale score.</t>
        </r>
      </text>
    </comment>
    <comment ref="W51" authorId="0" shapeId="0" xr:uid="{0C774704-8F53-409F-A4DA-DE9A02D75497}">
      <text>
        <r>
          <rPr>
            <sz val="9"/>
            <color indexed="81"/>
            <rFont val="Verdana"/>
            <family val="2"/>
          </rPr>
          <t>De totaalscore mag niet hoger zijn dan de hierboven vermelde maximale score.</t>
        </r>
      </text>
    </comment>
    <comment ref="X51" authorId="0" shapeId="0" xr:uid="{1950D0AD-BE26-4D3E-A1C6-2FDBC47EEB39}">
      <text>
        <r>
          <rPr>
            <sz val="9"/>
            <color indexed="81"/>
            <rFont val="Verdana"/>
            <family val="2"/>
          </rPr>
          <t>De totaalscore mag niet hoger zijn dan de hierboven vermelde maximale score.</t>
        </r>
      </text>
    </comment>
    <comment ref="W52" authorId="0" shapeId="0" xr:uid="{FE72D9EF-395C-47F3-9305-BF3857CE040A}">
      <text>
        <r>
          <rPr>
            <sz val="9"/>
            <color indexed="81"/>
            <rFont val="Verdana"/>
            <family val="2"/>
          </rPr>
          <t>De totaalscore mag niet hoger zijn dan de hierboven vermelde maximale score.</t>
        </r>
      </text>
    </comment>
    <comment ref="X52" authorId="0" shapeId="0" xr:uid="{E930A8FF-B3F6-47A0-B667-B3E08F58FC21}">
      <text>
        <r>
          <rPr>
            <sz val="9"/>
            <color indexed="81"/>
            <rFont val="Verdana"/>
            <family val="2"/>
          </rPr>
          <t>De totaalscore mag niet hoger zijn dan de hierboven vermelde maximale score.</t>
        </r>
      </text>
    </comment>
    <comment ref="W53" authorId="0" shapeId="0" xr:uid="{12907151-DE48-4CB0-942F-15ADD89603DF}">
      <text>
        <r>
          <rPr>
            <sz val="9"/>
            <color indexed="81"/>
            <rFont val="Verdana"/>
            <family val="2"/>
          </rPr>
          <t>De totaalscore mag niet hoger zijn dan de hierboven vermelde maximale score.</t>
        </r>
      </text>
    </comment>
    <comment ref="X53" authorId="0" shapeId="0" xr:uid="{8E2BF691-3186-4D67-B6F0-E43BF1451C95}">
      <text>
        <r>
          <rPr>
            <sz val="9"/>
            <color indexed="81"/>
            <rFont val="Verdana"/>
            <family val="2"/>
          </rPr>
          <t>De totaalscore mag niet hoger zijn dan de hierboven vermelde maximale score.</t>
        </r>
      </text>
    </comment>
    <comment ref="W54" authorId="0" shapeId="0" xr:uid="{48C07046-CF94-409D-9438-FAC7E7D2F47B}">
      <text>
        <r>
          <rPr>
            <sz val="9"/>
            <color indexed="81"/>
            <rFont val="Verdana"/>
            <family val="2"/>
          </rPr>
          <t>De totaalscore mag niet hoger zijn dan de hierboven vermelde maximale score.</t>
        </r>
      </text>
    </comment>
    <comment ref="X54" authorId="0" shapeId="0" xr:uid="{C1162281-E26D-4CC2-9E0C-C5BD3B76B352}">
      <text>
        <r>
          <rPr>
            <sz val="9"/>
            <color indexed="81"/>
            <rFont val="Verdana"/>
            <family val="2"/>
          </rPr>
          <t>De totaalscore mag niet hoger zijn dan de hierboven vermelde maximale score.</t>
        </r>
      </text>
    </comment>
    <comment ref="W55" authorId="0" shapeId="0" xr:uid="{ADC8B4C3-3133-4230-935D-9C5E4A1DF668}">
      <text>
        <r>
          <rPr>
            <sz val="9"/>
            <color indexed="81"/>
            <rFont val="Verdana"/>
            <family val="2"/>
          </rPr>
          <t>De totaalscore mag niet hoger zijn dan de hierboven vermelde maximale score.</t>
        </r>
      </text>
    </comment>
    <comment ref="X55" authorId="0" shapeId="0" xr:uid="{BC250E8D-A302-4992-A3AB-E2926816F27C}">
      <text>
        <r>
          <rPr>
            <sz val="9"/>
            <color indexed="81"/>
            <rFont val="Verdana"/>
            <family val="2"/>
          </rPr>
          <t>De totaalscore mag niet hoger zijn dan de hierboven vermelde maximale score.</t>
        </r>
      </text>
    </comment>
    <comment ref="W56" authorId="0" shapeId="0" xr:uid="{EFDF142A-7449-4722-9ECF-D032D83D4F9A}">
      <text>
        <r>
          <rPr>
            <sz val="9"/>
            <color indexed="81"/>
            <rFont val="Verdana"/>
            <family val="2"/>
          </rPr>
          <t>De totaalscore mag niet hoger zijn dan de hierboven vermelde maximale score.</t>
        </r>
      </text>
    </comment>
    <comment ref="X56" authorId="0" shapeId="0" xr:uid="{6FB70A61-7086-47C0-AF88-81B517DBE820}">
      <text>
        <r>
          <rPr>
            <sz val="9"/>
            <color indexed="81"/>
            <rFont val="Verdana"/>
            <family val="2"/>
          </rPr>
          <t>De totaalscore mag niet hoger zijn dan de hierboven vermelde maximale score.</t>
        </r>
      </text>
    </comment>
    <comment ref="W57" authorId="0" shapeId="0" xr:uid="{4221EBAB-0865-4041-AE70-F432E7C7C553}">
      <text>
        <r>
          <rPr>
            <sz val="9"/>
            <color indexed="81"/>
            <rFont val="Verdana"/>
            <family val="2"/>
          </rPr>
          <t>De totaalscore mag niet hoger zijn dan de hierboven vermelde maximale score.</t>
        </r>
      </text>
    </comment>
    <comment ref="X57" authorId="0" shapeId="0" xr:uid="{D1719ACE-39EF-4569-8CBD-849A6C3CFB9C}">
      <text>
        <r>
          <rPr>
            <sz val="9"/>
            <color indexed="81"/>
            <rFont val="Verdana"/>
            <family val="2"/>
          </rPr>
          <t>De totaalscore mag niet hoger zijn dan de hierboven vermelde maximale score.</t>
        </r>
      </text>
    </comment>
    <comment ref="W58" authorId="0" shapeId="0" xr:uid="{E0BAEB44-2E6D-4C6A-9027-168C26C4664D}">
      <text>
        <r>
          <rPr>
            <sz val="9"/>
            <color indexed="81"/>
            <rFont val="Verdana"/>
            <family val="2"/>
          </rPr>
          <t>De totaalscore mag niet hoger zijn dan de hierboven vermelde maximale score.</t>
        </r>
      </text>
    </comment>
    <comment ref="X58" authorId="0" shapeId="0" xr:uid="{2B40C2ED-7A1E-4EB6-B17F-D78B267BD0F0}">
      <text>
        <r>
          <rPr>
            <sz val="9"/>
            <color indexed="81"/>
            <rFont val="Verdana"/>
            <family val="2"/>
          </rPr>
          <t>De totaalscore mag niet hoger zijn dan de hierboven vermelde maximale score.</t>
        </r>
      </text>
    </comment>
    <comment ref="W59" authorId="0" shapeId="0" xr:uid="{5BD7DC78-D101-48C3-885F-9A8BDB98170A}">
      <text>
        <r>
          <rPr>
            <sz val="9"/>
            <color indexed="81"/>
            <rFont val="Verdana"/>
            <family val="2"/>
          </rPr>
          <t>De totaalscore mag niet hoger zijn dan de hierboven vermelde maximale score.</t>
        </r>
      </text>
    </comment>
    <comment ref="X59" authorId="0" shapeId="0" xr:uid="{B1E59389-840F-402C-B020-992379F0A53F}">
      <text>
        <r>
          <rPr>
            <sz val="9"/>
            <color indexed="81"/>
            <rFont val="Verdana"/>
            <family val="2"/>
          </rPr>
          <t>De totaalscore mag niet hoger zijn dan de hierboven vermelde maximale score.</t>
        </r>
      </text>
    </comment>
    <comment ref="W60" authorId="0" shapeId="0" xr:uid="{7AA44EB5-2C5A-474E-B3F5-6EF77F7CF1A6}">
      <text>
        <r>
          <rPr>
            <sz val="9"/>
            <color indexed="81"/>
            <rFont val="Verdana"/>
            <family val="2"/>
          </rPr>
          <t>De totaalscore mag niet hoger zijn dan de hierboven vermelde maximale score.</t>
        </r>
      </text>
    </comment>
    <comment ref="X60" authorId="0" shapeId="0" xr:uid="{DDF69935-7830-49D6-A447-2143C02617FB}">
      <text>
        <r>
          <rPr>
            <sz val="9"/>
            <color indexed="81"/>
            <rFont val="Verdana"/>
            <family val="2"/>
          </rPr>
          <t>De totaalscore mag niet hoger zijn dan de hierboven vermelde maximale score.</t>
        </r>
      </text>
    </comment>
    <comment ref="W61" authorId="0" shapeId="0" xr:uid="{31A5895C-D7DB-4822-BD46-F6DAD510CEA8}">
      <text>
        <r>
          <rPr>
            <sz val="9"/>
            <color indexed="81"/>
            <rFont val="Verdana"/>
            <family val="2"/>
          </rPr>
          <t>De totaalscore mag niet hoger zijn dan de hierboven vermelde maximale score.</t>
        </r>
      </text>
    </comment>
    <comment ref="X61" authorId="0" shapeId="0" xr:uid="{6678C735-85BB-42F8-A7B6-DFEDB6DCCB6F}">
      <text>
        <r>
          <rPr>
            <sz val="9"/>
            <color indexed="81"/>
            <rFont val="Verdana"/>
            <family val="2"/>
          </rPr>
          <t>De totaalscore mag niet hoger zijn dan de hierboven vermelde maximale score.</t>
        </r>
      </text>
    </comment>
    <comment ref="W62" authorId="0" shapeId="0" xr:uid="{1129D5A7-A670-4180-9912-F61D0DE93114}">
      <text>
        <r>
          <rPr>
            <sz val="9"/>
            <color indexed="81"/>
            <rFont val="Verdana"/>
            <family val="2"/>
          </rPr>
          <t>De totaalscore mag niet hoger zijn dan de hierboven vermelde maximale score.</t>
        </r>
      </text>
    </comment>
    <comment ref="X62" authorId="0" shapeId="0" xr:uid="{BA78976F-7C72-4BF4-B063-76B0E6E5304E}">
      <text>
        <r>
          <rPr>
            <sz val="9"/>
            <color indexed="81"/>
            <rFont val="Verdana"/>
            <family val="2"/>
          </rPr>
          <t>De totaalscore mag niet hoger zijn dan de hierboven vermelde maximale score.</t>
        </r>
      </text>
    </comment>
    <comment ref="W63" authorId="0" shapeId="0" xr:uid="{2DA28D4F-011B-4F6A-AF1B-4E644950B049}">
      <text>
        <r>
          <rPr>
            <sz val="9"/>
            <color indexed="81"/>
            <rFont val="Verdana"/>
            <family val="2"/>
          </rPr>
          <t>De totaalscore mag niet hoger zijn dan de hierboven vermelde maximale score.</t>
        </r>
      </text>
    </comment>
    <comment ref="X63" authorId="0" shapeId="0" xr:uid="{79A232CB-D56D-4C30-A78C-A68404CEA587}">
      <text>
        <r>
          <rPr>
            <sz val="9"/>
            <color indexed="81"/>
            <rFont val="Verdana"/>
            <family val="2"/>
          </rPr>
          <t>De totaalscore mag niet hoger zijn dan de hierboven vermelde maximale score.</t>
        </r>
      </text>
    </comment>
    <comment ref="W64" authorId="0" shapeId="0" xr:uid="{56F484F7-317E-4EC8-B99C-B4170A642E66}">
      <text>
        <r>
          <rPr>
            <sz val="9"/>
            <color indexed="81"/>
            <rFont val="Verdana"/>
            <family val="2"/>
          </rPr>
          <t>De totaalscore mag niet hoger zijn dan de hierboven vermelde maximale score.</t>
        </r>
      </text>
    </comment>
    <comment ref="X64" authorId="0" shapeId="0" xr:uid="{2BE7A133-6B2A-4F08-80E7-1F0F4250F2BD}">
      <text>
        <r>
          <rPr>
            <sz val="9"/>
            <color indexed="81"/>
            <rFont val="Verdana"/>
            <family val="2"/>
          </rPr>
          <t>De totaalscore mag niet hoger zijn dan de hierboven vermelde maximale score.</t>
        </r>
      </text>
    </comment>
    <comment ref="W65" authorId="0" shapeId="0" xr:uid="{C7590D6E-DF4E-4DD2-BAD5-D688328571DA}">
      <text>
        <r>
          <rPr>
            <sz val="9"/>
            <color indexed="81"/>
            <rFont val="Verdana"/>
            <family val="2"/>
          </rPr>
          <t>De totaalscore mag niet hoger zijn dan de hierboven vermelde maximale score.</t>
        </r>
      </text>
    </comment>
    <comment ref="X65" authorId="0" shapeId="0" xr:uid="{81FD95E7-5E56-4687-97A6-87966AEE88F0}">
      <text>
        <r>
          <rPr>
            <sz val="9"/>
            <color indexed="81"/>
            <rFont val="Verdana"/>
            <family val="2"/>
          </rPr>
          <t>De totaalscore mag niet hoger zijn dan de hierboven vermelde maximale score.</t>
        </r>
      </text>
    </comment>
    <comment ref="W66" authorId="0" shapeId="0" xr:uid="{8CB52615-5583-4D34-B560-6433B64F8350}">
      <text>
        <r>
          <rPr>
            <sz val="9"/>
            <color indexed="81"/>
            <rFont val="Verdana"/>
            <family val="2"/>
          </rPr>
          <t>De totaalscore mag niet hoger zijn dan de hierboven vermelde maximale score.</t>
        </r>
      </text>
    </comment>
    <comment ref="X66" authorId="0" shapeId="0" xr:uid="{8EF30B4B-8A4E-46C8-9662-3D2214E21B97}">
      <text>
        <r>
          <rPr>
            <sz val="9"/>
            <color indexed="81"/>
            <rFont val="Verdana"/>
            <family val="2"/>
          </rPr>
          <t>De totaalscore mag niet hoger zijn dan de hierboven vermelde maximale score.</t>
        </r>
      </text>
    </comment>
    <comment ref="W67" authorId="0" shapeId="0" xr:uid="{A6B082BE-F4FB-4890-8E34-4DF80370927F}">
      <text>
        <r>
          <rPr>
            <sz val="9"/>
            <color indexed="81"/>
            <rFont val="Verdana"/>
            <family val="2"/>
          </rPr>
          <t>De totaalscore mag niet hoger zijn dan de hierboven vermelde maximale score.</t>
        </r>
      </text>
    </comment>
    <comment ref="X67" authorId="0" shapeId="0" xr:uid="{53F44A34-03CE-42D0-B4DE-ECC261D53BB8}">
      <text>
        <r>
          <rPr>
            <sz val="9"/>
            <color indexed="81"/>
            <rFont val="Verdana"/>
            <family val="2"/>
          </rPr>
          <t>De totaalscore mag niet hoger zijn dan de hierboven vermelde maximale score.</t>
        </r>
      </text>
    </comment>
    <comment ref="W68" authorId="0" shapeId="0" xr:uid="{E6636EF1-6B1E-440F-8711-B03D4E356F65}">
      <text>
        <r>
          <rPr>
            <sz val="9"/>
            <color indexed="81"/>
            <rFont val="Verdana"/>
            <family val="2"/>
          </rPr>
          <t>De totaalscore mag niet hoger zijn dan de hierboven vermelde maximale score.</t>
        </r>
      </text>
    </comment>
    <comment ref="X68" authorId="0" shapeId="0" xr:uid="{D0596199-466E-4DE1-BC55-7CB13B6991FF}">
      <text>
        <r>
          <rPr>
            <sz val="9"/>
            <color indexed="81"/>
            <rFont val="Verdana"/>
            <family val="2"/>
          </rPr>
          <t>De totaalscore mag niet hoger zijn dan de hierboven vermelde maximale score.</t>
        </r>
      </text>
    </comment>
    <comment ref="W69" authorId="0" shapeId="0" xr:uid="{CE406EB6-5A61-483A-B7D7-585F588C29FF}">
      <text>
        <r>
          <rPr>
            <sz val="9"/>
            <color indexed="81"/>
            <rFont val="Verdana"/>
            <family val="2"/>
          </rPr>
          <t>De totaalscore mag niet hoger zijn dan de hierboven vermelde maximale score.</t>
        </r>
      </text>
    </comment>
    <comment ref="X69" authorId="0" shapeId="0" xr:uid="{70F129FB-102E-425E-9719-04BA4F7507C5}">
      <text>
        <r>
          <rPr>
            <sz val="9"/>
            <color indexed="81"/>
            <rFont val="Verdana"/>
            <family val="2"/>
          </rPr>
          <t>De totaalscore mag niet hoger zijn dan de hierboven vermelde maximale score.</t>
        </r>
      </text>
    </comment>
    <comment ref="W70" authorId="0" shapeId="0" xr:uid="{C826B900-574B-4A5A-AF6F-AE3FFD52A058}">
      <text>
        <r>
          <rPr>
            <sz val="9"/>
            <color indexed="81"/>
            <rFont val="Verdana"/>
            <family val="2"/>
          </rPr>
          <t>De totaalscore mag niet hoger zijn dan de hierboven vermelde maximale score.</t>
        </r>
      </text>
    </comment>
    <comment ref="X70" authorId="0" shapeId="0" xr:uid="{C68EC3BC-F8BC-4D1A-A0AC-C41FC91470DB}">
      <text>
        <r>
          <rPr>
            <sz val="9"/>
            <color indexed="81"/>
            <rFont val="Verdana"/>
            <family val="2"/>
          </rPr>
          <t>De totaalscore mag niet hoger zijn dan de hierboven vermelde maximale score.</t>
        </r>
      </text>
    </comment>
    <comment ref="W71" authorId="0" shapeId="0" xr:uid="{20E5D374-2B2C-4E28-8062-78DB3359056B}">
      <text>
        <r>
          <rPr>
            <sz val="9"/>
            <color indexed="81"/>
            <rFont val="Verdana"/>
            <family val="2"/>
          </rPr>
          <t>De totaalscore mag niet hoger zijn dan de hierboven vermelde maximale score.</t>
        </r>
      </text>
    </comment>
    <comment ref="X71" authorId="0" shapeId="0" xr:uid="{1C82F875-EFBD-49C4-BE31-8393912A04CC}">
      <text>
        <r>
          <rPr>
            <sz val="9"/>
            <color indexed="81"/>
            <rFont val="Verdana"/>
            <family val="2"/>
          </rPr>
          <t>De totaalscore mag niet hoger zijn dan de hierboven vermelde maximale score.</t>
        </r>
      </text>
    </comment>
    <comment ref="W72" authorId="0" shapeId="0" xr:uid="{53AEDE44-2D6B-43FB-A200-9CC0333DFE2E}">
      <text>
        <r>
          <rPr>
            <sz val="9"/>
            <color indexed="81"/>
            <rFont val="Verdana"/>
            <family val="2"/>
          </rPr>
          <t>De totaalscore mag niet hoger zijn dan de hierboven vermelde maximale score.</t>
        </r>
      </text>
    </comment>
    <comment ref="X72" authorId="0" shapeId="0" xr:uid="{B6031CCD-7B38-4104-BF53-29B139D7B932}">
      <text>
        <r>
          <rPr>
            <sz val="9"/>
            <color indexed="81"/>
            <rFont val="Verdana"/>
            <family val="2"/>
          </rPr>
          <t>De totaalscore mag niet hoger zijn dan de hierboven vermelde maximale score.</t>
        </r>
      </text>
    </comment>
    <comment ref="W73" authorId="0" shapeId="0" xr:uid="{E363411E-26FD-404E-8C2D-74348F7C9BDB}">
      <text>
        <r>
          <rPr>
            <sz val="9"/>
            <color indexed="81"/>
            <rFont val="Verdana"/>
            <family val="2"/>
          </rPr>
          <t>De totaalscore mag niet hoger zijn dan de hierboven vermelde maximale score.</t>
        </r>
      </text>
    </comment>
    <comment ref="X73" authorId="0" shapeId="0" xr:uid="{EF3C7E38-1CE0-4D24-8352-C42D194C8291}">
      <text>
        <r>
          <rPr>
            <sz val="9"/>
            <color indexed="81"/>
            <rFont val="Verdana"/>
            <family val="2"/>
          </rPr>
          <t>De totaalscore mag niet hoger zijn dan de hierboven vermelde maximale score.</t>
        </r>
      </text>
    </comment>
    <comment ref="W74" authorId="0" shapeId="0" xr:uid="{303674C5-74C4-4D80-98D1-F18832EBC2A3}">
      <text>
        <r>
          <rPr>
            <sz val="9"/>
            <color indexed="81"/>
            <rFont val="Verdana"/>
            <family val="2"/>
          </rPr>
          <t>De totaalscore mag niet hoger zijn dan de hierboven vermelde maximale score.</t>
        </r>
      </text>
    </comment>
    <comment ref="X74" authorId="0" shapeId="0" xr:uid="{A35F9468-1B2F-4187-91A0-2603690BEC82}">
      <text>
        <r>
          <rPr>
            <sz val="9"/>
            <color indexed="81"/>
            <rFont val="Verdana"/>
            <family val="2"/>
          </rPr>
          <t>De totaalscore mag niet hoger zijn dan de hierboven vermelde maximale score.</t>
        </r>
      </text>
    </comment>
    <comment ref="W75" authorId="0" shapeId="0" xr:uid="{238F8A5C-8DF6-4B35-BB94-ED5F13002452}">
      <text>
        <r>
          <rPr>
            <sz val="9"/>
            <color indexed="81"/>
            <rFont val="Verdana"/>
            <family val="2"/>
          </rPr>
          <t>De totaalscore mag niet hoger zijn dan de hierboven vermelde maximale score.</t>
        </r>
      </text>
    </comment>
    <comment ref="X75" authorId="0" shapeId="0" xr:uid="{EB300E2F-F7ED-46B4-88AC-B44562F854EF}">
      <text>
        <r>
          <rPr>
            <sz val="9"/>
            <color indexed="81"/>
            <rFont val="Verdana"/>
            <family val="2"/>
          </rPr>
          <t>De totaalscore mag niet hoger zijn dan de hierboven vermelde maximale score.</t>
        </r>
      </text>
    </comment>
    <comment ref="W76" authorId="0" shapeId="0" xr:uid="{0A1C2D89-C469-4208-ACD1-8F44AEBA0E9E}">
      <text>
        <r>
          <rPr>
            <sz val="9"/>
            <color indexed="81"/>
            <rFont val="Verdana"/>
            <family val="2"/>
          </rPr>
          <t>De totaalscore mag niet hoger zijn dan de hierboven vermelde maximale score.</t>
        </r>
      </text>
    </comment>
    <comment ref="X76" authorId="0" shapeId="0" xr:uid="{AC752EFA-7964-450C-99D3-0498EAB3BCC6}">
      <text>
        <r>
          <rPr>
            <sz val="9"/>
            <color indexed="81"/>
            <rFont val="Verdana"/>
            <family val="2"/>
          </rPr>
          <t>De totaalscore mag niet hoger zijn dan de hierboven vermelde maximale score.</t>
        </r>
      </text>
    </comment>
    <comment ref="W77" authorId="0" shapeId="0" xr:uid="{47A4BCCD-7744-43E9-8434-C01998687A18}">
      <text>
        <r>
          <rPr>
            <sz val="9"/>
            <color indexed="81"/>
            <rFont val="Verdana"/>
            <family val="2"/>
          </rPr>
          <t>De totaalscore mag niet hoger zijn dan de hierboven vermelde maximale score.</t>
        </r>
      </text>
    </comment>
    <comment ref="X77" authorId="0" shapeId="0" xr:uid="{6A6919AA-2A18-43CB-96EB-C61ED66984C9}">
      <text>
        <r>
          <rPr>
            <sz val="9"/>
            <color indexed="81"/>
            <rFont val="Verdana"/>
            <family val="2"/>
          </rPr>
          <t>De totaalscore mag niet hoger zijn dan de hierboven vermelde maximale score.</t>
        </r>
      </text>
    </comment>
    <comment ref="W78" authorId="0" shapeId="0" xr:uid="{224F1582-8794-47C2-9F75-431B31D5705B}">
      <text>
        <r>
          <rPr>
            <sz val="9"/>
            <color indexed="81"/>
            <rFont val="Verdana"/>
            <family val="2"/>
          </rPr>
          <t>De totaalscore mag niet hoger zijn dan de hierboven vermelde maximale score.</t>
        </r>
      </text>
    </comment>
    <comment ref="X78" authorId="0" shapeId="0" xr:uid="{EBA2CB3C-4497-49ED-916F-D6882A83935C}">
      <text>
        <r>
          <rPr>
            <sz val="9"/>
            <color indexed="81"/>
            <rFont val="Verdana"/>
            <family val="2"/>
          </rPr>
          <t>De totaalscore mag niet hoger zijn dan de hierboven vermelde maximale score.</t>
        </r>
      </text>
    </comment>
    <comment ref="W79" authorId="0" shapeId="0" xr:uid="{1A62A7EA-1F59-46D6-9996-F9432B79D08A}">
      <text>
        <r>
          <rPr>
            <sz val="9"/>
            <color indexed="81"/>
            <rFont val="Verdana"/>
            <family val="2"/>
          </rPr>
          <t>De totaalscore mag niet hoger zijn dan de hierboven vermelde maximale score.</t>
        </r>
      </text>
    </comment>
    <comment ref="X79" authorId="0" shapeId="0" xr:uid="{A1E9FD43-4745-459C-91B7-5E4E6FB69A46}">
      <text>
        <r>
          <rPr>
            <sz val="9"/>
            <color indexed="81"/>
            <rFont val="Verdana"/>
            <family val="2"/>
          </rPr>
          <t>De totaalscore mag niet hoger zijn dan de hierboven vermelde maximale score.</t>
        </r>
      </text>
    </comment>
    <comment ref="W80" authorId="0" shapeId="0" xr:uid="{76EE0010-9623-4E2A-96B7-00218976D89D}">
      <text>
        <r>
          <rPr>
            <sz val="9"/>
            <color indexed="81"/>
            <rFont val="Verdana"/>
            <family val="2"/>
          </rPr>
          <t>De totaalscore mag niet hoger zijn dan de hierboven vermelde maximale score.</t>
        </r>
      </text>
    </comment>
    <comment ref="X80" authorId="0" shapeId="0" xr:uid="{07965FDD-C3CF-4EF4-A704-1EE4D722213F}">
      <text>
        <r>
          <rPr>
            <sz val="9"/>
            <color indexed="81"/>
            <rFont val="Verdana"/>
            <family val="2"/>
          </rPr>
          <t>De totaalscore mag niet hoger zijn dan de hierboven vermelde maximale score.</t>
        </r>
      </text>
    </comment>
    <comment ref="W81" authorId="0" shapeId="0" xr:uid="{6F928505-957C-4522-AB9B-5501233E8028}">
      <text>
        <r>
          <rPr>
            <sz val="9"/>
            <color indexed="81"/>
            <rFont val="Verdana"/>
            <family val="2"/>
          </rPr>
          <t>De totaalscore mag niet hoger zijn dan de hierboven vermelde maximale score.</t>
        </r>
      </text>
    </comment>
    <comment ref="X81" authorId="0" shapeId="0" xr:uid="{39BAC829-4F91-4372-857F-99D7E39A2F60}">
      <text>
        <r>
          <rPr>
            <sz val="9"/>
            <color indexed="81"/>
            <rFont val="Verdana"/>
            <family val="2"/>
          </rPr>
          <t>De totaalscore mag niet hoger zijn dan de hierboven vermelde maximale score.</t>
        </r>
      </text>
    </comment>
    <comment ref="W82" authorId="0" shapeId="0" xr:uid="{11180409-D514-46C6-BC0B-3438C29ADF67}">
      <text>
        <r>
          <rPr>
            <sz val="9"/>
            <color indexed="81"/>
            <rFont val="Verdana"/>
            <family val="2"/>
          </rPr>
          <t>De totaalscore mag niet hoger zijn dan de hierboven vermelde maximale score.</t>
        </r>
      </text>
    </comment>
    <comment ref="X82" authorId="0" shapeId="0" xr:uid="{2D987ABB-2E2C-4338-8AB3-9499A366FFC4}">
      <text>
        <r>
          <rPr>
            <sz val="9"/>
            <color indexed="81"/>
            <rFont val="Verdana"/>
            <family val="2"/>
          </rPr>
          <t>De totaalscore mag niet hoger zijn dan de hierboven vermelde maximale score.</t>
        </r>
      </text>
    </comment>
    <comment ref="W83" authorId="0" shapeId="0" xr:uid="{1A81BF8A-F77F-4040-881A-EC71A1933CAE}">
      <text>
        <r>
          <rPr>
            <sz val="9"/>
            <color indexed="81"/>
            <rFont val="Verdana"/>
            <family val="2"/>
          </rPr>
          <t>De totaalscore mag niet hoger zijn dan de hierboven vermelde maximale score.</t>
        </r>
      </text>
    </comment>
    <comment ref="X83" authorId="0" shapeId="0" xr:uid="{282900CF-3B2A-41FF-A508-0EF193C956FD}">
      <text>
        <r>
          <rPr>
            <sz val="9"/>
            <color indexed="81"/>
            <rFont val="Verdana"/>
            <family val="2"/>
          </rPr>
          <t>De totaalscore mag niet hoger zijn dan de hierboven vermelde maximale score.</t>
        </r>
      </text>
    </comment>
    <comment ref="W84" authorId="0" shapeId="0" xr:uid="{420CCF2A-91E2-4390-9B1E-1D06C30FBD0D}">
      <text>
        <r>
          <rPr>
            <sz val="9"/>
            <color indexed="81"/>
            <rFont val="Verdana"/>
            <family val="2"/>
          </rPr>
          <t>De totaalscore mag niet hoger zijn dan de hierboven vermelde maximale score.</t>
        </r>
      </text>
    </comment>
    <comment ref="X84" authorId="0" shapeId="0" xr:uid="{59D8A33F-4D7A-4D69-A2C1-731E636D4662}">
      <text>
        <r>
          <rPr>
            <sz val="9"/>
            <color indexed="81"/>
            <rFont val="Verdana"/>
            <family val="2"/>
          </rPr>
          <t>De totaalscore mag niet hoger zijn dan de hierboven vermelde maximale score.</t>
        </r>
      </text>
    </comment>
    <comment ref="W85" authorId="0" shapeId="0" xr:uid="{FF1F2D5E-7611-4A14-822E-E9090B821A4F}">
      <text>
        <r>
          <rPr>
            <sz val="9"/>
            <color indexed="81"/>
            <rFont val="Verdana"/>
            <family val="2"/>
          </rPr>
          <t>De totaalscore mag niet hoger zijn dan de hierboven vermelde maximale score.</t>
        </r>
      </text>
    </comment>
    <comment ref="X85" authorId="0" shapeId="0" xr:uid="{3BCD935B-524F-4AEF-BE06-85B1630E8C48}">
      <text>
        <r>
          <rPr>
            <sz val="9"/>
            <color indexed="81"/>
            <rFont val="Verdana"/>
            <family val="2"/>
          </rPr>
          <t>De totaalscore mag niet hoger zijn dan de hierboven vermelde maximale score.</t>
        </r>
      </text>
    </comment>
    <comment ref="W86" authorId="0" shapeId="0" xr:uid="{B72E8D77-4633-406E-B04C-0877E3064751}">
      <text>
        <r>
          <rPr>
            <sz val="9"/>
            <color indexed="81"/>
            <rFont val="Verdana"/>
            <family val="2"/>
          </rPr>
          <t>De totaalscore mag niet hoger zijn dan de hierboven vermelde maximale score.</t>
        </r>
      </text>
    </comment>
    <comment ref="X86" authorId="0" shapeId="0" xr:uid="{11F7F504-034D-493D-9F81-F0BDBF3A5448}">
      <text>
        <r>
          <rPr>
            <sz val="9"/>
            <color indexed="81"/>
            <rFont val="Verdana"/>
            <family val="2"/>
          </rPr>
          <t>De totaalscore mag niet hoger zijn dan de hierboven vermelde maximale score.</t>
        </r>
      </text>
    </comment>
    <comment ref="W87" authorId="0" shapeId="0" xr:uid="{B427B511-0BEA-4D79-A3B8-E37BF49E8C3C}">
      <text>
        <r>
          <rPr>
            <sz val="9"/>
            <color indexed="81"/>
            <rFont val="Verdana"/>
            <family val="2"/>
          </rPr>
          <t>De totaalscore mag niet hoger zijn dan de hierboven vermelde maximale score.</t>
        </r>
      </text>
    </comment>
    <comment ref="X87" authorId="0" shapeId="0" xr:uid="{AB84D178-0A25-4F43-9B36-6F24F190BDAD}">
      <text>
        <r>
          <rPr>
            <sz val="9"/>
            <color indexed="81"/>
            <rFont val="Verdana"/>
            <family val="2"/>
          </rPr>
          <t>De totaalscore mag niet hoger zijn dan de hierboven vermelde maximale score.</t>
        </r>
      </text>
    </comment>
    <comment ref="W88" authorId="0" shapeId="0" xr:uid="{1515A37A-5FE9-41C6-BBAC-0981EDAFA65C}">
      <text>
        <r>
          <rPr>
            <sz val="9"/>
            <color indexed="81"/>
            <rFont val="Verdana"/>
            <family val="2"/>
          </rPr>
          <t>De totaalscore mag niet hoger zijn dan de hierboven vermelde maximale score.</t>
        </r>
      </text>
    </comment>
    <comment ref="X88" authorId="0" shapeId="0" xr:uid="{5B1C5A21-35A4-40E1-8A37-76DD3F20E3C9}">
      <text>
        <r>
          <rPr>
            <sz val="9"/>
            <color indexed="81"/>
            <rFont val="Verdana"/>
            <family val="2"/>
          </rPr>
          <t>De totaalscore mag niet hoger zijn dan de hierboven vermelde maximale score.</t>
        </r>
      </text>
    </comment>
    <comment ref="W89" authorId="0" shapeId="0" xr:uid="{66DA4ABF-D110-4808-94E8-0345C8FF5521}">
      <text>
        <r>
          <rPr>
            <sz val="9"/>
            <color indexed="81"/>
            <rFont val="Verdana"/>
            <family val="2"/>
          </rPr>
          <t>De totaalscore mag niet hoger zijn dan de hierboven vermelde maximale score.</t>
        </r>
      </text>
    </comment>
    <comment ref="X89" authorId="0" shapeId="0" xr:uid="{7FD642F6-E41A-4E70-A60A-FCBAB717CC36}">
      <text>
        <r>
          <rPr>
            <sz val="9"/>
            <color indexed="81"/>
            <rFont val="Verdana"/>
            <family val="2"/>
          </rPr>
          <t>De totaalscore mag niet hoger zijn dan de hierboven vermelde maximale score.</t>
        </r>
      </text>
    </comment>
    <comment ref="W90" authorId="0" shapeId="0" xr:uid="{37A84230-9252-49CF-B788-1EBA893310F9}">
      <text>
        <r>
          <rPr>
            <sz val="9"/>
            <color indexed="81"/>
            <rFont val="Verdana"/>
            <family val="2"/>
          </rPr>
          <t>De totaalscore mag niet hoger zijn dan de hierboven vermelde maximale score.</t>
        </r>
      </text>
    </comment>
    <comment ref="X90" authorId="0" shapeId="0" xr:uid="{17B74DAC-3246-4305-AB59-3E0F955AAE7E}">
      <text>
        <r>
          <rPr>
            <sz val="9"/>
            <color indexed="81"/>
            <rFont val="Verdana"/>
            <family val="2"/>
          </rPr>
          <t>De totaalscore mag niet hoger zijn dan de hierboven vermelde maximale score.</t>
        </r>
      </text>
    </comment>
    <comment ref="W91" authorId="0" shapeId="0" xr:uid="{EDA96E4F-BE1D-4A52-86B0-22BA8F93C5C4}">
      <text>
        <r>
          <rPr>
            <sz val="9"/>
            <color indexed="81"/>
            <rFont val="Verdana"/>
            <family val="2"/>
          </rPr>
          <t>De totaalscore mag niet hoger zijn dan de hierboven vermelde maximale score.</t>
        </r>
      </text>
    </comment>
    <comment ref="X91" authorId="0" shapeId="0" xr:uid="{71474D17-3132-43D9-BBDF-4EE43DA79783}">
      <text>
        <r>
          <rPr>
            <sz val="9"/>
            <color indexed="81"/>
            <rFont val="Verdana"/>
            <family val="2"/>
          </rPr>
          <t>De totaalscore mag niet hoger zijn dan de hierboven vermelde maximale score.</t>
        </r>
      </text>
    </comment>
    <comment ref="W92" authorId="0" shapeId="0" xr:uid="{D5467458-A31F-40BF-8398-4C9388C65E98}">
      <text>
        <r>
          <rPr>
            <sz val="9"/>
            <color indexed="81"/>
            <rFont val="Verdana"/>
            <family val="2"/>
          </rPr>
          <t>De totaalscore mag niet hoger zijn dan de hierboven vermelde maximale score.</t>
        </r>
      </text>
    </comment>
    <comment ref="X92" authorId="0" shapeId="0" xr:uid="{9204AA61-B8AB-4808-80E9-E112206A1293}">
      <text>
        <r>
          <rPr>
            <sz val="9"/>
            <color indexed="81"/>
            <rFont val="Verdana"/>
            <family val="2"/>
          </rPr>
          <t>De totaalscore mag niet hoger zijn dan de hierboven vermelde maximale score.</t>
        </r>
      </text>
    </comment>
    <comment ref="W93" authorId="0" shapeId="0" xr:uid="{EF1725D4-E9BE-44CA-BA74-EB3FDAC7A675}">
      <text>
        <r>
          <rPr>
            <sz val="9"/>
            <color indexed="81"/>
            <rFont val="Verdana"/>
            <family val="2"/>
          </rPr>
          <t>De totaalscore mag niet hoger zijn dan de hierboven vermelde maximale score.</t>
        </r>
      </text>
    </comment>
    <comment ref="X93" authorId="0" shapeId="0" xr:uid="{23EEAC14-3743-4A5C-9748-45E446022208}">
      <text>
        <r>
          <rPr>
            <sz val="9"/>
            <color indexed="81"/>
            <rFont val="Verdana"/>
            <family val="2"/>
          </rPr>
          <t>De totaalscore mag niet hoger zijn dan de hierboven vermelde maximale score.</t>
        </r>
      </text>
    </comment>
    <comment ref="W94" authorId="0" shapeId="0" xr:uid="{A864EBC9-E4A8-439C-8098-883A93675835}">
      <text>
        <r>
          <rPr>
            <sz val="9"/>
            <color indexed="81"/>
            <rFont val="Verdana"/>
            <family val="2"/>
          </rPr>
          <t>De totaalscore mag niet hoger zijn dan de hierboven vermelde maximale score.</t>
        </r>
      </text>
    </comment>
    <comment ref="X94" authorId="0" shapeId="0" xr:uid="{0A42C72D-5298-4F8F-985B-B8A616CF1BAE}">
      <text>
        <r>
          <rPr>
            <sz val="9"/>
            <color indexed="81"/>
            <rFont val="Verdana"/>
            <family val="2"/>
          </rPr>
          <t>De totaalscore mag niet hoger zijn dan de hierboven vermelde maximale score.</t>
        </r>
      </text>
    </comment>
    <comment ref="W95" authorId="0" shapeId="0" xr:uid="{9E3213E1-69C6-45D7-9921-89CDB5B4FB8F}">
      <text>
        <r>
          <rPr>
            <sz val="9"/>
            <color indexed="81"/>
            <rFont val="Verdana"/>
            <family val="2"/>
          </rPr>
          <t>De totaalscore mag niet hoger zijn dan de hierboven vermelde maximale score.</t>
        </r>
      </text>
    </comment>
    <comment ref="X95" authorId="0" shapeId="0" xr:uid="{1D52658F-6599-4873-9461-ABABC02AA058}">
      <text>
        <r>
          <rPr>
            <sz val="9"/>
            <color indexed="81"/>
            <rFont val="Verdana"/>
            <family val="2"/>
          </rPr>
          <t>De totaalscore mag niet hoger zijn dan de hierboven vermelde maximale score.</t>
        </r>
      </text>
    </comment>
    <comment ref="W96" authorId="0" shapeId="0" xr:uid="{CDFE01BE-A116-48E4-BA74-95EF7C89B58B}">
      <text>
        <r>
          <rPr>
            <sz val="9"/>
            <color indexed="81"/>
            <rFont val="Verdana"/>
            <family val="2"/>
          </rPr>
          <t>De totaalscore mag niet hoger zijn dan de hierboven vermelde maximale score.</t>
        </r>
      </text>
    </comment>
    <comment ref="X96" authorId="0" shapeId="0" xr:uid="{B6AFFAE4-52A8-4D47-BEA4-529F8D2FC798}">
      <text>
        <r>
          <rPr>
            <sz val="9"/>
            <color indexed="81"/>
            <rFont val="Verdana"/>
            <family val="2"/>
          </rPr>
          <t>De totaalscore mag niet hoger zijn dan de hierboven vermelde maximale score.</t>
        </r>
      </text>
    </comment>
    <comment ref="W97" authorId="0" shapeId="0" xr:uid="{6136F97C-A265-4258-B1C7-1F37BBC3E8A0}">
      <text>
        <r>
          <rPr>
            <sz val="9"/>
            <color indexed="81"/>
            <rFont val="Verdana"/>
            <family val="2"/>
          </rPr>
          <t>De totaalscore mag niet hoger zijn dan de hierboven vermelde maximale score.</t>
        </r>
      </text>
    </comment>
    <comment ref="X97" authorId="0" shapeId="0" xr:uid="{8060097A-6D84-431B-9765-4D9179BF295A}">
      <text>
        <r>
          <rPr>
            <sz val="9"/>
            <color indexed="81"/>
            <rFont val="Verdana"/>
            <family val="2"/>
          </rPr>
          <t>De totaalscore mag niet hoger zijn dan de hierboven vermelde maximale score.</t>
        </r>
      </text>
    </comment>
    <comment ref="W98" authorId="0" shapeId="0" xr:uid="{E8C4E546-1549-4861-BD30-44842705963B}">
      <text>
        <r>
          <rPr>
            <sz val="9"/>
            <color indexed="81"/>
            <rFont val="Verdana"/>
            <family val="2"/>
          </rPr>
          <t>De totaalscore mag niet hoger zijn dan de hierboven vermelde maximale score.</t>
        </r>
      </text>
    </comment>
    <comment ref="X98" authorId="0" shapeId="0" xr:uid="{56A830E5-0175-4401-A853-B77120B028F5}">
      <text>
        <r>
          <rPr>
            <sz val="9"/>
            <color indexed="81"/>
            <rFont val="Verdana"/>
            <family val="2"/>
          </rPr>
          <t>De totaalscore mag niet hoger zijn dan de hierboven vermelde maximale score.</t>
        </r>
      </text>
    </comment>
    <comment ref="W99" authorId="0" shapeId="0" xr:uid="{E8AE4E94-7B31-4016-B393-29ECBFD95491}">
      <text>
        <r>
          <rPr>
            <sz val="9"/>
            <color indexed="81"/>
            <rFont val="Verdana"/>
            <family val="2"/>
          </rPr>
          <t>De totaalscore mag niet hoger zijn dan de hierboven vermelde maximale score.</t>
        </r>
      </text>
    </comment>
    <comment ref="X99" authorId="0" shapeId="0" xr:uid="{5176BC79-3EF9-49F3-8D8B-03774CE63C82}">
      <text>
        <r>
          <rPr>
            <sz val="9"/>
            <color indexed="81"/>
            <rFont val="Verdana"/>
            <family val="2"/>
          </rPr>
          <t>De totaalscore mag niet hoger zijn dan de hierboven vermelde maximale score.</t>
        </r>
      </text>
    </comment>
    <comment ref="W100" authorId="0" shapeId="0" xr:uid="{7AB20F85-87B1-47F7-A8F5-442F8B640940}">
      <text>
        <r>
          <rPr>
            <sz val="9"/>
            <color indexed="81"/>
            <rFont val="Verdana"/>
            <family val="2"/>
          </rPr>
          <t>De totaalscore mag niet hoger zijn dan de hierboven vermelde maximale score.</t>
        </r>
      </text>
    </comment>
    <comment ref="X100" authorId="0" shapeId="0" xr:uid="{F7CD1D11-F255-4592-9E06-EDB80918E6D2}">
      <text>
        <r>
          <rPr>
            <sz val="9"/>
            <color indexed="81"/>
            <rFont val="Verdana"/>
            <family val="2"/>
          </rPr>
          <t>De totaalscore mag niet hoger zijn dan de hierboven vermelde maximale score.</t>
        </r>
      </text>
    </comment>
    <comment ref="W101" authorId="0" shapeId="0" xr:uid="{E19589F0-0631-4D71-8C9E-16BA05D31FD2}">
      <text>
        <r>
          <rPr>
            <sz val="9"/>
            <color indexed="81"/>
            <rFont val="Verdana"/>
            <family val="2"/>
          </rPr>
          <t>De totaalscore mag niet hoger zijn dan de hierboven vermelde maximale score.</t>
        </r>
      </text>
    </comment>
    <comment ref="X101" authorId="0" shapeId="0" xr:uid="{2A39C07A-976C-4758-AE7A-0E81F643741F}">
      <text>
        <r>
          <rPr>
            <sz val="9"/>
            <color indexed="81"/>
            <rFont val="Verdana"/>
            <family val="2"/>
          </rPr>
          <t>De totaalscore mag niet hoger zijn dan de hierboven vermelde maximale score.</t>
        </r>
      </text>
    </comment>
  </commentList>
</comments>
</file>

<file path=xl/sharedStrings.xml><?xml version="1.0" encoding="utf-8"?>
<sst xmlns="http://schemas.openxmlformats.org/spreadsheetml/2006/main" count="3188" uniqueCount="1269">
  <si>
    <t>Departement</t>
  </si>
  <si>
    <t>Deelnemende dienst</t>
  </si>
  <si>
    <t>Lijst 1</t>
  </si>
  <si>
    <t>Lijst 2</t>
  </si>
  <si>
    <t>Ja</t>
  </si>
  <si>
    <t>Nee</t>
  </si>
  <si>
    <t>Indifferent</t>
  </si>
  <si>
    <t>Inzetgegevens</t>
  </si>
  <si>
    <t>Werkervaring en -denkniveau</t>
  </si>
  <si>
    <t>Kennis</t>
  </si>
  <si>
    <t>Overige functiewensen</t>
  </si>
  <si>
    <t>Aanvullende kennis</t>
  </si>
  <si>
    <t>INZETGEGEVENS</t>
  </si>
  <si>
    <t>ALGEMEEN</t>
  </si>
  <si>
    <t>Planning</t>
  </si>
  <si>
    <t>Extra standplaats(en)</t>
  </si>
  <si>
    <r>
      <t>Optie op verlenging</t>
    </r>
    <r>
      <rPr>
        <b/>
        <sz val="9"/>
        <rFont val="Verdana"/>
        <family val="2"/>
      </rPr>
      <t>*</t>
    </r>
  </si>
  <si>
    <t>Deelnemende dienst*</t>
  </si>
  <si>
    <t>Departement*</t>
  </si>
  <si>
    <t>EISEN EN WENSEN</t>
  </si>
  <si>
    <t>Competenties</t>
  </si>
  <si>
    <t>Hemelvaartsdag</t>
  </si>
  <si>
    <t>Nieuwjaar</t>
  </si>
  <si>
    <t>ORGANISATIE</t>
  </si>
  <si>
    <t>FEESTDAGEN</t>
  </si>
  <si>
    <t>1e Paasdag</t>
  </si>
  <si>
    <t>Jaar</t>
  </si>
  <si>
    <t>2e Paasdag</t>
  </si>
  <si>
    <t>1e Pinksterdag</t>
  </si>
  <si>
    <t>2e Pinksterdag</t>
  </si>
  <si>
    <t>1e Kerstdag</t>
  </si>
  <si>
    <t>2e Kertsdag</t>
  </si>
  <si>
    <r>
      <t>Max. aantal CV's per opdrachtnemer</t>
    </r>
    <r>
      <rPr>
        <b/>
        <sz val="9"/>
        <rFont val="Verdana"/>
        <family val="2"/>
      </rPr>
      <t>*</t>
    </r>
  </si>
  <si>
    <t>Spoedaanvraag</t>
  </si>
  <si>
    <t>Eindmoment stellen van vragen*</t>
  </si>
  <si>
    <t>Eindmoment beantwoording vragen*</t>
  </si>
  <si>
    <t>Organisatorische context en cultuur*</t>
  </si>
  <si>
    <t>Koningsdag</t>
  </si>
  <si>
    <t>Max. aantal uren initiële inhuurtermijn*</t>
  </si>
  <si>
    <t>Overige vereiste kennisgebieden</t>
  </si>
  <si>
    <t>Datum offerte aanvraag*</t>
  </si>
  <si>
    <t>Streefdatum mededeling gunning*</t>
  </si>
  <si>
    <t>Opleiding / Certificaat</t>
  </si>
  <si>
    <t>Bewezen
aantal jaar</t>
  </si>
  <si>
    <t>Status Aanvraag</t>
  </si>
  <si>
    <t>Open</t>
  </si>
  <si>
    <t>Gunnen</t>
  </si>
  <si>
    <t>Status Kandidaat</t>
  </si>
  <si>
    <t>Afgewezen</t>
  </si>
  <si>
    <t>Gesprek</t>
  </si>
  <si>
    <t>Indienen offertes*</t>
  </si>
  <si>
    <t>Beoordelen</t>
  </si>
  <si>
    <t>Locatie Inhuur Documenten</t>
  </si>
  <si>
    <t>Emailadres Inhuurdesk</t>
  </si>
  <si>
    <t>OPDRACHT</t>
  </si>
  <si>
    <t xml:space="preserve">Achtergrond opdracht*
</t>
  </si>
  <si>
    <t>Opdrachtbeschrijving *: 
- werkzaamheden of
- prestatiedoelstelling van de opdracht</t>
  </si>
  <si>
    <t>Aantal maanden initiële inhuurtermijn</t>
  </si>
  <si>
    <t>Maximaal aantal verlengingen</t>
  </si>
  <si>
    <t>Directie/Bedrijfsonderdeel
(sorteer A-Z)</t>
  </si>
  <si>
    <t>Inhurend manager*</t>
  </si>
  <si>
    <t>In beoordeling</t>
  </si>
  <si>
    <r>
      <t>Gewenste startdatum</t>
    </r>
    <r>
      <rPr>
        <b/>
        <sz val="9"/>
        <rFont val="Verdana"/>
        <family val="2"/>
      </rPr>
      <t>*</t>
    </r>
  </si>
  <si>
    <t xml:space="preserve"> </t>
  </si>
  <si>
    <t>Geen gunning</t>
  </si>
  <si>
    <t>accountteam11@rvo.nl</t>
  </si>
  <si>
    <t>Standaard tekst</t>
  </si>
  <si>
    <t>Max. termijn per verlenging in maanden</t>
  </si>
  <si>
    <r>
      <rPr>
        <sz val="9"/>
        <rFont val="Wingdings"/>
        <charset val="2"/>
      </rPr>
      <t>è</t>
    </r>
    <r>
      <rPr>
        <sz val="9"/>
        <rFont val="Verdana"/>
        <family val="2"/>
      </rPr>
      <t xml:space="preserve"> Toelichting</t>
    </r>
  </si>
  <si>
    <t>Gewenste competenties</t>
  </si>
  <si>
    <t>Indien ja, gebaseerd op referentienummer</t>
  </si>
  <si>
    <t>Ministerie van Economische Zaken en Klimaat</t>
  </si>
  <si>
    <t>Aanvraag Inhuur (via Raamovereenkomst)</t>
  </si>
  <si>
    <t>NVWA</t>
  </si>
  <si>
    <t>DICTU</t>
  </si>
  <si>
    <t>ACM</t>
  </si>
  <si>
    <t>De Autoriteit Consument &amp; Markt (ACM) is een toezichthouder en in 2013 ontstaan uit een fusie tussen De Consumentenautoriteit, Nederlandse Mededingingsautoriteit (NMa) en de Onafhankelijke Post en Telecommunicatie Autoriteit (OPTA). ACM ziet erop toe dat bedrijven eerlijk concurreren en beschermt consumentenbelangen. Het is onze missie kansen en keuzes voor bedrijven en consumenten te bevorderen. Dit doen we door probleemoplossend te werken. ACM is een zelfstandig bestuursorgaan en komt onafhankelijk en zelfstandig tot besluiten. Het Ministerie van Economische Zaken is politiek verantwoordelijk voor het beleid en de wetgeving en bepaalt de kaders waarbinnen ACM opereert. Wij maken ons met ruim 520 collega's op onafhankelijke en professionele wijze sterk voor consumenten en bedrijven. We zijn een platte, overzichtelijke organisatie met acht directies, te weten: Mededinging, Consumenten, Energie, Telecom Vervoer en Post, Juridische Zaken, het Economisch Bureau, Bedrijfsvoering en Bestuur Beleid en Communicatie.</t>
  </si>
  <si>
    <t>Naam afdeling</t>
  </si>
  <si>
    <t xml:space="preserve">Ministerie van Landbouw, Natuur en Voedselkwaliteit </t>
  </si>
  <si>
    <t>ATR</t>
  </si>
  <si>
    <t>CPB</t>
  </si>
  <si>
    <t>Kernministerie EZK</t>
  </si>
  <si>
    <t>Kernministerie LNV</t>
  </si>
  <si>
    <t>De Nederlandse Voedsel- en Warenautoriteit (NVWA) bewaakt de gezondheid van dieren en planten, het dierenwelzijn en de veiligheid van voedsel en consumentproducten, en handhaaft de natuurwetgeving’.
https://www.youtube.com/watch?v=ih2RYaw6dwo</t>
  </si>
  <si>
    <t>RVO</t>
  </si>
  <si>
    <t>SODM</t>
  </si>
  <si>
    <t>Afdeling/Bedrijfsonderdeel*</t>
  </si>
  <si>
    <t>Functienaam*</t>
  </si>
  <si>
    <t>Raamovereenkomst*</t>
  </si>
  <si>
    <t>Perceel*</t>
  </si>
  <si>
    <t>Inkoopadviesdiensten</t>
  </si>
  <si>
    <t>Auditdiensten</t>
  </si>
  <si>
    <t>Raamovereenkomsten</t>
  </si>
  <si>
    <t>RAAMOVEREENKOMSTEN-PERCELEN-FUNCTIEPROFIELEN</t>
  </si>
  <si>
    <t>Engineering (Junior)</t>
  </si>
  <si>
    <t>Engineering (Medior)</t>
  </si>
  <si>
    <t>Engineering (Senior)</t>
  </si>
  <si>
    <t>Analyse (Junior)</t>
  </si>
  <si>
    <t>Analyse (Medior)</t>
  </si>
  <si>
    <t>Analyse (Senior)</t>
  </si>
  <si>
    <t>Science (Medior)</t>
  </si>
  <si>
    <t>Science (Junior)</t>
  </si>
  <si>
    <t>Science (Senior)</t>
  </si>
  <si>
    <t>Functieprofiel/niveau*</t>
  </si>
  <si>
    <t>Junior</t>
  </si>
  <si>
    <t>Medior</t>
  </si>
  <si>
    <t>Senior</t>
  </si>
  <si>
    <t>OPDRACHTGEVER</t>
  </si>
  <si>
    <t>Functieprofielen</t>
  </si>
  <si>
    <t>Perceel 1, 2 en 3</t>
  </si>
  <si>
    <t>Senior+ (plus)</t>
  </si>
  <si>
    <t>Data specialisten</t>
  </si>
  <si>
    <t>Data Specialisten</t>
  </si>
  <si>
    <t>Financiële Adviesdiensten</t>
  </si>
  <si>
    <t>Interim Management en Organisatieadvies IMOA</t>
  </si>
  <si>
    <t>N.v.t. bij data specialisten</t>
  </si>
  <si>
    <t>Opleiding en kennis</t>
  </si>
  <si>
    <t>Eisen zijn knock-out criteria</t>
  </si>
  <si>
    <t>Opleiding/certificaat</t>
  </si>
  <si>
    <r>
      <t>Hoofdstandplaats</t>
    </r>
    <r>
      <rPr>
        <b/>
        <sz val="9"/>
        <rFont val="Verdana"/>
        <family val="2"/>
      </rPr>
      <t>*</t>
    </r>
  </si>
  <si>
    <t>Referentienummer IUC</t>
  </si>
  <si>
    <r>
      <t>Gewenste initiële einddatum</t>
    </r>
    <r>
      <rPr>
        <b/>
        <sz val="9"/>
        <rFont val="Verdana"/>
        <family val="2"/>
      </rPr>
      <t>*</t>
    </r>
  </si>
  <si>
    <t>Gewenste data interviews</t>
  </si>
  <si>
    <t>BEOORDELING OFFERTES</t>
  </si>
  <si>
    <r>
      <rPr>
        <sz val="9"/>
        <rFont val="Wingdings"/>
        <charset val="2"/>
      </rPr>
      <t>è</t>
    </r>
    <r>
      <rPr>
        <sz val="9"/>
        <rFont val="Verdana"/>
        <family val="2"/>
      </rPr>
      <t xml:space="preserve"> Evt. toelichting</t>
    </r>
  </si>
  <si>
    <t>Beoordeling</t>
  </si>
  <si>
    <t>Beoordelingswijze</t>
  </si>
  <si>
    <t>MAXIMUM TARIEVEN</t>
  </si>
  <si>
    <t>Tarieven</t>
  </si>
  <si>
    <t>Conform ROK</t>
  </si>
  <si>
    <t>Maximum uurtarief</t>
  </si>
  <si>
    <t>BEOORDELINGSWIJZE</t>
  </si>
  <si>
    <t>Opnemen in offerte</t>
  </si>
  <si>
    <t xml:space="preserve">Overige bepalingen </t>
  </si>
  <si>
    <t>Specialisten op het vlak van energie en duurzaamheid en innovatie</t>
  </si>
  <si>
    <t xml:space="preserve">Er wordt gegund op grond van de economisch meest voordelige inschrijving, EMVI, op basis van beste prijs-kwaliteitverhouding. </t>
  </si>
  <si>
    <t>Prijs</t>
  </si>
  <si>
    <t>Kwaliteit</t>
  </si>
  <si>
    <t>Criteria 1</t>
  </si>
  <si>
    <t>Criteria 2</t>
  </si>
  <si>
    <t>Criteria 3</t>
  </si>
  <si>
    <t>Criteria 4</t>
  </si>
  <si>
    <t>+</t>
  </si>
  <si>
    <t>Beoordelingswijze volgens raamovereenkomst</t>
  </si>
  <si>
    <t>Contactpersoon</t>
  </si>
  <si>
    <t>Screeningsitems (VOG)</t>
  </si>
  <si>
    <t>Inspanningsopdracht</t>
  </si>
  <si>
    <t>Dienstverlening van Boorspecialisten</t>
  </si>
  <si>
    <t>N.v.t. bij dienstverlening van boorspecialisten</t>
  </si>
  <si>
    <t>Junior Boorspecialist</t>
  </si>
  <si>
    <t>Medior Boorspecialist</t>
  </si>
  <si>
    <t>Senior Boorspecialist</t>
  </si>
  <si>
    <t>Senior+ (plus) Boorspecialist</t>
  </si>
  <si>
    <r>
      <rPr>
        <sz val="9"/>
        <rFont val="Wingdings"/>
        <charset val="2"/>
      </rPr>
      <t>è</t>
    </r>
    <r>
      <rPr>
        <sz val="9"/>
        <rFont val="Verdana"/>
        <family val="2"/>
      </rPr>
      <t xml:space="preserve"> VOG Nummers</t>
    </r>
  </si>
  <si>
    <t xml:space="preserve"> î</t>
  </si>
  <si>
    <t xml:space="preserve">     Evt. toelichting</t>
  </si>
  <si>
    <t>Het Centraal Planbureau (CPB) is een onderzoeksinstituut dat sinds 1945 economische beleidsanalyses maakt. Dat doet het CPB op eigen initiatief of op verzoek van de regering, het parlement, kamerleden, vakbonden en werkgeversorganisaties.</t>
  </si>
  <si>
    <t>In de offerte graag het uurtarief ex.btw vermelden. 
Wellicht ten overvloede: Het uurtarief van de kandidaat kan nooit hoger zijn dan het in de raamovereenkomst overeengekomen uurtarief.
Gelieve in de offerte vermelden of de kandidaat een ZZP'er is.</t>
  </si>
  <si>
    <t>Overzicht aanbiedingen</t>
  </si>
  <si>
    <t>AANVRAAGGEGEVENS</t>
  </si>
  <si>
    <t>WAARDEN REKENREGELS</t>
  </si>
  <si>
    <t>AANMAKEN DOCUMENTEN</t>
  </si>
  <si>
    <t>Criterium tarief</t>
  </si>
  <si>
    <t>Scorebepaling</t>
  </si>
  <si>
    <t>Opdrachtnemer</t>
  </si>
  <si>
    <t>Kandidaat</t>
  </si>
  <si>
    <t>Status kandidaat</t>
  </si>
  <si>
    <t>Opdracht-
nemer</t>
  </si>
  <si>
    <t>Behoefte-
steller</t>
  </si>
  <si>
    <t>Tarief aanbieding</t>
  </si>
  <si>
    <t>Score beoordelaar</t>
  </si>
  <si>
    <t>Totaal score</t>
  </si>
  <si>
    <t>Rang</t>
  </si>
  <si>
    <t>Opmerking</t>
  </si>
  <si>
    <t>Initieel tarief</t>
  </si>
  <si>
    <t xml:space="preserve">Laagste : </t>
  </si>
  <si>
    <t>Lijst</t>
  </si>
  <si>
    <t xml:space="preserve">Sluitingsmoment indienen van offertes :                       </t>
  </si>
  <si>
    <t>Velden met een * zijn verplicht in te vullen.</t>
  </si>
  <si>
    <t>Inhurende organisatie</t>
  </si>
  <si>
    <t>Zie bijbehorende inhuurformulier (zelfde referentienummer) voor uitgebreide informatie betreffende de aanvraag.</t>
  </si>
  <si>
    <t>AANBIEDING ALGEMEEN</t>
  </si>
  <si>
    <t>EISEN BIJ DEZE AANVRAAG</t>
  </si>
  <si>
    <t>Voldoet aan eis</t>
  </si>
  <si>
    <t>Bewezen aantal jaar</t>
  </si>
  <si>
    <t>Eisen</t>
  </si>
  <si>
    <t>Let op !!
- Eisen zijn knock-out criteria</t>
  </si>
  <si>
    <t>Aanbiedingstarief</t>
  </si>
  <si>
    <t>Verlengd tarief
(indien van toepassing)</t>
  </si>
  <si>
    <t>ONDERTEKENING OFFERTE</t>
  </si>
  <si>
    <t>Handtekening gemandateerde</t>
  </si>
  <si>
    <t>1. Druk op de rechtermuisknop
2. Kies "Ondertekenen"
3. Vul naam of voeg een afbeelding in
4. Klik op Ondertekenen
5. Bevestig met "OK"</t>
  </si>
  <si>
    <t>TOELICHTING AANGEBODEN KANDIDAAT</t>
  </si>
  <si>
    <t>Beoordelen aangeboden kandidaten</t>
  </si>
  <si>
    <t>INHUURDESK</t>
  </si>
  <si>
    <t>AANGEBODEN KANDIDATEN</t>
  </si>
  <si>
    <r>
      <t xml:space="preserve">Geef per aangeboden kandidaat aan of deze voldoet aan de gestelde eisen in de aanvraag. Geef vervolgens per gunningscriterium waarop beoordeeld moet worden aan wat de score is. Deze kan nooit meer zijn dan de waarde bij het gunningscriterium zoals opgegeven in de aanvraag.
</t>
    </r>
    <r>
      <rPr>
        <b/>
        <i/>
        <sz val="9"/>
        <color theme="1"/>
        <rFont val="Verdana"/>
        <family val="2"/>
      </rPr>
      <t xml:space="preserve">Let op ! </t>
    </r>
    <r>
      <rPr>
        <i/>
        <sz val="9"/>
        <color theme="1"/>
        <rFont val="Verdana"/>
        <family val="2"/>
      </rPr>
      <t xml:space="preserve">Indien een invoerveld </t>
    </r>
    <r>
      <rPr>
        <b/>
        <i/>
        <sz val="9"/>
        <color rgb="FFFF0000"/>
        <rFont val="Verdana"/>
        <family val="2"/>
      </rPr>
      <t>rood</t>
    </r>
    <r>
      <rPr>
        <i/>
        <sz val="9"/>
        <color theme="1"/>
        <rFont val="Verdana"/>
        <family val="2"/>
      </rPr>
      <t xml:space="preserve"> kleurt, dan is de ingevoerde waarde niet akkoord of is de totaal score &gt; maximale score.</t>
    </r>
  </si>
  <si>
    <t>Tarief</t>
  </si>
  <si>
    <t>Controle kandidaat
door inhuurdesk</t>
  </si>
  <si>
    <t>Voldoet aan functie gebonden eisen</t>
  </si>
  <si>
    <t>Toelichting beoordeling (verplicht in te vullen)</t>
  </si>
  <si>
    <t>Keuze</t>
  </si>
  <si>
    <t>Gunningscriteria</t>
  </si>
  <si>
    <t>Weging*</t>
  </si>
  <si>
    <t>Functienaam</t>
  </si>
  <si>
    <t>Voeg naast dit ingevulde formulier tevens een CV van de kandidaat bij.</t>
  </si>
  <si>
    <t>Afdeling/Bedrijfsonderdeel</t>
  </si>
  <si>
    <t>Opdracht</t>
  </si>
  <si>
    <t>Raamovereenkomst</t>
  </si>
  <si>
    <t>Perceel</t>
  </si>
  <si>
    <t>Lege velden invullen en documenten opsturen naar :</t>
  </si>
  <si>
    <t>Woonplaats*</t>
  </si>
  <si>
    <t>Uurtarief*</t>
  </si>
  <si>
    <t>Telefoonnummer*</t>
  </si>
  <si>
    <t>E-mail*</t>
  </si>
  <si>
    <t>TARIEVEN</t>
  </si>
  <si>
    <t>Schrijf eventueel een toelichting over de aangeboden kandidaat.</t>
  </si>
  <si>
    <t>Voornaam*</t>
  </si>
  <si>
    <t>Bedrijfsnaam*</t>
  </si>
  <si>
    <t>Naam contactpersoon*</t>
  </si>
  <si>
    <t>Functieprofiel/niveau</t>
  </si>
  <si>
    <t>Offerteformulier Inhuur (via Raamovereenkomst)</t>
  </si>
  <si>
    <t>Inhurend manager</t>
  </si>
  <si>
    <t>Score tarief</t>
  </si>
  <si>
    <t>Eisen
akkoord</t>
  </si>
  <si>
    <t>Aanvraag Inhuur in  PDF
Offerteformulier in Excel</t>
  </si>
  <si>
    <t>Overige criteria</t>
  </si>
  <si>
    <t>Criteria 5</t>
  </si>
  <si>
    <t>Criteria 6</t>
  </si>
  <si>
    <t>Criteria 7</t>
  </si>
  <si>
    <t>Criteria 8</t>
  </si>
  <si>
    <t>Criteria 9</t>
  </si>
  <si>
    <t>Zo volledig mogelijk invullen en opsturen naar:</t>
  </si>
  <si>
    <t>ZZP'er*</t>
  </si>
  <si>
    <t>Scores gunningscriteria 
bij deze aanvraag</t>
  </si>
  <si>
    <t>VOG conform ROK</t>
  </si>
  <si>
    <t>11, 12. 21</t>
  </si>
  <si>
    <t xml:space="preserve">Referentienummer IUC </t>
  </si>
  <si>
    <t>ALS(C19="";"";VERT.ZOEKEN(C19;Brongegevens!AD3:AE12;2;ONWAAR))</t>
  </si>
  <si>
    <t>Datum offerte aanvraag</t>
  </si>
  <si>
    <t>1. Sleutel (BCD)</t>
  </si>
  <si>
    <t>ON_Audit</t>
  </si>
  <si>
    <t>Leveranciersnaam</t>
  </si>
  <si>
    <t>samenvoeging mailadres</t>
  </si>
  <si>
    <t>E-mailadres 1</t>
  </si>
  <si>
    <t>E-mailadres 2</t>
  </si>
  <si>
    <t>E-mailadres 3</t>
  </si>
  <si>
    <t>E-mailadres 4</t>
  </si>
  <si>
    <t>Baker Tilly Berk N.V. (perc. 1)</t>
  </si>
  <si>
    <t>Baker Tilly Berk N.V.</t>
  </si>
  <si>
    <t>auditmantelim@bakertillyberk.nl;</t>
  </si>
  <si>
    <t>aanvraagrd@bdo.nl;</t>
  </si>
  <si>
    <t>Deloitte Accountants B.V. (perc. 1)</t>
  </si>
  <si>
    <t>Deloitte Accountants B.V.</t>
  </si>
  <si>
    <t>NLauditRijksoverheid@deloitte.nl;</t>
  </si>
  <si>
    <t>Raamovereenkomsten.ps@nl.ey.com;</t>
  </si>
  <si>
    <t>KPMG Accountants N.V. (perc. 1)</t>
  </si>
  <si>
    <t>KPMG Accountants N.V.</t>
  </si>
  <si>
    <t>adr@usgfinance.nl;</t>
  </si>
  <si>
    <t>Vanberkel Professionals Holding B.V. (perc. 1)</t>
  </si>
  <si>
    <t>Vanberkel Professionals Holding B.V.</t>
  </si>
  <si>
    <t>vragen@vbprofs.nl;</t>
  </si>
  <si>
    <t>ON_Data_Analist</t>
  </si>
  <si>
    <t>Capgemini B.V.</t>
  </si>
  <si>
    <t>Improven B.V.</t>
  </si>
  <si>
    <t xml:space="preserve">astrid.van.noortwijk@improven.nl; </t>
  </si>
  <si>
    <t>EOM Data Solutions B.V.</t>
  </si>
  <si>
    <t>allocatiedesk@eom.nl;</t>
  </si>
  <si>
    <t>PW Consulting B.V.</t>
  </si>
  <si>
    <t>aanvraag@pwconsulting.nl;</t>
  </si>
  <si>
    <t>ON_Boorspecialisten</t>
  </si>
  <si>
    <t>WTS Energy</t>
  </si>
  <si>
    <t>alex.beij@wtsenergy.com;</t>
  </si>
  <si>
    <t>Totality Recruiting Services B.V.</t>
  </si>
  <si>
    <t>Yacht B.V. (perc. 1)</t>
  </si>
  <si>
    <t>Yacht B.V.</t>
  </si>
  <si>
    <t>Yacht B.V. (perc. 2)</t>
  </si>
  <si>
    <t>OrangeX B.V.</t>
  </si>
  <si>
    <t>Welten Detachering B.V.</t>
  </si>
  <si>
    <t>ON_Facilitair</t>
  </si>
  <si>
    <t>Hospitality Interim B.V.</t>
  </si>
  <si>
    <t>ON_Financieel</t>
  </si>
  <si>
    <t>Eiffel B.V.</t>
  </si>
  <si>
    <t>Profource B.V.</t>
  </si>
  <si>
    <t>allocaties@profource.com;</t>
  </si>
  <si>
    <t>financieeladvies@nl.ey.com;</t>
  </si>
  <si>
    <t>KPMG Advisory N.V. (perc. 1)</t>
  </si>
  <si>
    <t>KPMG Advisory N.V.</t>
  </si>
  <si>
    <t>BMC Implementatie B.V.</t>
  </si>
  <si>
    <t>ON_Inkoop</t>
  </si>
  <si>
    <t>Aeves B.V. (perc. 1)</t>
  </si>
  <si>
    <t>Aeves B.V.</t>
  </si>
  <si>
    <t>resource@aevesbenefit.com;</t>
  </si>
  <si>
    <t>office@supplyvalue.nl;</t>
  </si>
  <si>
    <t>ON_IMOA</t>
  </si>
  <si>
    <t>Deloitte Consulting B.V. (perc. 1)</t>
  </si>
  <si>
    <t>Deloitte Consulting B.V.</t>
  </si>
  <si>
    <t>NLPublicSectorIMOA@deloitte.nl;</t>
  </si>
  <si>
    <t>Berenschot Groep B.V.</t>
  </si>
  <si>
    <t>ItaQ B.V. (perc. 2)</t>
  </si>
  <si>
    <t>ItaQ B.V.</t>
  </si>
  <si>
    <t>aanvragen@itaq.nl;</t>
  </si>
  <si>
    <t>Aeves B.V. (perc. 3)</t>
  </si>
  <si>
    <t>Conclusion B.V.</t>
  </si>
  <si>
    <t>Brunel Nederland B.V. (perc. 1)</t>
  </si>
  <si>
    <t>Brunel Nederland B.V.</t>
  </si>
  <si>
    <t>Brunel Nederland B.V. (perc. 2)</t>
  </si>
  <si>
    <t>ON_energie_duurzaamheid_en_innovatie</t>
  </si>
  <si>
    <t>overheidengineering@brunel.net;</t>
  </si>
  <si>
    <t>OnlyHuman</t>
  </si>
  <si>
    <t>ON_Communicatie</t>
  </si>
  <si>
    <t>Babbage</t>
  </si>
  <si>
    <t>ON_Arbeidsparticipatie</t>
  </si>
  <si>
    <t>Alescon</t>
  </si>
  <si>
    <t>Autitalent</t>
  </si>
  <si>
    <t>Haeghe</t>
  </si>
  <si>
    <t>IBN</t>
  </si>
  <si>
    <t>Pernu</t>
  </si>
  <si>
    <t>Promen</t>
  </si>
  <si>
    <t>WSD</t>
  </si>
  <si>
    <t>WSP</t>
  </si>
  <si>
    <t>ON_Communicatiepool</t>
  </si>
  <si>
    <t>DPA</t>
  </si>
  <si>
    <t>Verwijzing</t>
  </si>
  <si>
    <t>E-mailgegevens afwijsreden</t>
  </si>
  <si>
    <t>E-mailgegevens gunning</t>
  </si>
  <si>
    <t>Van</t>
  </si>
  <si>
    <t>CC</t>
  </si>
  <si>
    <t>Onderwerp</t>
  </si>
  <si>
    <t>Aanhef</t>
  </si>
  <si>
    <t>Inleiding</t>
  </si>
  <si>
    <t xml:space="preserve">Kandidaatnaam:      </t>
  </si>
  <si>
    <t xml:space="preserve">Kandidaatnaam     :  </t>
  </si>
  <si>
    <t xml:space="preserve">Rang:                     </t>
  </si>
  <si>
    <t>Startdatum</t>
  </si>
  <si>
    <t>Reden</t>
  </si>
  <si>
    <t xml:space="preserve">Afwijsreden:           </t>
  </si>
  <si>
    <t>Reden :</t>
  </si>
  <si>
    <t>Afsluiting</t>
  </si>
  <si>
    <t>opdrachtenemer</t>
  </si>
  <si>
    <t>Dienstverlening van BoorspecialistenN.v.t. bij dienstverlening van boorspecialistenWTS Energy</t>
  </si>
  <si>
    <t>P1 Strategisch interim management 1</t>
  </si>
  <si>
    <t>P2 Strategisch interim management 2</t>
  </si>
  <si>
    <t>P3 Tactisch interim management</t>
  </si>
  <si>
    <t>P1 Programma en opdrachten</t>
  </si>
  <si>
    <t>P2 Regelingen</t>
  </si>
  <si>
    <t>CONTROLE</t>
  </si>
  <si>
    <t xml:space="preserve">Stamlocatie </t>
  </si>
  <si>
    <t>Locatie</t>
  </si>
  <si>
    <t>Naam AV-document</t>
  </si>
  <si>
    <t>Naam OF-document</t>
  </si>
  <si>
    <t>Naam BO-document</t>
  </si>
  <si>
    <t>MANTELLIJST</t>
  </si>
  <si>
    <t xml:space="preserve">Geachte </t>
  </si>
  <si>
    <t>Standplaats</t>
  </si>
  <si>
    <t xml:space="preserve">Gunning kandidaat </t>
  </si>
  <si>
    <t xml:space="preserve">De beoordeling van de ontvangen offertes heeft ertoe geleid dat uw offerte op de in het onderwerp genoemde aanvraag is aangemerkt als de offerte met de ‘economisch meest voordelige inschrijving’.
Gefeliciteerd, uw aangeboden kandidaat </t>
  </si>
  <si>
    <t xml:space="preserve">Motivatie voor gunning  is: </t>
  </si>
  <si>
    <t xml:space="preserve">Afwijzing kandidaat </t>
  </si>
  <si>
    <t>Ongewijzigde herhalingsaanvraag</t>
  </si>
  <si>
    <t>naam NOA-pdf</t>
  </si>
  <si>
    <t>ACC-11</t>
  </si>
  <si>
    <t>Wensen invullen is verplicht</t>
  </si>
  <si>
    <t>Beoordelingswijze kwaliteit</t>
  </si>
  <si>
    <t>Cijfer</t>
  </si>
  <si>
    <t>Omschrijving</t>
  </si>
  <si>
    <t>Voldoet aan geen enkele gestelde wens</t>
  </si>
  <si>
    <t>Voldoet slecht aan de gestelde wensen</t>
  </si>
  <si>
    <t>Voldoet matig aan de gestelde wensen</t>
  </si>
  <si>
    <t>Voldoet voldoende aan de gestelde wensen</t>
  </si>
  <si>
    <t>Voldoet goed aan de gestelde wensen</t>
  </si>
  <si>
    <t>Voldoet uitstekend aan de gestelde wensen, met toegevoegde waarde</t>
  </si>
  <si>
    <t>Percentage maximaal te behalen punten voor kwaliteit</t>
  </si>
  <si>
    <r>
      <t>Max. aantal uren per week (per medewerker)</t>
    </r>
    <r>
      <rPr>
        <b/>
        <sz val="9"/>
        <rFont val="Verdana"/>
        <family val="2"/>
      </rPr>
      <t>*</t>
    </r>
  </si>
  <si>
    <t>(NETTO.WERKDAGEN($C$92;$C$93;Brongegevens!I3:Q26)*('Aanvraag inhuur'!$C$104/5))</t>
  </si>
  <si>
    <t>0. Zeer slecht</t>
  </si>
  <si>
    <t>2. Slecht</t>
  </si>
  <si>
    <t>4. Matig</t>
  </si>
  <si>
    <t>6. Voldoende</t>
  </si>
  <si>
    <t>8. Goed</t>
  </si>
  <si>
    <t>10. Uitstekend</t>
  </si>
  <si>
    <t>berekening</t>
  </si>
  <si>
    <t>Punten tarief</t>
  </si>
  <si>
    <t>% tarief</t>
  </si>
  <si>
    <t>laagste prijs</t>
  </si>
  <si>
    <t>Contact:</t>
  </si>
  <si>
    <r>
      <t xml:space="preserve">U geeft als </t>
    </r>
    <r>
      <rPr>
        <u/>
        <sz val="10"/>
        <color theme="1"/>
        <rFont val="Verdana"/>
        <family val="2"/>
      </rPr>
      <t>cijfer een 6</t>
    </r>
    <r>
      <rPr>
        <sz val="10"/>
        <color theme="1"/>
        <rFont val="Verdana"/>
        <family val="2"/>
      </rPr>
      <t xml:space="preserve"> bij kandidaat B.  (60% van maximaal 70 punten = 42 punten)</t>
    </r>
  </si>
  <si>
    <r>
      <t xml:space="preserve">U geeft als </t>
    </r>
    <r>
      <rPr>
        <u/>
        <sz val="10"/>
        <color theme="1"/>
        <rFont val="Verdana"/>
        <family val="2"/>
      </rPr>
      <t>cijfer een 8</t>
    </r>
    <r>
      <rPr>
        <sz val="10"/>
        <color theme="1"/>
        <rFont val="Verdana"/>
        <family val="2"/>
      </rPr>
      <t xml:space="preserve"> bij kandidaat A.  (80% van maximaal 70 punten = 56 punten)</t>
    </r>
  </si>
  <si>
    <t xml:space="preserve">Dit betekent maximaal 70 punten voor prijs en maximaal 30 punten voor prijs. </t>
  </si>
  <si>
    <t>70% Kwaliteit – 30% Prijs (maximaal 100 punten)</t>
  </si>
  <si>
    <r>
      <t xml:space="preserve">Bij de </t>
    </r>
    <r>
      <rPr>
        <b/>
        <sz val="10"/>
        <color theme="1"/>
        <rFont val="Verdana"/>
        <family val="2"/>
      </rPr>
      <t>wegingsfactor op het aanvraagformulier</t>
    </r>
    <r>
      <rPr>
        <sz val="10"/>
        <color theme="1"/>
        <rFont val="Verdana"/>
        <family val="2"/>
      </rPr>
      <t xml:space="preserve"> heeft u de volgende verhouding aangegeven:</t>
    </r>
  </si>
  <si>
    <t>Rekenvoorbeeld:</t>
  </si>
  <si>
    <t>Op basis van het cijfer dat u geeft en de wegingsfactor die u heeft ingevuld bij het aanvraagformulier, wordt automatisch het aantal punten voor kwaliteit berekend.</t>
  </si>
  <si>
    <t>U geeft elke aangeboden kandidaat een cijfer voor de kwaliteit. U kunt een cijfer kiezen door op het vakje ‘’cijfer’’ te klikken.</t>
  </si>
  <si>
    <t>U doet dit uitsluitend op basis van de gestelde wensen die u op het aanvraagformulier heeft genoteerd.</t>
  </si>
  <si>
    <t xml:space="preserve">In het beoordelingsformulier geeft u de kwaliteit van de aangeboden kandidaat aan. </t>
  </si>
  <si>
    <t>Invulhulp beoordeling</t>
  </si>
  <si>
    <t>Beoordelingsformulier en invulhulp beoordelingsformulier in Excel</t>
  </si>
  <si>
    <t>Aantal medewerkers gunnen</t>
  </si>
  <si>
    <t>Emailgegegevens geen gunning</t>
  </si>
  <si>
    <t xml:space="preserve">Ik deel u hierbij mede dat uw bedrijf niet voor gunning in aanmerking komt.
Hieronder vindt u de naam van de afgewezen kandidaat en de motivatie voor de afwijzing.
</t>
  </si>
  <si>
    <t xml:space="preserve">Punten:                  </t>
  </si>
  <si>
    <t xml:space="preserve">Ik deel u hierbij mee dat uw bedrijf niet voor gunning in aanmerking komt.
Hieronder vindt u de naam van de afgewezen kandidaat, de rang, en de motivatie voor de afwijzing.
</t>
  </si>
  <si>
    <t>T:\rvo\IUC\13 Inhuur derden\01. Mini-comp\01. In behandeling\</t>
  </si>
  <si>
    <t>Rang incl. exit</t>
  </si>
  <si>
    <t>0,00</t>
  </si>
  <si>
    <t>IMG</t>
  </si>
  <si>
    <t xml:space="preserve">Startdatum </t>
  </si>
  <si>
    <t>Score Beoorde-laar</t>
  </si>
  <si>
    <t>Maxima-le score</t>
  </si>
  <si>
    <r>
      <rPr>
        <sz val="9"/>
        <rFont val="Wingdings"/>
        <charset val="2"/>
      </rPr>
      <t>è</t>
    </r>
    <r>
      <rPr>
        <sz val="9"/>
        <rFont val="Verdana"/>
        <family val="2"/>
      </rPr>
      <t xml:space="preserve"> voorkeur aantal uren</t>
    </r>
  </si>
  <si>
    <t>P1 Administratie en processen</t>
  </si>
  <si>
    <t>P3 Subsidieondersteuning</t>
  </si>
  <si>
    <t>Perceel 4 Financiële adviesdiensten fiscaal</t>
  </si>
  <si>
    <t>P4 Financiële adviesdiensten fiscaal</t>
  </si>
  <si>
    <t>P2 Beheer beleid planning en control</t>
  </si>
  <si>
    <t>JS Consultancy detachering B.V.</t>
  </si>
  <si>
    <t>Vanberkel Professionals B.V.</t>
  </si>
  <si>
    <t>Pricewaterhousecoopers Belastingsadviseurs N.V.</t>
  </si>
  <si>
    <t>Deloitte Consulting B.V. (P1)</t>
  </si>
  <si>
    <t>Profource B.V. (P1)</t>
  </si>
  <si>
    <t>Yacht B.V. (P1)</t>
  </si>
  <si>
    <t>Deloitte Consulting B.V. (P2)</t>
  </si>
  <si>
    <t>Profource B.V. (P2)</t>
  </si>
  <si>
    <t>JS Consultancy detachering B.V. (P2)</t>
  </si>
  <si>
    <t>Yacht B.V. (P2)</t>
  </si>
  <si>
    <t>Improven B.V. (P3)</t>
  </si>
  <si>
    <t>Profource B.V. (P3)</t>
  </si>
  <si>
    <t>Vanberkel Professionals B.V. (P3)</t>
  </si>
  <si>
    <t>Pricewaterhousecoopers Belastingsadviseurs N.V. (P4)</t>
  </si>
  <si>
    <t>fad@usgfinance.nl;</t>
  </si>
  <si>
    <t>financerijksoverheid@yacht.nl;</t>
  </si>
  <si>
    <t>Info@improven.nl;</t>
  </si>
  <si>
    <t>Vergunningverleners</t>
  </si>
  <si>
    <t>P1 Technische Vergunningverleners Mijnbouw voor Kernministerie EZK</t>
  </si>
  <si>
    <t>P2 Technische Vergunningverleners Mijnbouw voor SodM</t>
  </si>
  <si>
    <t>Medior (BBRA Schaal 11)</t>
  </si>
  <si>
    <t xml:space="preserve">Senior (BBRA Schaal 12) </t>
  </si>
  <si>
    <t>Functieprofielen p2</t>
  </si>
  <si>
    <t>Functieprofielen p1</t>
  </si>
  <si>
    <t>Technisch vergunningverlener Mijnbouw (BBRA schaal 11 -12)</t>
  </si>
  <si>
    <t>Technisch vergunningverlener Mijnbouw met projectmanagement ervaring (BBRA schaal 12 -13)</t>
  </si>
  <si>
    <t>ON_Vergunningverleners</t>
  </si>
  <si>
    <t>Antea</t>
  </si>
  <si>
    <t>YER</t>
  </si>
  <si>
    <t>Antea (perc. 1)</t>
  </si>
  <si>
    <t>YER (perc. 1)</t>
  </si>
  <si>
    <t>Antea (perc. 2)</t>
  </si>
  <si>
    <t>YER (perc. 2)</t>
  </si>
  <si>
    <t>P1 Communicatieprofessionals</t>
  </si>
  <si>
    <t>AZinhuur@onlyhuman.nl;</t>
  </si>
  <si>
    <t xml:space="preserve">AZinhuur@onlyhuman.nl; </t>
  </si>
  <si>
    <t>DPC@babbage.nl;</t>
  </si>
  <si>
    <t>aanvraag@usgmarcom.nl;</t>
  </si>
  <si>
    <t>Inkoper</t>
  </si>
  <si>
    <t>Eddy Dekkinga</t>
  </si>
  <si>
    <t>Christa Duinkerken</t>
  </si>
  <si>
    <t>Roy Holtrop</t>
  </si>
  <si>
    <t>Rachelle Hattu</t>
  </si>
  <si>
    <t>Daniel Wielaert</t>
  </si>
  <si>
    <t>ezk@yer.nl;</t>
  </si>
  <si>
    <t>EY Advisory Netherlands LLP</t>
  </si>
  <si>
    <t>EY Advisory Netherlands LLP (P1)</t>
  </si>
  <si>
    <t>EY Advisory Netherlands LLP (P2)</t>
  </si>
  <si>
    <t>EY Advisory Netherlands LLP (P3)</t>
  </si>
  <si>
    <t>Steward (Junior)</t>
  </si>
  <si>
    <t>Steward (Medior)</t>
  </si>
  <si>
    <t>Steward (Senior)</t>
  </si>
  <si>
    <t>Modelleur (Junior)</t>
  </si>
  <si>
    <t>Modelleur (Medior)</t>
  </si>
  <si>
    <t>Modelleur (Senior)</t>
  </si>
  <si>
    <t>Sogeti Nederland B.V.</t>
  </si>
  <si>
    <t>Talent&amp;Pro Nederland B.V.</t>
  </si>
  <si>
    <t>ORTEC B.V.</t>
  </si>
  <si>
    <t>minezk.nl@sogeti.com;</t>
  </si>
  <si>
    <t>Demandsupport.bnl@capgemini.com;</t>
  </si>
  <si>
    <t>matching@redmore.eu;</t>
  </si>
  <si>
    <t>SAS Institute B.V.</t>
  </si>
  <si>
    <t>nlconsultingfadrijksoverheid@deloitte.nl;</t>
  </si>
  <si>
    <t>detacheringsdesk@ortec.com;</t>
  </si>
  <si>
    <t>Juliët Vrieling</t>
  </si>
  <si>
    <t>Marc Uitham</t>
  </si>
  <si>
    <t>N.v.t. bij Juridische Capaciteit</t>
  </si>
  <si>
    <t>Juridische Capaciteit Bestuursrecht</t>
  </si>
  <si>
    <t xml:space="preserve">DPA Overheid B.V. </t>
  </si>
  <si>
    <t>Residentieprofs B.V.</t>
  </si>
  <si>
    <t>USG Professionals B.V.</t>
  </si>
  <si>
    <t>rijksoverheid@brunel.net</t>
  </si>
  <si>
    <t>overheid@eiffel.nl</t>
  </si>
  <si>
    <t>aanvragen@residentieprofs.nl</t>
  </si>
  <si>
    <t>team-overheid@usglegal.nl</t>
  </si>
  <si>
    <t>juridisch@vbprofs.nl</t>
  </si>
  <si>
    <t xml:space="preserve">legalrijksoverheid@yacht.nl </t>
  </si>
  <si>
    <t>ezk.resourcing@sas.com;</t>
  </si>
  <si>
    <t>nl.samenwerkingEZK@colliers.com</t>
  </si>
  <si>
    <t xml:space="preserve">eric.dewit@heydayfm.nl </t>
  </si>
  <si>
    <t>backofficeIR@hospitality-group.nl</t>
  </si>
  <si>
    <t>Colliers International Occupier Services B.V. </t>
  </si>
  <si>
    <t>HEYDAY Consultancy &amp; Detachering B.V.</t>
  </si>
  <si>
    <t>nl.samenwerkingEZK@colliers.com;</t>
  </si>
  <si>
    <t>eric.dewit@heydayfm.nl;</t>
  </si>
  <si>
    <t>backofficeIR@hospitality-group.nl;</t>
  </si>
  <si>
    <t>Adviseur bedrijfsvoering facilitair junior</t>
  </si>
  <si>
    <t>Adviseur bedrijfsvoering facilitair medior</t>
  </si>
  <si>
    <t>Senior adviseur bedrijfsvoering facilitair senior</t>
  </si>
  <si>
    <t>Senior adviseur bedrijfsvoering facilitair senior+</t>
  </si>
  <si>
    <t>Facilitair adviseurs</t>
  </si>
  <si>
    <t>N.v.t. bij facilitair adviseurs</t>
  </si>
  <si>
    <t>USG Professionals(P1)</t>
  </si>
  <si>
    <t>USG Professionals (perc. 1)</t>
  </si>
  <si>
    <t>USG Professionals</t>
  </si>
  <si>
    <t>rijksoverheid@brunel.net;</t>
  </si>
  <si>
    <t>overheid@eiffel.nl;</t>
  </si>
  <si>
    <t>aanvragen@residentieprofs.nl;</t>
  </si>
  <si>
    <t>team-overheid@usglegal.nl;</t>
  </si>
  <si>
    <t>juridisch@vbprofs.nl;</t>
  </si>
  <si>
    <t>legalrijksoverheid@yacht.nl;</t>
  </si>
  <si>
    <t>Communicatiecapaciteit</t>
  </si>
  <si>
    <t>OnlyHuman (perc. 1)</t>
  </si>
  <si>
    <t>Babbage (perc. 1)</t>
  </si>
  <si>
    <t>OnlyHuman (perc. 2)</t>
  </si>
  <si>
    <t>publiek.communicatie@yacht.nl;</t>
  </si>
  <si>
    <t>Strategisch</t>
  </si>
  <si>
    <t>aanvragen@deredactie.nl;</t>
  </si>
  <si>
    <t>overheidsjuristen@dpa.nl</t>
  </si>
  <si>
    <t>overheidsjuristen@dpa.nl;</t>
  </si>
  <si>
    <t>Babbage/De Redactie</t>
  </si>
  <si>
    <t>Babbage/De Redactie (perc. 2)</t>
  </si>
  <si>
    <t>Min. aantal uren per week (per medewerker)*</t>
  </si>
  <si>
    <t>Screeningsitems (VOG)*</t>
  </si>
  <si>
    <t>Is er sprake van leiding en toezicht door Opdrachtgever?*</t>
  </si>
  <si>
    <t>Heeft Opdrachtgever werknemers met soortgelijke kennis en expertise in dienst die deels soortgelijke werkzaamheden verrichten.*</t>
  </si>
  <si>
    <t>P2 Webredactieprofessionals</t>
  </si>
  <si>
    <t>Financieringsexperts</t>
  </si>
  <si>
    <t>N.v.t. bij Financieringsexperts</t>
  </si>
  <si>
    <t>Bancair Adviseur 1</t>
  </si>
  <si>
    <t>Bancair Adviseur 2</t>
  </si>
  <si>
    <t>Bancair Adviseur 3</t>
  </si>
  <si>
    <t>Risicokapitaal 1</t>
  </si>
  <si>
    <t>Risicokapitaal 2</t>
  </si>
  <si>
    <t>ON_Financieringsexperts</t>
  </si>
  <si>
    <t>Brunel Nederland</t>
  </si>
  <si>
    <t>DPA Overheid</t>
  </si>
  <si>
    <t>DPA Overheid B.V.</t>
  </si>
  <si>
    <t>OrangeX</t>
  </si>
  <si>
    <t>Totality Recruiting Services</t>
  </si>
  <si>
    <t>Welten Detachering</t>
  </si>
  <si>
    <t>P3 Onderwijskundige diensten</t>
  </si>
  <si>
    <t xml:space="preserve">P4 Didactische trainingsdiensten </t>
  </si>
  <si>
    <t>ON_Onderwijskundigen</t>
  </si>
  <si>
    <t>overheidfinancieel@brunel.net;</t>
  </si>
  <si>
    <t>alwin.schiphorst@orangex.nl; info@orangex.nl;</t>
  </si>
  <si>
    <t>rvo@totality.nl;</t>
  </si>
  <si>
    <t>matching@welten.eu; s.pickhard@welten.eu;</t>
  </si>
  <si>
    <t>Onderwijskunde en Digitale Leermiddelen</t>
  </si>
  <si>
    <t>EMC Advies B.V.</t>
  </si>
  <si>
    <t xml:space="preserve">CINOP B.V. </t>
  </si>
  <si>
    <t>Tele’Train Education II B.V.</t>
  </si>
  <si>
    <t>Triamfloat B.V.</t>
  </si>
  <si>
    <t>Bright Alley</t>
  </si>
  <si>
    <t>Inbrain B.V.</t>
  </si>
  <si>
    <t>Uplearning B.V.</t>
  </si>
  <si>
    <t>Marc.van.kooten@triamfloat.nl;office@triamfloat.nl;</t>
  </si>
  <si>
    <t>overheid@emcperformance.nl;</t>
  </si>
  <si>
    <t>info@savant.nu;</t>
  </si>
  <si>
    <t>Tenderdesk@cinop.nl;</t>
  </si>
  <si>
    <t>info@brightalley.nl;</t>
  </si>
  <si>
    <t>info@inbrain.nl;</t>
  </si>
  <si>
    <t>offerte@teletrain.nl;</t>
  </si>
  <si>
    <t>Tele’Train Education II B.V.(perc. 3)</t>
  </si>
  <si>
    <t>Triamfloat B.V.(perc. 3)</t>
  </si>
  <si>
    <t>EMC Advies B.V.(perc. 4)</t>
  </si>
  <si>
    <t>CINOP B.V.(perc. 4)</t>
  </si>
  <si>
    <t>Bright Alley(perc. 5)</t>
  </si>
  <si>
    <t>Inbrain B.V.(perc. 5)</t>
  </si>
  <si>
    <t>Tele’Train Education II B.V.(perc. 5)</t>
  </si>
  <si>
    <t>Uplearning B.V.(perc. 5)</t>
  </si>
  <si>
    <t>sales@uplearning.nl;</t>
  </si>
  <si>
    <t>A Medior</t>
  </si>
  <si>
    <t>A Senior</t>
  </si>
  <si>
    <t>B Junior</t>
  </si>
  <si>
    <t>B Medior</t>
  </si>
  <si>
    <t>B Senior</t>
  </si>
  <si>
    <t xml:space="preserve">C. Senior ontwikkelaar / consultant </t>
  </si>
  <si>
    <t xml:space="preserve">D. Medior Ontwikkelaar / vormgever </t>
  </si>
  <si>
    <t xml:space="preserve">E. Programmeur / functioneel beheerder </t>
  </si>
  <si>
    <t>F. Servicedeskmedewerker t.b.v. digitale leermiddelen</t>
  </si>
  <si>
    <r>
      <t>Aantal in te huren medewerkers</t>
    </r>
    <r>
      <rPr>
        <b/>
        <sz val="9"/>
        <rFont val="Verdana"/>
        <family val="2"/>
      </rPr>
      <t>*</t>
    </r>
  </si>
  <si>
    <t>Max aantal kandidaten op gesprek</t>
  </si>
  <si>
    <t>P5 Maatwerk digitale leeractiviteiten</t>
  </si>
  <si>
    <t>Group Moovs B.V./Savant Learning Partners B.V.(perc. 4)</t>
  </si>
  <si>
    <t>Group Moovs B.V./Savant Learning Partners B.V.(perc. 5)</t>
  </si>
  <si>
    <t>Group Moovs B.V./Savant Learning Partners B.V.</t>
  </si>
  <si>
    <t>Dossier nummer</t>
  </si>
  <si>
    <t>Mantel</t>
  </si>
  <si>
    <t>Dienst</t>
  </si>
  <si>
    <t>Ministerie</t>
  </si>
  <si>
    <t>Minister of Staatsecretaris</t>
  </si>
  <si>
    <t>Order nummer</t>
  </si>
  <si>
    <t>Aanvraag datum</t>
  </si>
  <si>
    <t>Offerte datum</t>
  </si>
  <si>
    <t>Achternaam</t>
  </si>
  <si>
    <t>Voor-letters</t>
  </si>
  <si>
    <t>Tussen voegsel</t>
  </si>
  <si>
    <t>ZZP</t>
  </si>
  <si>
    <t>Adres</t>
  </si>
  <si>
    <t>Functie</t>
  </si>
  <si>
    <t>Aanvrager</t>
  </si>
  <si>
    <t>Budgethouder</t>
  </si>
  <si>
    <t>Functie budgethouder</t>
  </si>
  <si>
    <t>Afdeling budgethouder</t>
  </si>
  <si>
    <t>Initiële startdatum</t>
  </si>
  <si>
    <t>Initiële  einddatum</t>
  </si>
  <si>
    <t>Periode in maanden</t>
  </si>
  <si>
    <t>Optie op verlengen</t>
  </si>
  <si>
    <t>Aantal maal verlenging</t>
  </si>
  <si>
    <t>Maanden per verlenging</t>
  </si>
  <si>
    <t>Aantal uren p/wk</t>
  </si>
  <si>
    <t>Uurtarief ex. BTW</t>
  </si>
  <si>
    <t>NOK of
Verlenging</t>
  </si>
  <si>
    <t>Naam behandelaar
account team 11</t>
  </si>
  <si>
    <t>departement NOKgenerator</t>
  </si>
  <si>
    <t>deelnemende dienst Nokgenerator</t>
  </si>
  <si>
    <t>Dictu</t>
  </si>
  <si>
    <t>KD</t>
  </si>
  <si>
    <t>LNV</t>
  </si>
  <si>
    <t>NCG</t>
  </si>
  <si>
    <t>RVO-NIA</t>
  </si>
  <si>
    <t>RVO-PIANOo</t>
  </si>
  <si>
    <t>RVO-IMG</t>
  </si>
  <si>
    <t>Ministerie van Landbouw, Natuur en Voedselkwaliteit</t>
  </si>
  <si>
    <t>Minister of Staatssecretaris</t>
  </si>
  <si>
    <t>Minister van Economische Zaken en Klimaat</t>
  </si>
  <si>
    <t>Staatssecretaris Mijnbouw</t>
  </si>
  <si>
    <t>Minister van Economische Zaken en Klimaat/Minister voor Klimaat en Energie/Staatssecretaris Mijnbouw</t>
  </si>
  <si>
    <t>Minister van Landbouw, Natuur en Voedselkwaliteit/Minister voor Natuur en Stikstof</t>
  </si>
  <si>
    <t>Minister van Landbouw, Natuur en Voedselkwaliteit</t>
  </si>
  <si>
    <t>Raamovereenkomsten Nokgenerator</t>
  </si>
  <si>
    <t>Arbeidsparticipatie</t>
  </si>
  <si>
    <t>1-3 Offertes</t>
  </si>
  <si>
    <t>Boorspecialisten</t>
  </si>
  <si>
    <t>Communicatiepool</t>
  </si>
  <si>
    <t>Data_Analist</t>
  </si>
  <si>
    <t>Energie_Duurzaamheid_en_Innovatie</t>
  </si>
  <si>
    <t>Facilitair</t>
  </si>
  <si>
    <t>Financieel</t>
  </si>
  <si>
    <t>IMOA</t>
  </si>
  <si>
    <t>Ingenieursdiensten</t>
  </si>
  <si>
    <t>Juridisch_bestuursrecht</t>
  </si>
  <si>
    <t>Onderwijskunde_en_Digitale_Leermiddelen</t>
  </si>
  <si>
    <t>Projectmanagement_ondersteuning</t>
  </si>
  <si>
    <t>Technische_Vergunningverleners_Mijnbouw</t>
  </si>
  <si>
    <t>raamovereenkomst</t>
  </si>
  <si>
    <t>perceel inhuurformulier</t>
  </si>
  <si>
    <t>Perceel nokgenerator</t>
  </si>
  <si>
    <t>1: Strategisch Interim Management</t>
  </si>
  <si>
    <t>2: Strategisch Interim Management</t>
  </si>
  <si>
    <t>3: Tactisch Interim Management</t>
  </si>
  <si>
    <t>Communicatieprofessionals (perceel 1)</t>
  </si>
  <si>
    <t>(web) redactieprofessionals (perceel 2)</t>
  </si>
  <si>
    <t>Data-Analist</t>
  </si>
  <si>
    <t>1: Administratie en processen</t>
  </si>
  <si>
    <t>2: Beheer, beleid, planning en control</t>
  </si>
  <si>
    <t>3: Subsidieondersteuning</t>
  </si>
  <si>
    <t>4: Financiële adviesdiensten fiscaal</t>
  </si>
  <si>
    <t>N.v.t. bij Facilitair adviseurs</t>
  </si>
  <si>
    <t>1. Programma’s en opdrachten</t>
  </si>
  <si>
    <t>2. Regelingen</t>
  </si>
  <si>
    <t>1: Boorspecialisten</t>
  </si>
  <si>
    <t>1. Vergunningverleners EZK</t>
  </si>
  <si>
    <t>2. Vergunningverleners SodM</t>
  </si>
  <si>
    <t>P5 Maatwerk digitale leeractiviteiten.</t>
  </si>
  <si>
    <t>naam inhuurkandidaat, op overzicht inhuurdesk</t>
  </si>
  <si>
    <t>Naam leverancier</t>
  </si>
  <si>
    <t>Leveranciersnaam NOKgenerator</t>
  </si>
  <si>
    <t>Deloitte(P1)</t>
  </si>
  <si>
    <t>KPMG(P1)</t>
  </si>
  <si>
    <t>JSConsultancy(P2)</t>
  </si>
  <si>
    <t>EY(P1)</t>
  </si>
  <si>
    <t>Profource(P1)</t>
  </si>
  <si>
    <t>USG(P1)</t>
  </si>
  <si>
    <t>Yacht(P1)</t>
  </si>
  <si>
    <t>Deloitte(P2)</t>
  </si>
  <si>
    <t>EY(P2)</t>
  </si>
  <si>
    <t>Profource(P2)</t>
  </si>
  <si>
    <t>Yacht(P2)</t>
  </si>
  <si>
    <t>Fagro(P3)</t>
  </si>
  <si>
    <t>EY(P3)</t>
  </si>
  <si>
    <t>Improven(P3)</t>
  </si>
  <si>
    <t>Profource(P3)</t>
  </si>
  <si>
    <t>VanBerkel(P3)</t>
  </si>
  <si>
    <t>BDO(P4)</t>
  </si>
  <si>
    <t>Deloitte(P4)</t>
  </si>
  <si>
    <t>EY(P4)</t>
  </si>
  <si>
    <t>PWC(P4)</t>
  </si>
  <si>
    <t>Baker Tilly(P1)</t>
  </si>
  <si>
    <t>VanBerkel(P1)</t>
  </si>
  <si>
    <t>Capgemini</t>
  </si>
  <si>
    <t>EOM</t>
  </si>
  <si>
    <t>Improven</t>
  </si>
  <si>
    <t>SAS</t>
  </si>
  <si>
    <t>Sogeti</t>
  </si>
  <si>
    <t>Talent&amp;Pro</t>
  </si>
  <si>
    <t>Ortec</t>
  </si>
  <si>
    <t>PW Consulting</t>
  </si>
  <si>
    <t>Colliers</t>
  </si>
  <si>
    <t>Heyday</t>
  </si>
  <si>
    <t>Hospitality</t>
  </si>
  <si>
    <t>Antea(P1)</t>
  </si>
  <si>
    <t>Yer(P1)</t>
  </si>
  <si>
    <t>Antea(P2)</t>
  </si>
  <si>
    <t>Yer(P2)</t>
  </si>
  <si>
    <t>OnlyHuman(P1)</t>
  </si>
  <si>
    <t>Babbage(P1)</t>
  </si>
  <si>
    <t>OnlyHuman(P2)</t>
  </si>
  <si>
    <t>Babbage/De Redactie (P2)</t>
  </si>
  <si>
    <t>Savant Learning Partners B.V.(perc. 3)</t>
  </si>
  <si>
    <t>Savant Learning Partners B.V.(perc. 4)</t>
  </si>
  <si>
    <t>Savant Learning Partners B.V.(perc. 5)</t>
  </si>
  <si>
    <t>naam leveranciers op overzicht inhuurdesk</t>
  </si>
  <si>
    <t>Minister voor Klimaat en Energie</t>
  </si>
  <si>
    <t>Minister voor Natuur en Stikstof</t>
  </si>
  <si>
    <t>Bestandsnaam Nokgenerator:</t>
  </si>
  <si>
    <t>NOK-generator Inhuur NIET ICT 4.04.xlsm</t>
  </si>
  <si>
    <t>verborgen</t>
  </si>
  <si>
    <t>waarde gevuld door inkopers</t>
  </si>
  <si>
    <t>standplaatsten</t>
  </si>
  <si>
    <t>Prinses Beatrixlaan 2 te Den Haag</t>
  </si>
  <si>
    <t>Hanzelaan 310 te Zwolle</t>
  </si>
  <si>
    <t>Slachthuisstraat 71 te Roermond</t>
  </si>
  <si>
    <t>Emmasingel 1 te Groningen</t>
  </si>
  <si>
    <t>Piet Mondriaanlaan 54 te Amersfoort</t>
  </si>
  <si>
    <t>Muzenstraat 41 te Den Haag</t>
  </si>
  <si>
    <t>Cascadeplein 10 te Groningen</t>
  </si>
  <si>
    <t>Bezuidenhoutseweg 73 te Den Haag</t>
  </si>
  <si>
    <t>Catharijnesingel 59 te Utrecht</t>
  </si>
  <si>
    <t>Henri Faasdreef 312 te Den Haag</t>
  </si>
  <si>
    <t>Rijnstraat 50 te Den Haag</t>
  </si>
  <si>
    <t>Bezuidenhoutseweg 30 te Den Haag</t>
  </si>
  <si>
    <t>Schepersmaat 2 te Assen</t>
  </si>
  <si>
    <t>aanvragen@conclusion.nl;</t>
  </si>
  <si>
    <t>P1 Inkoopdiensten</t>
  </si>
  <si>
    <t>Senior +</t>
  </si>
  <si>
    <t>P3 Contract en leveranciersmanagement</t>
  </si>
  <si>
    <t>Actos</t>
  </si>
  <si>
    <t>aanvragenrijk@actosgroep.nl;</t>
  </si>
  <si>
    <t>Goedemensen Project Professionals</t>
  </si>
  <si>
    <t>Pro 10</t>
  </si>
  <si>
    <t>Supply Value</t>
  </si>
  <si>
    <t>Significant synergy</t>
  </si>
  <si>
    <t>resource@aevesgroep.com;</t>
  </si>
  <si>
    <t>Manon.bossewinkel@dpa.nl;</t>
  </si>
  <si>
    <t>n.volmer@goedemensen.nu;</t>
  </si>
  <si>
    <t>inkooprijksoverheid@pro10.nl;</t>
  </si>
  <si>
    <t>Inkooprijksoverheid@yacht.nl;</t>
  </si>
  <si>
    <t>offertes@significant.nl;</t>
  </si>
  <si>
    <t>Actos (perc. 1)</t>
  </si>
  <si>
    <t>DPA (perc. 1)</t>
  </si>
  <si>
    <t>Pro 10 (perc. 1)</t>
  </si>
  <si>
    <t>Supply Value (perc. 1)</t>
  </si>
  <si>
    <t>Actos (perc. 3)</t>
  </si>
  <si>
    <t>Supply Value (perc. 3)</t>
  </si>
  <si>
    <t>Goedemensen (perc. 1)</t>
  </si>
  <si>
    <t>Significant (perc. 3)</t>
  </si>
  <si>
    <t>Inkoop2022</t>
  </si>
  <si>
    <t>Milieuinspecteurs</t>
  </si>
  <si>
    <t>Senior Milieu-inspecteur</t>
  </si>
  <si>
    <t>Medior Milieu-inspecteur</t>
  </si>
  <si>
    <t>MilieuInspecteurs</t>
  </si>
  <si>
    <t>ON_Milieu</t>
  </si>
  <si>
    <t>YER Nederland B.V.</t>
  </si>
  <si>
    <t>Stantec B.V.</t>
  </si>
  <si>
    <t>ezk-sodm@yer.nl;</t>
  </si>
  <si>
    <t>euaanbestedingen@stantec.com;</t>
  </si>
  <si>
    <t>Stantec</t>
  </si>
  <si>
    <t>1: Inkoopdiensten</t>
  </si>
  <si>
    <t>3: contract en leveranciersmanagement</t>
  </si>
  <si>
    <t>N.v.t. bij milieu inspecteurs</t>
  </si>
  <si>
    <t>das@dpapeoplegroup.nl;</t>
  </si>
  <si>
    <t>rijksoverheid@goedemensen.nu;</t>
  </si>
  <si>
    <t>Manon.bossewinkel@dpa.nl;das@dpapeoplegroup.nl;</t>
  </si>
  <si>
    <t>n.volmer@goedemensen.nu;rijksoverheid@goedemensen.nu;</t>
  </si>
  <si>
    <t>Deta-vast (verambtelijking kandidaat)*</t>
  </si>
  <si>
    <t>N.v.t. bij MilieuInspecteurs</t>
  </si>
  <si>
    <t>Facilitair adviseurs RVO</t>
  </si>
  <si>
    <t>N.v.t. bij facilitair adviseurs RVO</t>
  </si>
  <si>
    <t>Adviseur bedrijfsvoering facilitair senior</t>
  </si>
  <si>
    <t>Adviseur bedrijfsvoering facilitair senior+</t>
  </si>
  <si>
    <t>ON_FacilitairRVO</t>
  </si>
  <si>
    <t>Colliers Occupier Services B.V.</t>
  </si>
  <si>
    <t>Actos Groep B.V.</t>
  </si>
  <si>
    <t>NL.samenwerkingRVO@colliers.com;</t>
  </si>
  <si>
    <t>FacilitairRVO</t>
  </si>
  <si>
    <t>Info@doxa.nl;</t>
  </si>
  <si>
    <t>Angela van den Dorpel</t>
  </si>
  <si>
    <t>P1 Inhuur Auditdiensten</t>
  </si>
  <si>
    <t>Junior Auditor</t>
  </si>
  <si>
    <t>Auditor</t>
  </si>
  <si>
    <t>Senior Auditor</t>
  </si>
  <si>
    <t>Auditmanager</t>
  </si>
  <si>
    <t>Functieprofielen P1</t>
  </si>
  <si>
    <t>Functieprofielen P2</t>
  </si>
  <si>
    <t>Junior IT Auditor</t>
  </si>
  <si>
    <t>IT Auditor</t>
  </si>
  <si>
    <t>Senior IT Auditor</t>
  </si>
  <si>
    <t>IT Auditmanager</t>
  </si>
  <si>
    <t>P2 Inhuur IT Auditdiensten</t>
  </si>
  <si>
    <t>offerte@kpmg.NL;</t>
  </si>
  <si>
    <t>RA-Quel B.V.</t>
  </si>
  <si>
    <t>RA-Quel B.V. (perc. 1)</t>
  </si>
  <si>
    <t>Ra-quel(P1)</t>
  </si>
  <si>
    <t>Audit2022</t>
  </si>
  <si>
    <t>1: Auditdiensten</t>
  </si>
  <si>
    <t>2: IT Auditdiensten</t>
  </si>
  <si>
    <t>P3 IT Audit</t>
  </si>
  <si>
    <t>nlauditrijksoverheid@deloitte.nl;</t>
  </si>
  <si>
    <t>raamovereenkomsten.ps@nl.ey.com;</t>
  </si>
  <si>
    <t>Auditdiensten2022</t>
  </si>
  <si>
    <t>Audit</t>
  </si>
  <si>
    <t>3: IT-Audit</t>
  </si>
  <si>
    <t>Digital en webanalytics</t>
  </si>
  <si>
    <t>ON_Digital</t>
  </si>
  <si>
    <t>Digital_en_webanalytics</t>
  </si>
  <si>
    <t>N.v.t. bij Digital en webanalytics</t>
  </si>
  <si>
    <t>Senior adviseur</t>
  </si>
  <si>
    <t>Senior digitaal analist</t>
  </si>
  <si>
    <t>Medior (technisch)webanalist</t>
  </si>
  <si>
    <t>Deloitte</t>
  </si>
  <si>
    <t>jvanwattingen@deloitte.nl</t>
  </si>
  <si>
    <t>jvanwattingen@deloitte.nl;</t>
  </si>
  <si>
    <t>inhuurauditdiensten@ra-quel.nl;</t>
  </si>
  <si>
    <t>Mark Esser</t>
  </si>
  <si>
    <t>;</t>
  </si>
  <si>
    <t>rijksoverheid@jsconsultancy.nl;</t>
  </si>
  <si>
    <t>priscilla.the@wyzer.nl;</t>
  </si>
  <si>
    <t>Wyzer Interim B.V.</t>
  </si>
  <si>
    <t>Wyzer (perc. 2)</t>
  </si>
  <si>
    <t>Wyzer (perc. 1)</t>
  </si>
  <si>
    <t>Wyzer(P1)</t>
  </si>
  <si>
    <t>Wyzer(P2)</t>
  </si>
  <si>
    <t>marion.degraaf@anteagroup.nl;</t>
  </si>
  <si>
    <t>bartjespers@yer.nl;</t>
  </si>
  <si>
    <t>sabinekuijt@yer.nl;</t>
  </si>
  <si>
    <t>ezk@yer.nl;bartjespers@yer.nl;sabinekuijt@yer.nl;</t>
  </si>
  <si>
    <t>ezk-sodm@yer.nl;bartjespers@yer.nl;sabinekuijt@yer.nl;</t>
  </si>
  <si>
    <t>Wikke Sturkenboom-Cramer</t>
  </si>
  <si>
    <t>Rijksinspectie Digitale Infrastuctuur</t>
  </si>
  <si>
    <t>RDI</t>
  </si>
  <si>
    <t>N.v.t. bij Bestuursrecht</t>
  </si>
  <si>
    <t>P1 Arbeidsjuridische Diensten</t>
  </si>
  <si>
    <t>P2 Bedrijfsjuridische Diensten</t>
  </si>
  <si>
    <t>Juridische Capaciteit Arbeidsrecht en Bedrijfsjuridisch</t>
  </si>
  <si>
    <t>ON_Juridische_Bestuursrecht</t>
  </si>
  <si>
    <t>ON_Juridische_Arbeidsrecht_en_Bedrijfsjuridisch</t>
  </si>
  <si>
    <t>WeLegal B.V.</t>
  </si>
  <si>
    <t>WeLegal B.V. (perc. 1)</t>
  </si>
  <si>
    <t>Vanberkel Professionals B.V. (perc. 1)</t>
  </si>
  <si>
    <t>Residentieprofs B.V. (perc. 1)</t>
  </si>
  <si>
    <t>Eiffel B.V. (perc. 1)</t>
  </si>
  <si>
    <t>DPA Overheid B.V.  (perc. 1)</t>
  </si>
  <si>
    <t>DPA Overheid B.V.  (perc. 2)</t>
  </si>
  <si>
    <t>Eiffel B.V. (perc. 2)</t>
  </si>
  <si>
    <t>Residentieprofs B.V. (perc. 2)</t>
  </si>
  <si>
    <t>USG Professionals (perc. 2)</t>
  </si>
  <si>
    <t>Vanberkel Professionals B.V. (perc. 2)</t>
  </si>
  <si>
    <t>opdrachten@welegal.nl</t>
  </si>
  <si>
    <t>opdrachten@welegal.nl;</t>
  </si>
  <si>
    <t>WeLegal B.V. (perc. 2)</t>
  </si>
  <si>
    <t>l.van.vliet@brunel.net</t>
  </si>
  <si>
    <t>rijksoverheid@brunel.net;l.van.vliet@brunel.net</t>
  </si>
  <si>
    <t>paul.schraven@dpa.nl</t>
  </si>
  <si>
    <t>overheidsjuristen@dpa.nl;paul.schraven@dpa.nl</t>
  </si>
  <si>
    <t>Is vrije vervanging toegestaan?*</t>
  </si>
  <si>
    <t>Het Adviescollege toetsing regeldruk (ATR) heeft als kerntaak het adviseren over de regeldrukgevolgen van voorgenomen regelgeving. Het beoordeelt of de onderbouwing van die regelgeving duidelijk maakt welk maatschappelijk effect is beoogd, of de regelgeving in de dagelijkse praktijk werkbaar is en of de regelgeving niet onnodig belastend is. Het college brengt zijn adviezen uit aan regering en parlement. Verder kan ATR adviseren over bestaande regelgeving aan parlement en medeoverheden en over beleidsregels en overige regels van organisaties die zijn belast met uitvoering of handhaving van regelgeving.</t>
  </si>
  <si>
    <t>Arcadis Nederland B.V.</t>
  </si>
  <si>
    <t>Deloitte Risk Advisory B.V.</t>
  </si>
  <si>
    <t>kWh Management B.V.</t>
  </si>
  <si>
    <t>Twynstra Gudde Holding B.V.</t>
  </si>
  <si>
    <t>Deloitte Risk Advisory B.V.(perc. 1)</t>
  </si>
  <si>
    <t>kWh Management B.V. (perc. 1)</t>
  </si>
  <si>
    <t>Twynstra Gudde Holding B.V. (perc. 1)</t>
  </si>
  <si>
    <t>Arcadis Nederland B.V. (perc. 2)</t>
  </si>
  <si>
    <t>Deloitte Risk Advisory B.V. (perc. 2)</t>
  </si>
  <si>
    <t>kWh Management B.V. (perc. 2)</t>
  </si>
  <si>
    <t>OrangeX B.V. (perc. 2)</t>
  </si>
  <si>
    <t>RVO@arcadis.com</t>
  </si>
  <si>
    <t>overheidengineering@brunel.net</t>
  </si>
  <si>
    <t>EDI-inhuur@deloitte.nl</t>
  </si>
  <si>
    <t>daniel@kwh-people.com</t>
  </si>
  <si>
    <t>kim@kwh-people.com</t>
  </si>
  <si>
    <t>info@orangex.nl</t>
  </si>
  <si>
    <t>RVO@arcadis.com;</t>
  </si>
  <si>
    <t>EDI-inhuur@deloitte.nl;</t>
  </si>
  <si>
    <t>daniel@kwh-people.com;kim@kwh-people.com;</t>
  </si>
  <si>
    <t>info@orangex.nl;</t>
  </si>
  <si>
    <t>EDI Specialisten op het gebied van Energie Duurzaamheid en Innovatie</t>
  </si>
  <si>
    <t>P1 Programmas en opdrachten</t>
  </si>
  <si>
    <t>Woordvoeringscapaciteit</t>
  </si>
  <si>
    <t>N.v.t. bij Woordvoeringscapaciteit</t>
  </si>
  <si>
    <t>ON_woordvoeringscapaciteit</t>
  </si>
  <si>
    <t>ON_Woordvoeringscapaciteit</t>
  </si>
  <si>
    <t>Babbage Company B.V.</t>
  </si>
  <si>
    <t>dpc@babbage.nl;</t>
  </si>
  <si>
    <t>Arcadis Nederland B.V. (perc. 1)</t>
  </si>
  <si>
    <t>Arcadis(P1)</t>
  </si>
  <si>
    <t>Brunel(P1)</t>
  </si>
  <si>
    <t>kWhPeople(P1)</t>
  </si>
  <si>
    <t>Twynstra(P1)</t>
  </si>
  <si>
    <t>Arcadis(P2)</t>
  </si>
  <si>
    <t>Brunel(P2)</t>
  </si>
  <si>
    <t>kWHhPeople(P2)</t>
  </si>
  <si>
    <t>OrangeX(P2)</t>
  </si>
  <si>
    <t>WeLegal B.V. (P1)</t>
  </si>
  <si>
    <t>Brunel Nederland B.V.(P2)</t>
  </si>
  <si>
    <t>Eiffel B.V.(p2)</t>
  </si>
  <si>
    <t>Residentieprofs B.V.(P2)</t>
  </si>
  <si>
    <t>USG Professionals B.V.(P2)</t>
  </si>
  <si>
    <t>Vanberkel Professionals B.V.(P2)</t>
  </si>
  <si>
    <t>WeLegal B.V.(P2)</t>
  </si>
  <si>
    <t>Brunel Nederland B.V.(P1)</t>
  </si>
  <si>
    <t>DPA Overheid B.V. (P1)</t>
  </si>
  <si>
    <t>Eiffel B.V.(P1)</t>
  </si>
  <si>
    <t>Residentieprofs B.V.(P1)</t>
  </si>
  <si>
    <t>USG Professionals B.V.(P1)</t>
  </si>
  <si>
    <t>Vanberkel Professionals B.V.(P1)</t>
  </si>
  <si>
    <t>bryant@onefellow.nl;</t>
  </si>
  <si>
    <t>detacheringsdesk@ortec.com;bryant@onefellow.nl;</t>
  </si>
  <si>
    <t>Baker Tilly (Netherlands) N.V.</t>
  </si>
  <si>
    <t>PricewaterhouseCoopers Advisory N.V.</t>
  </si>
  <si>
    <t>Baker Tilly (Netherlands) N.V. (perc. 2)</t>
  </si>
  <si>
    <t>EY Advisory Netherlands LLP (perc. 2)</t>
  </si>
  <si>
    <t>KPMG Advisory N.V. (perc. 2)</t>
  </si>
  <si>
    <t>PricewaterhouseCoopers Advisory N.V. (perc. 2)</t>
  </si>
  <si>
    <t>Baker Tilly(P2)</t>
  </si>
  <si>
    <t>KPMG(P2)</t>
  </si>
  <si>
    <t>PricewaterhouseCoopers(P2)</t>
  </si>
  <si>
    <t>ITauditmantel@bakertilly.nl;</t>
  </si>
  <si>
    <t>offerte@kpmg.nl;</t>
  </si>
  <si>
    <t>nl_rok-auditdiensten-p2@pwc.com;</t>
  </si>
  <si>
    <t>Graadt van Roggenweg 200 te Utrecht</t>
  </si>
  <si>
    <t>Ernst &amp; Young Advisory LLP (perc. 1)</t>
  </si>
  <si>
    <t>Ernst &amp; Young Advisory LLP</t>
  </si>
  <si>
    <t>Achternaam* (+ dubbele achternaam en/of meisjesnaam)</t>
  </si>
  <si>
    <t>raamovereenkomstEDI@tg.nl</t>
  </si>
  <si>
    <t>raamovereenkomstEDI@tg.nl;</t>
  </si>
  <si>
    <t>nkooijmans@wyzer.nl;</t>
  </si>
  <si>
    <t>nkooijmans@wyzer.nl;priscilla.the@wyzer.nl;</t>
  </si>
  <si>
    <t>Schaalniveau (indicatief)*</t>
  </si>
  <si>
    <t>Ilse Atema</t>
  </si>
  <si>
    <t>KENMERKEN INHUUROPDRACHT M.B.T. DE WET DBA</t>
  </si>
  <si>
    <t>PLANNING IN TE VULLEN DOOR DE INHUURDESK</t>
  </si>
  <si>
    <t>jkindt@wyzer.nl;</t>
  </si>
  <si>
    <t>SodM maakt zich sterk voor de veiligheid van de mens en de bescherming van het milieu bij energiewinning en het benutten van de ondergrond, nu en in de toekomst.</t>
  </si>
  <si>
    <t>jeroen.hoop@dpa.nl;</t>
  </si>
  <si>
    <t>jeroen.hoop@dpa.nl</t>
  </si>
  <si>
    <t>iO The Netherlands B.V.(perc. 2)</t>
  </si>
  <si>
    <t>iO The Netherlands B.V.</t>
  </si>
  <si>
    <t>iO The Netherlands B.V.(P2)</t>
  </si>
  <si>
    <t>Indien u nog verdere vragen heeft of hulp nodig hebt bij het invullen van het formulier kunt u contact opnemen met de Inhuurdesk (Account Team 11) via accountteam11@rvo.nl.</t>
  </si>
  <si>
    <t>Interim Management Tussenovereenkomst</t>
  </si>
  <si>
    <t>Perceel 1</t>
  </si>
  <si>
    <t>Perceel 2</t>
  </si>
  <si>
    <t>Interim Manager S18 - personeels- en/of lijnverantwoordelijkheid</t>
  </si>
  <si>
    <t>Interim Manager S17 - personeels- en/of lijnverantwoordelijkheid</t>
  </si>
  <si>
    <t>Interim Manager S16 - personeels- en/of lijnverantwoordelijkheid</t>
  </si>
  <si>
    <t>Interim Manager S15 - personeels- en/of lijnverantwoordelijkheid</t>
  </si>
  <si>
    <t>Interim Manager S14 - personeels- en/of lijnverantwoordelijkheid</t>
  </si>
  <si>
    <t>Interim Manager S13 - personeels- en/of lijnverantwoordelijkheid</t>
  </si>
  <si>
    <t>Interim Manager S12 - personeels- en/of lijnverantwoordelijkheid</t>
  </si>
  <si>
    <t>Interim Manager S11 - personeels- en/of lijnverantwoordelijkheid</t>
  </si>
  <si>
    <t>Interim Manager S10 - personeels- en/of lijnverantwoordelijkheid</t>
  </si>
  <si>
    <t>P1 Strategisch Interim Management</t>
  </si>
  <si>
    <t xml:space="preserve">P2 Tactisch Interim Management </t>
  </si>
  <si>
    <t>g.jansen@berenschot.nl</t>
  </si>
  <si>
    <t>binnendienst@bmc.nl</t>
  </si>
  <si>
    <t>Boer &amp; Croon Executive Management B.V.</t>
  </si>
  <si>
    <t>imoa.p1@boercroon.nl</t>
  </si>
  <si>
    <t>NLPublicSectorIMOA@deloitte.nl</t>
  </si>
  <si>
    <t>imoa@nl.ey.com</t>
  </si>
  <si>
    <t>Galan Groep B.V.</t>
  </si>
  <si>
    <t>interim@galangroep.nl</t>
  </si>
  <si>
    <t>aanvragen@itaq.nl</t>
  </si>
  <si>
    <t>JS Consultancy Detachering B.V.</t>
  </si>
  <si>
    <t>rijksoverheid@jsconsultancy.nl</t>
  </si>
  <si>
    <t>offerte@kpmg.nl</t>
  </si>
  <si>
    <t>Publiek Netwerk B.V.</t>
  </si>
  <si>
    <t>info@publieknetwerk.nl</t>
  </si>
  <si>
    <t>Supply Value B.V.</t>
  </si>
  <si>
    <t>office@supplyvalue.nl</t>
  </si>
  <si>
    <t>TwynstraGudde Holding B.V.</t>
  </si>
  <si>
    <t>imoa@twynstragudde.nl</t>
  </si>
  <si>
    <t>vragen@vbprofs.nl</t>
  </si>
  <si>
    <t>Verdonck Klooster &amp; Associates B.V.</t>
  </si>
  <si>
    <t>Berenschot Groep B.V. (perc. 1)</t>
  </si>
  <si>
    <t>BMC Implementatie B.V. (perc. 1)</t>
  </si>
  <si>
    <t>Boer &amp; Croon Executive Management B.V. (perc. 1)</t>
  </si>
  <si>
    <t>EY Advisory Netherlands LLP (perc. 1)</t>
  </si>
  <si>
    <t>Galan Groep B.V. (perc. 1)</t>
  </si>
  <si>
    <t>ItaQ B.V. (perc. 1)</t>
  </si>
  <si>
    <t>JS Consultancy Detachering B.V. (perc. 1)</t>
  </si>
  <si>
    <t>Publiek Netwerk B.V. (perc. 1)</t>
  </si>
  <si>
    <t>Supply Value B.V. (perc. 1)</t>
  </si>
  <si>
    <t>TwynstraGudde Holding B.V. (perc. 1)</t>
  </si>
  <si>
    <t>Verdonck Klooster &amp; Associates B.V. (perc. 1)</t>
  </si>
  <si>
    <t>g.jansen@berenschot.nl;</t>
  </si>
  <si>
    <t>binnendienst@bmc.nl;</t>
  </si>
  <si>
    <t>imoa.p1@boercroon.nl;</t>
  </si>
  <si>
    <t>imoa@nl.ey.com;</t>
  </si>
  <si>
    <t>interim@galangroep.nl;</t>
  </si>
  <si>
    <t>info@publieknetwerk.nl;</t>
  </si>
  <si>
    <t>imoa@twynstragudde.nl;</t>
  </si>
  <si>
    <t>Berenschot(perc. 1)</t>
  </si>
  <si>
    <t>BMC(perc. 1)</t>
  </si>
  <si>
    <t>Boer &amp; Croon(perc. 1)</t>
  </si>
  <si>
    <t>Deloitte(perc. 1)</t>
  </si>
  <si>
    <t>Galan (perc. 1)</t>
  </si>
  <si>
    <t>ItaQ(perc. 1)</t>
  </si>
  <si>
    <t>JS Consultancy (perc. 1)</t>
  </si>
  <si>
    <t>KPMG(perc. 1)</t>
  </si>
  <si>
    <t>Publiek Netwerk(perc. 1)</t>
  </si>
  <si>
    <t>Supply Value(perc. 1)</t>
  </si>
  <si>
    <t>TwynstraGudde (perc. 1)</t>
  </si>
  <si>
    <t>Vanberkel Professionals(perc. 1)</t>
  </si>
  <si>
    <t>Verdonck Klooster &amp; Associates(perc. 1)</t>
  </si>
  <si>
    <t>AB&amp;C Groep B.V.</t>
  </si>
  <si>
    <t>resource@aevesbenefit.com</t>
  </si>
  <si>
    <t>Boer &amp; Croon Management Solutions B.V.</t>
  </si>
  <si>
    <t>imoa.p2@boercroon.nl</t>
  </si>
  <si>
    <t>aanvragen@conclusion.nl</t>
  </si>
  <si>
    <t>allocaties@profource.com</t>
  </si>
  <si>
    <t>Seederdeboer</t>
  </si>
  <si>
    <t>imoa@seederdeboer.nl</t>
  </si>
  <si>
    <t>AB&amp;C Groep B.V. (perc. 2)</t>
  </si>
  <si>
    <t>BMC Implementatie B.V. (perc. 2)</t>
  </si>
  <si>
    <t>Boer &amp; Croon Management Solutions B.V. (perc. 2)</t>
  </si>
  <si>
    <t>Conclusion B.V. (perc. 2)</t>
  </si>
  <si>
    <t>Galan Groep B.V. (perc. 2)</t>
  </si>
  <si>
    <t>JS Consultancy Detachering B.V. (perc. 2)</t>
  </si>
  <si>
    <t>Profource B.V. (perc. 2)</t>
  </si>
  <si>
    <t>Publiek Netwerk B.V. (perc. 2)</t>
  </si>
  <si>
    <t>Seederdeboer (perc. 2)</t>
  </si>
  <si>
    <t>Supply Value B.V. (perc. 2)</t>
  </si>
  <si>
    <t>TwynstraGudde Holding B.V. (perc. 2)</t>
  </si>
  <si>
    <t>imoa.p2@boercroon.nl;</t>
  </si>
  <si>
    <t>imoa@seederdeboer.nl;</t>
  </si>
  <si>
    <t>AB&amp;C Groep (perc. 2)</t>
  </si>
  <si>
    <t>BMC (perc. 2)</t>
  </si>
  <si>
    <t>Boer &amp; Croon (perc. 2)</t>
  </si>
  <si>
    <t>Conclusion (perc. 2)</t>
  </si>
  <si>
    <t>Eiffel (perc. 2)</t>
  </si>
  <si>
    <t>EY Advisory (perc. 2)</t>
  </si>
  <si>
    <t>EY Advisory (perc. 1)</t>
  </si>
  <si>
    <t>Galan Groep (perc. 2)</t>
  </si>
  <si>
    <t>ItaQ (perc. 2)</t>
  </si>
  <si>
    <t>JS Consultancy (perc. 2)</t>
  </si>
  <si>
    <t>Profource (perc. 2)</t>
  </si>
  <si>
    <t>Publiek Netwerk (perc. 2)</t>
  </si>
  <si>
    <t>Supply Value (perc. 2)</t>
  </si>
  <si>
    <t>TwynstraGudde(perc. 2)</t>
  </si>
  <si>
    <t>Vanberkel Professionals (perc. 2)</t>
  </si>
  <si>
    <t>officemanagement.ZTM@highberg.com</t>
  </si>
  <si>
    <t>Organisatieadvies</t>
  </si>
  <si>
    <t>Strategisch Organisatieadviseur S18</t>
  </si>
  <si>
    <t>Strategisch Organisatieadviseur S17</t>
  </si>
  <si>
    <t>Strategisch Organisatieadviseur S16</t>
  </si>
  <si>
    <t>Strategisch Organisatieadviseur S15</t>
  </si>
  <si>
    <t>Strategisch Organisatieadviseur S14</t>
  </si>
  <si>
    <t>Strategisch Organisatieadviseur S13</t>
  </si>
  <si>
    <t>Tactisch Organisatieadviseur S13</t>
  </si>
  <si>
    <t>Tactisch Organisatieadviseur S12</t>
  </si>
  <si>
    <t>Tactisch Organisatieadviseur S11</t>
  </si>
  <si>
    <t>Tactisch Organisatieadviseur S10</t>
  </si>
  <si>
    <t>N.v.t. bij Organisatieadvies</t>
  </si>
  <si>
    <t>ON_Organisatieadvies</t>
  </si>
  <si>
    <t>Andersson, Elffers, Felix, Organisatie en Informatica Adviseurs B.V.</t>
  </si>
  <si>
    <t>imoa@aef.nl;</t>
  </si>
  <si>
    <t>nl_imoa_pwc_perceel_3@pwc.com;</t>
  </si>
  <si>
    <t>130,00</t>
  </si>
  <si>
    <t>AEF, Organisatie en Informatie Adviseurs B.V.</t>
  </si>
  <si>
    <t>Indien u hier vragen over heeft kunt contact opnemen met de inhuurdesk van het IUC via accountteam11@rvo.nl.</t>
  </si>
  <si>
    <t>BGT en GIS specialisten voor RVO</t>
  </si>
  <si>
    <t>ON_BGT en GIS specialisten voor RVO</t>
  </si>
  <si>
    <t>Perceel 1 inhuur van BGT specialisten</t>
  </si>
  <si>
    <t>Perceel 2 inhuur van GIS specialisten</t>
  </si>
  <si>
    <t>Digireg Netherlands B.V.</t>
  </si>
  <si>
    <t>Level Professionals B.V.</t>
  </si>
  <si>
    <t>LINKIT B.V.</t>
  </si>
  <si>
    <t>VGI-Support B.V.</t>
  </si>
  <si>
    <t>tenders@digireg.nl</t>
  </si>
  <si>
    <t>tenders@digireg.nl;info@digireg.nl</t>
  </si>
  <si>
    <t>info@levelprofessionals.nl</t>
  </si>
  <si>
    <t>aanvragen@linkit.nl</t>
  </si>
  <si>
    <t>l.koop@vgi-support.nl</t>
  </si>
  <si>
    <t>info@digireg.nl</t>
  </si>
  <si>
    <t>Digireg Netherlands (perc. 1)</t>
  </si>
  <si>
    <t>Level Professionals (perc. 1)</t>
  </si>
  <si>
    <t>LINKIT (perc. 1)</t>
  </si>
  <si>
    <t>VGI-Support (perc. 1)</t>
  </si>
  <si>
    <t>Digireg Netherlands (perc. 2)</t>
  </si>
  <si>
    <t>Level Professionals (perc. 2)</t>
  </si>
  <si>
    <t>LINKIT (perc. 2)</t>
  </si>
  <si>
    <t>Zaakbegeleiders in het kader van de Aanpak Stikstof</t>
  </si>
  <si>
    <t>ON_Zaakbegeleiders_in_het_kader_van_de_Aanpak_Stikstof</t>
  </si>
  <si>
    <t>ON_BGT_en_GIS_specialisten_voor_RVO</t>
  </si>
  <si>
    <t>ON_Zaakbegeleiders in het kader van de Aanpak Stikstof</t>
  </si>
  <si>
    <t>Antea Nederland B.V.</t>
  </si>
  <si>
    <t>Eeckhof B.V.</t>
  </si>
  <si>
    <t>Eelerwoude B.V.</t>
  </si>
  <si>
    <t>WeCapital B.V. Klaart</t>
  </si>
  <si>
    <t>De Lorijn Raadgevers O.G.</t>
  </si>
  <si>
    <t>Gloudemans B.V.</t>
  </si>
  <si>
    <t>Meander Grondverwerving en Advies B.V.</t>
  </si>
  <si>
    <t>Klement Rentmeesters</t>
  </si>
  <si>
    <t>t.jannink@eeckhof.nl</t>
  </si>
  <si>
    <t>Jloeffen@gloudemans.nl</t>
  </si>
  <si>
    <t>tenderoffice@anteagroup.nl;</t>
  </si>
  <si>
    <t>t.jannink@eeckhof.nl;</t>
  </si>
  <si>
    <t>b.velthuis@eelerwoude.nl;</t>
  </si>
  <si>
    <t>c.vanklinken@klaart.nl;</t>
  </si>
  <si>
    <t>j.menkveld@delorijn.nl;</t>
  </si>
  <si>
    <t>Jloeffen@gloudemans.nl;</t>
  </si>
  <si>
    <t>oeffelt@meanderbv.nl;</t>
  </si>
  <si>
    <t>info@klement-rentmeesters.nl;</t>
  </si>
  <si>
    <t>tenderoffice@anteagroup.nl</t>
  </si>
  <si>
    <t>b.velthuis@eelerwoude.nl</t>
  </si>
  <si>
    <t>c.vanklinken@klaart.nl</t>
  </si>
  <si>
    <t>j.menkveld@delorijn.nl</t>
  </si>
  <si>
    <t>oeffelt@meanderbv.nl</t>
  </si>
  <si>
    <t>info@klement-rentmeesters.nl</t>
  </si>
  <si>
    <t>Antea(P4)</t>
  </si>
  <si>
    <t>Eeckhof(P1)</t>
  </si>
  <si>
    <t>Eelerwoude(P1)</t>
  </si>
  <si>
    <t>WeCapital(P1)</t>
  </si>
  <si>
    <t>Eelerwoude(P2)</t>
  </si>
  <si>
    <t>Gloudemans(P2)</t>
  </si>
  <si>
    <t>Meander(P2)</t>
  </si>
  <si>
    <t>Klement(P3)</t>
  </si>
  <si>
    <t>Meander(P3)</t>
  </si>
  <si>
    <t>Eelerwoude(P4)</t>
  </si>
  <si>
    <t>Lorijn(P2)</t>
  </si>
  <si>
    <t>Antea(Perc. 1)</t>
  </si>
  <si>
    <t>Eeckhof(Perc. 1)</t>
  </si>
  <si>
    <t>Eelerwoude(Perc. 1)</t>
  </si>
  <si>
    <t>Antea(Perc. 2)</t>
  </si>
  <si>
    <t>Eelerwoude(Perc. 2)</t>
  </si>
  <si>
    <t>Lorijn(Perc. 2)</t>
  </si>
  <si>
    <t>Gloudemans(Perc. 2)</t>
  </si>
  <si>
    <t>Meander(Perc. 2)</t>
  </si>
  <si>
    <t>Klement(Perc. 3)</t>
  </si>
  <si>
    <t>Meander(Perc. 3)</t>
  </si>
  <si>
    <t>Antea(Perc. 4)</t>
  </si>
  <si>
    <t>Eelerwoude(Perc. 4)</t>
  </si>
  <si>
    <t>Digireg Netherlands (P1)</t>
  </si>
  <si>
    <t>Level Professionals (P1)</t>
  </si>
  <si>
    <t>LINKIT (P1)</t>
  </si>
  <si>
    <t>VGI-Support (P1)</t>
  </si>
  <si>
    <t>Digireg Netherlands (P2)</t>
  </si>
  <si>
    <t>Level Professionals (P2)</t>
  </si>
  <si>
    <t>LINKIT (P2)</t>
  </si>
  <si>
    <t>Het Instituut Mijnbouwschade Groningen (IMG) is het zelfstandig bestuursorgaan dat schade als gevolg van gaswinning in het Groningenveld en de gasopslagen Norg en Grijpskerk afhandelt. Dit kan gaan om fysieke schade aan woningen en gebouwen, immateriële schade en waardedaling van woningen. Ook is het IMG verantwoordelijk voor het veiligstellen van acuut onveilige situaties. We leggen bij fysieke schade de nadruk op herstel om vervolgschade te voorkomen. We zorgen dat we schade milder, menselijker en makkelijker afhandelen. We zijn gevestigd in Groningen en hebben een tijdelijk projectenkantoor in Assen.
Het IMG is diepgeworteld in de Groningse en Drentse samenleving. Wat we hier in het Noorden aanpakken, doen we met volledige aandacht voor mensen met schade door gaswinning. Want dossiers zijn geen dossiers, maar levens. We tonen begrip en nemen zorgen weg. We handelen af, ondersteunen en geven nazorg. Met gevoel, open, duidelijk en eenvoudig. 
Ook bij het IMG zelf draait het om mensen. We zijn sterk verbonden met de regio en met elkaar. Samen met je collega’s krijg je alle ruimte en vrijheid om je werkzaamheden en tijd optimaal in te delen zodat werk en privé in evenwicht zijn. Daarnaast investeren we flink in persoonlijke groei. Het IMG werkt aan uitdagende vraagstukken. Verandering is bij ons de norm en dat geeft veel dynamiek. Onze collega’s zijn er dan ook trots op dat de organisatie zo flexibel is.
Werken bij het IMG is betekenisvol mensenwerk met meerwaarde. Want jij maakt het verschil voor Groningers en Drenten met schade. Met werk dat er echt toe doet.</t>
  </si>
  <si>
    <t>detachering@iodigital.com;</t>
  </si>
  <si>
    <r>
      <rPr>
        <b/>
        <sz val="8"/>
        <rFont val="Verdana"/>
        <family val="2"/>
      </rPr>
      <t>Vandaag werken aan de wereld van morgen</t>
    </r>
    <r>
      <rPr>
        <sz val="8"/>
        <rFont val="Verdana"/>
        <family val="2"/>
      </rPr>
      <t xml:space="preserve">
De wereld verandert elke dag en wij veranderen mee. Met meer dan 6000 RVO’ers werken we iedere dag aan morgen. We ondersteunen, adviseren en stimuleren ondernemend Nederland. We helpen met innoveren en verduurzamen. Nationaal en internationaal, want ons werk stopt niet bij de grens. Samen werken we aan: 
- De verduurzaming van onze energievoorzieningen.
- Het tegengaan van klimaatverandering. 
- Een omslag naar een duurzaam landbouw- en voedselsysteem.
- Een sterke digitale economie.
Het zijn grote uitdagingen, maar wij geloven dat het mogelijk is. Daarom verbinden we ondernemers, overheden en organisaties om te bouwen aan het Nederland van morgen. 
We doen het samen. 
</t>
    </r>
    <r>
      <rPr>
        <b/>
        <sz val="8"/>
        <rFont val="Verdana"/>
        <family val="2"/>
      </rPr>
      <t>Wat doen we?</t>
    </r>
    <r>
      <rPr>
        <sz val="8"/>
        <rFont val="Verdana"/>
        <family val="2"/>
      </rPr>
      <t xml:space="preserve">
Wij maken overheidsbeleid bereikbaar en uitvoerbaar. Van voorlichting, advies en financiering tot het bieden van een luisterend oor voor ondernemers en organisaties. En dat is nog maar een klein onderdeel van wat we doen. Ondernemend Nederland is ontzettend veelzijdig en daarom zijn wij dat ook.
</t>
    </r>
    <r>
      <rPr>
        <b/>
        <sz val="8"/>
        <rFont val="Verdana"/>
        <family val="2"/>
      </rPr>
      <t xml:space="preserve">Divers maakt beter
</t>
    </r>
    <r>
      <rPr>
        <sz val="8"/>
        <rFont val="Verdana"/>
        <family val="2"/>
      </rPr>
      <t xml:space="preserve">Met enorme uitdagingen op komst, is het juiste talent aan boord hebben belangrijk. Het maakt bij ons niet uit wie je bent. Wij kijken naar wat je kunt en waar jouw ambities liggen. Om de wereld duurzamer te maken hebben we ideeën nodig uit alle hoeken van de samenleving. Daarom hebben we voor iedereen plaats bij RVO, zolang je maar nieuwsgierig en ondernemend bent. We geven je vertrouwen, vrijheid en verantwoordelijkheid. Want zo boek jij de mooiste resultaten. Voor jezelf, voor ondernemers en voor morgen. </t>
    </r>
  </si>
  <si>
    <t>Perceel 1 Noord. Groningen Friesland Drenthe en Overijssel</t>
  </si>
  <si>
    <t>Perceel 2 Oost. Gelderland en Utrecht Oost</t>
  </si>
  <si>
    <t xml:space="preserve">Perceel 3 Zuid. Limburg en Noord Brabant </t>
  </si>
  <si>
    <t>Perceel 4 West. Noord Holland Zuid Holland Flevoland Zeeland en Utrecht Overig</t>
  </si>
  <si>
    <t>WeCapital(Klaart)(Perc. 1)</t>
  </si>
  <si>
    <t>GIS-specialist (S10)</t>
  </si>
  <si>
    <t>Medior Zaakbegeleider (S11)</t>
  </si>
  <si>
    <t>Senior Zaakbegeleider (S12)</t>
  </si>
  <si>
    <t>BGT-specialist/Gegevensbeheerder (S8/S9)</t>
  </si>
  <si>
    <t>Adviseur GIS en Basisregistratie (S11)</t>
  </si>
  <si>
    <t>Projectleider GIS en Basisregistratie (S11)</t>
  </si>
  <si>
    <t>Integrale oplossingsrichting Ontwerp en Consult voor IMG</t>
  </si>
  <si>
    <t>Perceel 3 Consult</t>
  </si>
  <si>
    <t>Functieprofielen: </t>
  </si>
  <si>
    <t>Medior Bouwkundig/constructief specialist S13</t>
  </si>
  <si>
    <t>Senior Bouwkundig/constructief specialist S14</t>
  </si>
  <si>
    <t>Medior Technisch analist S12</t>
  </si>
  <si>
    <t>Senior Technisch analist S13</t>
  </si>
  <si>
    <t>Junior Bouwkundig adviseur S11</t>
  </si>
  <si>
    <t>Medior Bouwkundig adviseur S12</t>
  </si>
  <si>
    <t>Senior Bouwkundig adviseur S13</t>
  </si>
  <si>
    <t>ON_Integrale oplossingsrichting Ontwerp en Consult voor IMG</t>
  </si>
  <si>
    <t>Human Resource inhuur</t>
  </si>
  <si>
    <t>Werkveld Mobiliteit</t>
  </si>
  <si>
    <t>Werkveld Human Resources Algemeen</t>
  </si>
  <si>
    <t>Begin Schaal</t>
  </si>
  <si>
    <t>Eind Schaal</t>
  </si>
  <si>
    <t>Between Staffing Nederland B.V.</t>
  </si>
  <si>
    <t>De Staffing Groep Nederland B.V. h.o.d.n. Circle8</t>
  </si>
  <si>
    <t>recruitment@circle8.nl</t>
  </si>
  <si>
    <t>recruitment@nl.between.com</t>
  </si>
  <si>
    <t>recruitment@nl.between.com;</t>
  </si>
  <si>
    <t>recruitment@circle8.nl;</t>
  </si>
  <si>
    <t>Between Staffing(Mobiliteit)</t>
  </si>
  <si>
    <t>Circle8(Mobiliteit)</t>
  </si>
  <si>
    <t>Between Staffing(Algemeen)</t>
  </si>
  <si>
    <t>Circle8(Algemeen)</t>
  </si>
  <si>
    <t>finance-rijksoverheid@teameiffel.nl;</t>
  </si>
  <si>
    <t>Eiffel B.V. (P3)</t>
  </si>
  <si>
    <t>Brunel Nederland B.V. (P3)</t>
  </si>
  <si>
    <t>Brunel(P3)</t>
  </si>
  <si>
    <t xml:space="preserve">EY Belastingadviseurs B.V. </t>
  </si>
  <si>
    <t>EY Belastingadviseurs B.V. (P4)</t>
  </si>
  <si>
    <t>Deloitte Tax &amp; Legal B.V. (P4)</t>
  </si>
  <si>
    <t>Deloitte Tax &amp; Legal B.V.</t>
  </si>
  <si>
    <t>sbot@deloitte.nl;</t>
  </si>
  <si>
    <t>BDO Accountancy, Tax &amp; Legal B.V.  (P4)</t>
  </si>
  <si>
    <t xml:space="preserve">BDO Accountancy, Tax &amp; Legal B.V. </t>
  </si>
  <si>
    <t xml:space="preserve"> nl_fad_pwc_perceel_4@pwc.com;</t>
  </si>
  <si>
    <t>Baker Tilly(P4)</t>
  </si>
  <si>
    <t>nl_fad_pwc_perceel_4@pwc.com;</t>
  </si>
  <si>
    <t>auditmantelim@bakertilly.nl;</t>
  </si>
  <si>
    <t>Arcadis Nederland B.V.(P3)</t>
  </si>
  <si>
    <t>Crux Enginering B.V.(P3)</t>
  </si>
  <si>
    <t>Galan Interim Management B.V.(P3)</t>
  </si>
  <si>
    <t>Jack.Smeets@arcadis.com;</t>
  </si>
  <si>
    <t>vanderstoel@cruxbv.nl;</t>
  </si>
  <si>
    <t>rbruin@galangroep.nl;</t>
  </si>
  <si>
    <t>Jack.Smeets@arcadis.com</t>
  </si>
  <si>
    <t>vanderstoel@cruxbv.nl</t>
  </si>
  <si>
    <t>rbruin@galangroep.nl</t>
  </si>
  <si>
    <t>Between(Werving en Selectie)</t>
  </si>
  <si>
    <t>Circle8(Werving en Selectie)</t>
  </si>
  <si>
    <t>Between(Mobiliteit)</t>
  </si>
  <si>
    <t>Between(Algemeen)</t>
  </si>
  <si>
    <t>Indien u een nadere toelichting wenst, verzoek ik u dit binnen 5 werkdagen kenbaar te maken aan accountteam11@rvo.nl .
Via deze weg dank ik u voor de in deze verrichte inspanningen en de uitgebrachte offerte.
Met vriendelijke groet,
De Minister van Economische Zaken,
namens deze:
mevrouw L. Otto Oldenburger
Teammanager Inkoop Uitvoering Centrum EZ,
.................................................................................
Ministerie van Economische Zaken
Inkoop Uitvoering Centrum EZ
Schepersmaat 2 | 9405 TA | Assen
Postbus 322 | 9400 AH | Assen
.................................................................................
E Accountteam11@rvo.nl
W www.rvo.nl</t>
  </si>
  <si>
    <t xml:space="preserve"> dan kan starten. Zodra wij een reactie van u hebben ontvangen, zullen wij de nadere overeenkomst opstellen.
Hopende u hiermee voldoende te hebben geïnformeerd.
Met vriendelijke groet, 
De Minister van Economische Zaken,
namens deze:
mevrouw L. Otto Oldenburger
Teammanager Inkoop Uitvoering Centrum EZ,
.................................................................................
Ministerie van Economische Zaken
Inkoop Uitvoering Centrum EZ
Schepersmaat 2 | 9405 TA | Assen
Postbus 322 | 9400 AH | Assen
.................................................................................
E Accountteam11@rvo.nl
W www.rvo.nl</t>
  </si>
  <si>
    <t>ON_Human Resource inhuur</t>
  </si>
  <si>
    <t>Nydia de Haan</t>
  </si>
  <si>
    <t>Sophie Espeldoorn</t>
  </si>
  <si>
    <t>Sjoerd Mink</t>
  </si>
  <si>
    <t>3.6</t>
  </si>
  <si>
    <t>Kernministerie KGG</t>
  </si>
  <si>
    <t>Kernministerie LVVN</t>
  </si>
  <si>
    <t>Kernministerie EZ</t>
  </si>
  <si>
    <t>Ministerie van Economische Zaken</t>
  </si>
  <si>
    <t>Ministerie van Klimaat en Groene Groei</t>
  </si>
  <si>
    <t>Ministerie van Landbouw, Visserij, Voedselzekerheid en Natuur</t>
  </si>
  <si>
    <t>Group Moovs B.V.(perc. 3)</t>
  </si>
  <si>
    <t>Group Moovs B.V.</t>
  </si>
  <si>
    <t>Yacht B.V. (P3)</t>
  </si>
  <si>
    <t>Baker Tilly (Netherlands) N.V.(P4)</t>
  </si>
  <si>
    <t>Het ministerie van Economische Zaken werkt samen met zijn partners aan een innovatief én ondernemend Nederland en een sterke, weerbare economie, die iedereen kansen biedt. Ondernemers en bedrijven moeten kunnen rekenen op een stabiel en voorspelbaar ondernemersklimaat. We zoeken daarbij steeds de beste balans tussen de belangen van bedrijven, consumenten en de omgeving.</t>
  </si>
  <si>
    <t>Het ministerie van Landbouw, Visserij, Voedselzekerheid en Natuur staat voor een eerlijke en verantwoorde landbouw en visserij. Wij versterken het economisch perspectief van boeren, tuinders en vissers én stimuleren duurzame productie en dierenwelzijn. Samen met alle betrokkenen werken we aan het herstel en behoud van Nederlandse natuur. Het ministerie wil de internationale koppositie van de agrarische sector verstevigen, met een nadruk op het benutten van kennis en innovatie. Daarmee draagt Nederland bij aan de aanpak van het wereldvoedselvraagstuk.</t>
  </si>
  <si>
    <t>Het ministerie van Klimaat en Groene Groei werkt (KGG) samen met zijn partners aan een schoner en sterker Nederland. Door te werken aan een klimaatneutrale samenleving en door te investeren in mensen, innovatie en duurzame energie. Zodat we de kansen kunnen pakken voor een duurzame toekomst en ervoor zorgen dat iedereen hieraan een bijdrage kan leveren. Nu én later.</t>
  </si>
  <si>
    <t xml:space="preserve">DICTU levert ICT en digitale diensten voor EZ en een aantal andere ministeries. Ze zet haar kennis en ervaring in om de beleids- en organisatiedoelen van haar opdrachtgevers optimaal te ondersteunen. Daarbij speelt ze in op de nieuwste technologische ontwikkelingen, zoals de Cloud. Ook borgt ze een hoogwaardige beveiliging van de gegevens die ze technisch beheert en bewaart. Meer informatie vindt u op https://www.dictu.nl     </t>
  </si>
  <si>
    <t>Wij zijn de Rijksinspectie Digitale Infrastructuur (RDI). Wij staan voor een veilig verbonden Nederland. 
Cyberveiligheid, digitaal veilige apparatuur, kunstmatige intelligentie, 5G, energietransitie, digitale weerbaarheid en frequentiemanagement zijn de grote thema’s van vandaag en morgen. Bij de Rijksinspectie Digitale Infrastuctuur (na 1 januari 2023 de nieuwe naam van Agentschap Telecom) voeren wij de wet- en regelgeving op deze – en nog veel meer - gebieden uit. En we houden er toezicht op dat iedereen zich aan de regels, eisen en voorwaarden houdt. 
Wij doen dit met ruim 400 enthousiaste collega’s vanuit onze kernwaarden: maatschappelijke verantwoordelijkheid, gedeelde visie, samenwerking, verantwoordelijkheid nemen en professionaliteit. Bij de RDI hechten we waarde aan een inclusieve organisatiecultuur, waarin alle medewerkers zichzelf kunnen zijn, zich vrij voelen om hun mening te geven, zich gewaardeerd en gerespecteerd voelen.
De Rijkinspectie Digitale Infrastructuur is onderdeel van het ministerie van Economische Zaken en omvat vijf directies: 
•	Infrastructuur
•	Apparatuur
•	Digitale Weerbaarheid
•	Bestuur, Juridische Zaken en Communicatie 
•	Mens en Middelen</t>
  </si>
  <si>
    <t>Midden Schaal</t>
  </si>
  <si>
    <t>Werkveld Werving en Selectie</t>
  </si>
  <si>
    <t>Circle8(WervingEnSelectie)</t>
  </si>
  <si>
    <t>Between Staffing(WervingEnSelectie)</t>
  </si>
  <si>
    <t>Afdeling X</t>
  </si>
  <si>
    <t>Persoon Y</t>
  </si>
  <si>
    <t>Persoon Z</t>
  </si>
  <si>
    <t xml:space="preserve">RVO heeft datagedreven werken als belangrijke pijler in de strategie staan om daarmee als uitvoeringsorganisatie de dienstverlening te versterken. De afdeling Data staat opgelijnd om de kansen van dategedreven werken mogelijk te maken én de risico's die daar bij ontstaan te beheersen. Binnen RVO zijn op diverse plekken goede initiatieven ontstaan rondom datagedreven werken. 
De taken van het CDO office zijn er opgericht om kaders en richtlijnen op te stellen en de randvoorwaarden voor datasciencetoepassingen in te vullen. Het motto van dit team is: 'Het CDO Office begeleidt heel RVO naar toekomstbestendig omgaan met Data'. Heldere, bruikbare kaders voor het verantwoord omgaan met analytics kunnen daar een mooie bijdrage aan leveren. </t>
  </si>
  <si>
    <t>WO opleiding</t>
  </si>
  <si>
    <t>Data en/of Analytics Governance</t>
  </si>
  <si>
    <t>Omgevingssensitief</t>
  </si>
  <si>
    <t>Samenwerker</t>
  </si>
  <si>
    <t>Schrijver</t>
  </si>
  <si>
    <t>Kennis Rijksoverheid is een pré</t>
  </si>
  <si>
    <t>Het CDO Office is opzoek naar een enthousiaste en kundige adviseur data management. 
De adviseur werkt binnen het CDO Office van het RVO aan de kaders en richtlijnen op het gebied van Analytics, het framework voor Analytics Governance. De werkzaamheden bestaan uit het uitwerken van en schrijven aan het framework. Een belangrijk resultaat op korte termijn is de uitwerking van het kader voor het gebruik van analytics (ook wel algoritmes, AI). Daarbij is het van belang dat de verbinding wordt gelegd met de datagovernance en de kaders vanuit de ministeries en Europa. 
Met heldere richtlijnen voor het gebruik van analytics wil RVO de kansen van data en analytics optimaal benutten, en tegelijkertijd zicht houden op de risico's en die kunnen beheersen. Het RVO wil op een verantwoorde manier analytics inzetten en daarmee een moderne én betrouwbare partner zijn voor burgers en ondernemers.
De adviseur maakt integraal onderdeel uit van het projectteam welk in gezamenlijkheid invulling geeft aan deze opdracht.</t>
  </si>
  <si>
    <t>Communciatief sterk</t>
  </si>
  <si>
    <t>Bewezen ervaring met uitwerking Data en/of analytics Governance</t>
  </si>
  <si>
    <t>Ervaring met opstellen van kaders en/of richtlijnen op het gebied van data en/of analytics</t>
  </si>
  <si>
    <t/>
  </si>
  <si>
    <t>Adviseur Data management (Medior)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</si>
</sst>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F800]dddd\,\ mmmm\ dd\,\ yyyy"/>
    <numFmt numFmtId="166" formatCode="[$-F800]"/>
    <numFmt numFmtId="167" formatCode="dddd\ dd\ mmmm\ yyyy\,\ hh:mm"/>
    <numFmt numFmtId="168" formatCode="&quot;Vóór&quot;\ h:mm;@"/>
    <numFmt numFmtId="169" formatCode="0.0"/>
    <numFmt numFmtId="170" formatCode="_(&quot;€&quot;* #,##0.00_);_(&quot;€&quot;* \(#,##0.00\);_(&quot;€&quot;* &quot;-&quot;??_);_(@_)"/>
    <numFmt numFmtId="171" formatCode="&quot;&quot;"/>
    <numFmt numFmtId="172" formatCode="d/mm/yy;@"/>
    <numFmt numFmtId="173" formatCode="_ [$€-413]\ * #,##0.00_ ;_ [$€-413]\ * \-#,##0.00_ ;_ [$€-413]\ * &quot;-&quot;??_ ;_ @_ "/>
    <numFmt numFmtId="174" formatCode="[$-413]d/mmm/yy;@"/>
    <numFmt numFmtId="175" formatCode="&quot;Vóór&quot;\ h:mm\ &quot;uur&quot;"/>
    <numFmt numFmtId="176" formatCode="&quot;€&quot;\ #,##0.00"/>
    <numFmt numFmtId="177" formatCode="[$-413]d\ mmmm\ yyyy;@"/>
    <numFmt numFmtId="178" formatCode="&quot;vóór&quot;\ h:mm\ &quot;uur&quot;"/>
    <numFmt numFmtId="179" formatCode="_-[$€]\ * #,##0.00_-;_-[$€]\ * #,##0.00\-;_-[$€]\ * &quot;-&quot;??_-;_-@_-"/>
    <numFmt numFmtId="180" formatCode="dd/mm/yy;@"/>
    <numFmt numFmtId="181" formatCode="&quot;€&quot;\ #,##0.00_-"/>
  </numFmts>
  <fonts count="10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name val="Verdana"/>
      <family val="2"/>
    </font>
    <font>
      <sz val="9"/>
      <name val="Verdana"/>
      <family val="2"/>
    </font>
    <font>
      <u/>
      <sz val="10"/>
      <color theme="10"/>
      <name val="Agrofont"/>
      <family val="2"/>
    </font>
    <font>
      <u/>
      <sz val="9"/>
      <color theme="10"/>
      <name val="Verdana"/>
      <family val="2"/>
    </font>
    <font>
      <sz val="8"/>
      <name val="Verdana"/>
      <family val="2"/>
    </font>
    <font>
      <sz val="8"/>
      <name val="Calibri"/>
      <family val="2"/>
      <scheme val="minor"/>
    </font>
    <font>
      <sz val="14"/>
      <name val="Verdana"/>
      <family val="2"/>
    </font>
    <font>
      <sz val="12"/>
      <color theme="1"/>
      <name val="Verdana"/>
      <family val="2"/>
    </font>
    <font>
      <b/>
      <sz val="10"/>
      <name val="Verdana"/>
      <family val="2"/>
    </font>
    <font>
      <i/>
      <sz val="9"/>
      <name val="Verdana"/>
      <family val="2"/>
    </font>
    <font>
      <sz val="9"/>
      <color theme="0"/>
      <name val="Verdana"/>
      <family val="2"/>
    </font>
    <font>
      <sz val="14"/>
      <color theme="0"/>
      <name val="Verdana"/>
      <family val="2"/>
    </font>
    <font>
      <b/>
      <sz val="9"/>
      <color theme="1"/>
      <name val="Verdana"/>
      <family val="2"/>
    </font>
    <font>
      <b/>
      <sz val="9"/>
      <name val="Verdana"/>
      <family val="2"/>
    </font>
    <font>
      <sz val="12"/>
      <color theme="1"/>
      <name val="Calibri"/>
      <family val="2"/>
      <scheme val="minor"/>
    </font>
    <font>
      <b/>
      <sz val="10"/>
      <color theme="0"/>
      <name val="Verdana"/>
      <family val="2"/>
    </font>
    <font>
      <sz val="9"/>
      <color theme="4" tint="0.79998168889431442"/>
      <name val="Verdana"/>
      <family val="2"/>
    </font>
    <font>
      <sz val="9"/>
      <color theme="1"/>
      <name val="Verdana"/>
      <family val="2"/>
    </font>
    <font>
      <sz val="10"/>
      <name val="Verdana"/>
      <family val="2"/>
    </font>
    <font>
      <b/>
      <sz val="10"/>
      <color theme="1"/>
      <name val="Verdana"/>
      <family val="2"/>
    </font>
    <font>
      <sz val="10"/>
      <color theme="1"/>
      <name val="Verdana"/>
      <family val="2"/>
    </font>
    <font>
      <b/>
      <sz val="11"/>
      <name val="Verdana"/>
      <family val="2"/>
    </font>
    <font>
      <sz val="8"/>
      <color indexed="81"/>
      <name val="Tahoma"/>
      <family val="2"/>
    </font>
    <font>
      <b/>
      <sz val="9"/>
      <color theme="0"/>
      <name val="Verdana"/>
      <family val="2"/>
    </font>
    <font>
      <sz val="7"/>
      <color theme="1"/>
      <name val="Verdana"/>
      <family val="2"/>
    </font>
    <font>
      <sz val="8"/>
      <color theme="1"/>
      <name val="Verdana"/>
      <family val="2"/>
    </font>
    <font>
      <b/>
      <i/>
      <sz val="9"/>
      <color rgb="FFC00000"/>
      <name val="Verdana"/>
      <family val="2"/>
    </font>
    <font>
      <b/>
      <i/>
      <sz val="9"/>
      <color rgb="FFFF0000"/>
      <name val="Verdana"/>
      <family val="2"/>
    </font>
    <font>
      <sz val="9"/>
      <color rgb="FFCCECFF"/>
      <name val="Verdana"/>
      <family val="2"/>
    </font>
    <font>
      <sz val="12"/>
      <color theme="0"/>
      <name val="Segoe UI"/>
      <family val="2"/>
    </font>
    <font>
      <sz val="12"/>
      <color theme="0"/>
      <name val="Verdana"/>
      <family val="2"/>
    </font>
    <font>
      <b/>
      <sz val="9"/>
      <color rgb="FFFF0000"/>
      <name val="Verdana"/>
      <family val="2"/>
    </font>
    <font>
      <u/>
      <sz val="8"/>
      <color theme="10"/>
      <name val="Agrofont"/>
      <family val="2"/>
    </font>
    <font>
      <sz val="9"/>
      <name val="Wingdings"/>
      <charset val="2"/>
    </font>
    <font>
      <sz val="9"/>
      <color indexed="81"/>
      <name val="Tahoma"/>
      <family val="2"/>
    </font>
    <font>
      <b/>
      <sz val="9"/>
      <color indexed="81"/>
      <name val="Tahoma"/>
      <family val="2"/>
    </font>
    <font>
      <sz val="11"/>
      <color theme="1"/>
      <name val="Verdana"/>
      <family val="2"/>
    </font>
    <font>
      <u/>
      <sz val="10"/>
      <color theme="1"/>
      <name val="Verdana"/>
      <family val="2"/>
    </font>
    <font>
      <sz val="10"/>
      <color theme="1"/>
      <name val="Calibri"/>
      <family val="2"/>
      <scheme val="minor"/>
    </font>
    <font>
      <sz val="10"/>
      <color rgb="FFFF0000"/>
      <name val="Verdana"/>
      <family val="2"/>
    </font>
    <font>
      <sz val="9"/>
      <color theme="1"/>
      <name val="Wingdings"/>
      <charset val="2"/>
    </font>
    <font>
      <b/>
      <sz val="8"/>
      <name val="Verdana"/>
      <family val="2"/>
    </font>
    <font>
      <b/>
      <sz val="9"/>
      <color rgb="FFFFFF00"/>
      <name val="Verdana"/>
      <family val="2"/>
    </font>
    <font>
      <b/>
      <sz val="7"/>
      <name val="Verdana"/>
      <family val="2"/>
    </font>
    <font>
      <sz val="8"/>
      <color theme="0"/>
      <name val="Verdana"/>
      <family val="2"/>
    </font>
    <font>
      <sz val="8"/>
      <color rgb="FFCCECFF"/>
      <name val="Verdana"/>
      <family val="2"/>
    </font>
    <font>
      <i/>
      <sz val="10"/>
      <color rgb="FFCCECFF"/>
      <name val="Verdana"/>
      <family val="2"/>
    </font>
    <font>
      <i/>
      <sz val="10"/>
      <name val="Verdana"/>
      <family val="2"/>
    </font>
    <font>
      <b/>
      <sz val="8"/>
      <color theme="0"/>
      <name val="Verdana"/>
      <family val="2"/>
    </font>
    <font>
      <b/>
      <sz val="9"/>
      <color theme="4" tint="0.79998168889431442"/>
      <name val="Verdana"/>
      <family val="2"/>
    </font>
    <font>
      <b/>
      <u/>
      <sz val="9"/>
      <color theme="1"/>
      <name val="Verdana"/>
      <family val="2"/>
    </font>
    <font>
      <b/>
      <sz val="8"/>
      <color theme="1"/>
      <name val="Verdana"/>
      <family val="2"/>
    </font>
    <font>
      <b/>
      <sz val="11"/>
      <color rgb="FFFFFF00"/>
      <name val="Verdana"/>
      <family val="2"/>
    </font>
    <font>
      <sz val="10"/>
      <color rgb="FF000000"/>
      <name val="Lucida Console"/>
      <family val="3"/>
    </font>
    <font>
      <b/>
      <i/>
      <sz val="10"/>
      <color rgb="FFFF0000"/>
      <name val="Verdana"/>
      <family val="2"/>
    </font>
    <font>
      <i/>
      <sz val="9"/>
      <color theme="1"/>
      <name val="Verdana"/>
      <family val="2"/>
    </font>
    <font>
      <b/>
      <i/>
      <sz val="9"/>
      <color theme="1"/>
      <name val="Verdana"/>
      <family val="2"/>
    </font>
    <font>
      <sz val="7.5"/>
      <color theme="1"/>
      <name val="Verdana"/>
      <family val="2"/>
    </font>
    <font>
      <sz val="12"/>
      <color rgb="FFFF0000"/>
      <name val="Verdana"/>
      <family val="2"/>
    </font>
    <font>
      <sz val="9"/>
      <color rgb="FFFF0000"/>
      <name val="Verdana"/>
      <family val="2"/>
    </font>
    <font>
      <b/>
      <sz val="10"/>
      <color theme="1"/>
      <name val="Arial"/>
      <family val="2"/>
    </font>
    <font>
      <b/>
      <sz val="12"/>
      <color theme="1"/>
      <name val="Verdana"/>
      <family val="2"/>
    </font>
    <font>
      <sz val="9"/>
      <color theme="0"/>
      <name val="Arial"/>
      <family val="2"/>
    </font>
    <font>
      <b/>
      <sz val="10"/>
      <color rgb="FFC3DBB6"/>
      <name val="Verdana"/>
      <family val="2"/>
    </font>
    <font>
      <b/>
      <sz val="12"/>
      <color rgb="FFC3DBB6"/>
      <name val="Verdana"/>
      <family val="2"/>
    </font>
    <font>
      <b/>
      <sz val="9"/>
      <color rgb="FFC3DBB6"/>
      <name val="Verdana"/>
      <family val="2"/>
    </font>
    <font>
      <b/>
      <sz val="8"/>
      <color rgb="FFC3DBB6"/>
      <name val="Verdana"/>
      <family val="2"/>
    </font>
    <font>
      <i/>
      <sz val="8"/>
      <color rgb="FFFF0000"/>
      <name val="Verdana"/>
      <family val="2"/>
    </font>
    <font>
      <u/>
      <sz val="9"/>
      <color rgb="FFFF0000"/>
      <name val="Verdana"/>
      <family val="2"/>
    </font>
    <font>
      <sz val="9"/>
      <color rgb="FFC3DBB6"/>
      <name val="Verdana"/>
      <family val="2"/>
    </font>
    <font>
      <u/>
      <sz val="9"/>
      <color rgb="FFC3DBB6"/>
      <name val="Verdana"/>
      <family val="2"/>
    </font>
    <font>
      <sz val="10"/>
      <color theme="0"/>
      <name val="Verdana"/>
      <family val="2"/>
    </font>
    <font>
      <sz val="9"/>
      <color indexed="81"/>
      <name val="Verdana"/>
      <family val="2"/>
    </font>
    <font>
      <b/>
      <sz val="9"/>
      <color indexed="81"/>
      <name val="Verdana"/>
      <family val="2"/>
    </font>
    <font>
      <u/>
      <sz val="9"/>
      <color indexed="81"/>
      <name val="Verdana"/>
      <family val="2"/>
    </font>
    <font>
      <b/>
      <u/>
      <sz val="9"/>
      <color indexed="81"/>
      <name val="Verdana"/>
      <family val="2"/>
    </font>
    <font>
      <sz val="8"/>
      <color rgb="FFFF0000"/>
      <name val="Verdana"/>
      <family val="2"/>
    </font>
    <font>
      <sz val="9"/>
      <color indexed="81"/>
      <name val=" Verdana"/>
    </font>
    <font>
      <b/>
      <sz val="8"/>
      <color rgb="FFFF0000"/>
      <name val="Verdana"/>
      <family val="2"/>
    </font>
    <font>
      <sz val="8"/>
      <color rgb="FFC3DBB6"/>
      <name val="Verdana"/>
      <family val="2"/>
    </font>
    <font>
      <sz val="9"/>
      <color rgb="FFFFFFFF"/>
      <name val="Verdana"/>
      <family val="2"/>
    </font>
    <font>
      <sz val="12"/>
      <color rgb="FFFFFFFF"/>
      <name val="Verdana"/>
      <family val="2"/>
    </font>
    <font>
      <sz val="11"/>
      <color rgb="FF000000"/>
      <name val="Calibri"/>
      <family val="2"/>
      <scheme val="minor"/>
    </font>
    <font>
      <sz val="11"/>
      <name val="Verdana"/>
      <family val="2"/>
    </font>
    <font>
      <b/>
      <sz val="9"/>
      <color theme="1"/>
      <name val="Calibri"/>
      <family val="2"/>
      <scheme val="minor"/>
    </font>
    <font>
      <b/>
      <sz val="9"/>
      <color theme="1"/>
      <name val="Arial"/>
      <family val="2"/>
    </font>
    <font>
      <sz val="8"/>
      <color theme="1"/>
      <name val="Calibri"/>
      <family val="2"/>
      <scheme val="minor"/>
    </font>
    <font>
      <b/>
      <sz val="10"/>
      <color theme="0"/>
      <name val="Arial"/>
      <family val="2"/>
    </font>
    <font>
      <sz val="10"/>
      <color theme="1"/>
      <name val="Arial"/>
      <family val="2"/>
    </font>
    <font>
      <sz val="12"/>
      <color theme="0"/>
      <name val="Calibri"/>
      <family val="2"/>
      <scheme val="minor"/>
    </font>
    <font>
      <sz val="9"/>
      <color rgb="FF000000"/>
      <name val="Verdana"/>
      <family val="2"/>
    </font>
    <font>
      <sz val="9"/>
      <color theme="1"/>
      <name val="Calibri"/>
      <family val="2"/>
      <scheme val="minor"/>
    </font>
    <font>
      <sz val="9"/>
      <color theme="0"/>
      <name val="Calibri"/>
      <family val="2"/>
      <scheme val="minor"/>
    </font>
    <font>
      <b/>
      <sz val="12"/>
      <color theme="1"/>
      <name val="Calibri"/>
      <family val="2"/>
      <scheme val="minor"/>
    </font>
    <font>
      <i/>
      <sz val="9"/>
      <color theme="0"/>
      <name val="Verdana"/>
      <family val="2"/>
    </font>
  </fonts>
  <fills count="3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CCECFF"/>
        <bgColor indexed="64"/>
      </patternFill>
    </fill>
    <fill>
      <patternFill patternType="solid">
        <fgColor rgb="FFC3DBB6"/>
        <bgColor indexed="64"/>
      </patternFill>
    </fill>
    <fill>
      <patternFill patternType="solid">
        <fgColor theme="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99CCFF"/>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39870C"/>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
      <patternFill patternType="solid">
        <fgColor theme="8" tint="-0.499984740745262"/>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auto="1"/>
      </top>
      <bottom/>
      <diagonal/>
    </border>
    <border>
      <left style="medium">
        <color indexed="64"/>
      </left>
      <right/>
      <top/>
      <bottom style="thin">
        <color auto="1"/>
      </bottom>
      <diagonal/>
    </border>
    <border>
      <left style="thin">
        <color indexed="64"/>
      </left>
      <right style="thin">
        <color indexed="64"/>
      </right>
      <top/>
      <bottom/>
      <diagonal/>
    </border>
    <border>
      <left style="medium">
        <color indexed="64"/>
      </left>
      <right/>
      <top style="thin">
        <color auto="1"/>
      </top>
      <bottom style="thin">
        <color auto="1"/>
      </bottom>
      <diagonal/>
    </border>
    <border>
      <left/>
      <right style="thin">
        <color auto="1"/>
      </right>
      <top style="medium">
        <color indexed="64"/>
      </top>
      <bottom/>
      <diagonal/>
    </border>
    <border>
      <left/>
      <right/>
      <top style="thin">
        <color theme="1"/>
      </top>
      <bottom style="thin">
        <color auto="1"/>
      </bottom>
      <diagonal/>
    </border>
    <border>
      <left/>
      <right style="thin">
        <color indexed="64"/>
      </right>
      <top/>
      <bottom style="medium">
        <color indexed="64"/>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auto="1"/>
      </left>
      <right/>
      <top style="medium">
        <color indexed="64"/>
      </top>
      <bottom style="thin">
        <color auto="1"/>
      </bottom>
      <diagonal/>
    </border>
    <border>
      <left/>
      <right style="thin">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indexed="64"/>
      </top>
      <bottom/>
      <diagonal/>
    </border>
    <border>
      <left style="medium">
        <color auto="1"/>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right style="medium">
        <color indexed="64"/>
      </right>
      <top style="thin">
        <color auto="1"/>
      </top>
      <bottom style="thin">
        <color indexed="64"/>
      </bottom>
      <diagonal/>
    </border>
    <border>
      <left style="medium">
        <color auto="1"/>
      </left>
      <right style="thin">
        <color auto="1"/>
      </right>
      <top/>
      <bottom style="thin">
        <color auto="1"/>
      </bottom>
      <diagonal/>
    </border>
    <border>
      <left/>
      <right/>
      <top style="thin">
        <color theme="0"/>
      </top>
      <bottom style="thin">
        <color theme="0"/>
      </bottom>
      <diagonal/>
    </border>
    <border>
      <left/>
      <right style="thin">
        <color indexed="64"/>
      </right>
      <top style="thin">
        <color theme="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auto="1"/>
      </left>
      <right/>
      <top style="thin">
        <color theme="1"/>
      </top>
      <bottom style="thin">
        <color auto="1"/>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8">
    <xf numFmtId="0" fontId="0" fillId="0" borderId="0"/>
    <xf numFmtId="0" fontId="7" fillId="0" borderId="0" applyNumberFormat="0" applyFill="0" applyBorder="0" applyAlignment="0" applyProtection="0"/>
    <xf numFmtId="164" fontId="19" fillId="0" borderId="0" applyFont="0" applyFill="0" applyBorder="0" applyAlignment="0" applyProtection="0"/>
    <xf numFmtId="170" fontId="19" fillId="0" borderId="0" applyFont="0" applyFill="0" applyBorder="0" applyAlignment="0" applyProtection="0"/>
    <xf numFmtId="9" fontId="19" fillId="0" borderId="0" applyFont="0" applyFill="0" applyBorder="0" applyAlignment="0" applyProtection="0"/>
    <xf numFmtId="0" fontId="3" fillId="0" borderId="0"/>
    <xf numFmtId="0" fontId="88" fillId="0" borderId="0"/>
    <xf numFmtId="179" fontId="88" fillId="0" borderId="0" applyFont="0" applyFill="0" applyBorder="0" applyAlignment="0" applyProtection="0"/>
  </cellStyleXfs>
  <cellXfs count="781">
    <xf numFmtId="0" fontId="0" fillId="0" borderId="0" xfId="0"/>
    <xf numFmtId="0" fontId="6" fillId="0" borderId="0" xfId="0" applyFont="1"/>
    <xf numFmtId="0" fontId="6" fillId="0" borderId="0" xfId="0" applyFont="1" applyAlignment="1">
      <alignment horizontal="center"/>
    </xf>
    <xf numFmtId="0" fontId="6" fillId="0" borderId="0" xfId="0" applyFont="1" applyAlignment="1">
      <alignment vertical="center"/>
    </xf>
    <xf numFmtId="0" fontId="6" fillId="0" borderId="14" xfId="0" applyFont="1" applyBorder="1" applyAlignment="1">
      <alignment vertical="center"/>
    </xf>
    <xf numFmtId="0" fontId="6" fillId="0" borderId="16" xfId="0" applyFont="1" applyBorder="1" applyAlignment="1">
      <alignment vertical="center"/>
    </xf>
    <xf numFmtId="0" fontId="6" fillId="0" borderId="22" xfId="0" applyFont="1" applyBorder="1" applyAlignment="1">
      <alignment vertical="center"/>
    </xf>
    <xf numFmtId="0" fontId="6" fillId="0" borderId="21" xfId="0" applyFont="1" applyBorder="1" applyAlignment="1">
      <alignment vertical="center"/>
    </xf>
    <xf numFmtId="0" fontId="8" fillId="0" borderId="0" xfId="1" applyFont="1" applyFill="1" applyBorder="1" applyAlignment="1">
      <alignment vertical="center"/>
    </xf>
    <xf numFmtId="0" fontId="30" fillId="0" borderId="0" xfId="0" applyFont="1" applyAlignment="1">
      <alignment vertical="center"/>
    </xf>
    <xf numFmtId="0" fontId="30" fillId="0" borderId="0" xfId="0" quotePrefix="1" applyFont="1" applyAlignment="1">
      <alignment vertical="center"/>
    </xf>
    <xf numFmtId="0" fontId="37" fillId="0" borderId="0" xfId="1" applyFont="1" applyBorder="1" applyAlignment="1">
      <alignment vertical="center"/>
    </xf>
    <xf numFmtId="0" fontId="9" fillId="0" borderId="0" xfId="0" applyFont="1" applyAlignment="1">
      <alignment vertical="center"/>
    </xf>
    <xf numFmtId="0" fontId="9" fillId="0" borderId="15" xfId="0" applyFont="1" applyBorder="1" applyAlignment="1">
      <alignment vertical="center"/>
    </xf>
    <xf numFmtId="0" fontId="6" fillId="0" borderId="0" xfId="0" applyFont="1" applyAlignment="1">
      <alignment vertical="top" wrapText="1"/>
    </xf>
    <xf numFmtId="0" fontId="5" fillId="3" borderId="19" xfId="0" applyFont="1" applyFill="1" applyBorder="1" applyAlignment="1">
      <alignment vertical="center"/>
    </xf>
    <xf numFmtId="0" fontId="6" fillId="3" borderId="14" xfId="0" applyFont="1" applyFill="1" applyBorder="1" applyAlignment="1">
      <alignment vertical="center"/>
    </xf>
    <xf numFmtId="166" fontId="29" fillId="0" borderId="21" xfId="0" applyNumberFormat="1" applyFont="1" applyBorder="1" applyAlignment="1">
      <alignment wrapText="1"/>
    </xf>
    <xf numFmtId="166" fontId="29" fillId="0" borderId="15" xfId="0" applyNumberFormat="1" applyFont="1" applyBorder="1" applyAlignment="1">
      <alignment wrapText="1"/>
    </xf>
    <xf numFmtId="166" fontId="29" fillId="0" borderId="0" xfId="0" applyNumberFormat="1" applyFont="1" applyAlignment="1">
      <alignment wrapText="1"/>
    </xf>
    <xf numFmtId="166" fontId="29" fillId="0" borderId="22" xfId="0" applyNumberFormat="1" applyFont="1" applyBorder="1" applyAlignment="1">
      <alignment wrapText="1"/>
    </xf>
    <xf numFmtId="166" fontId="29" fillId="0" borderId="20" xfId="0" applyNumberFormat="1" applyFont="1" applyBorder="1" applyAlignment="1">
      <alignment wrapText="1"/>
    </xf>
    <xf numFmtId="166" fontId="29" fillId="0" borderId="25" xfId="0" applyNumberFormat="1" applyFont="1" applyBorder="1" applyAlignment="1">
      <alignment wrapText="1"/>
    </xf>
    <xf numFmtId="166" fontId="29" fillId="0" borderId="5" xfId="0" applyNumberFormat="1" applyFont="1" applyBorder="1" applyAlignment="1">
      <alignment wrapText="1"/>
    </xf>
    <xf numFmtId="166" fontId="29" fillId="0" borderId="26" xfId="0" applyNumberFormat="1" applyFont="1" applyBorder="1" applyAlignment="1">
      <alignment wrapText="1"/>
    </xf>
    <xf numFmtId="166" fontId="29" fillId="4" borderId="0" xfId="0" applyNumberFormat="1" applyFont="1" applyFill="1" applyAlignment="1">
      <alignment wrapText="1"/>
    </xf>
    <xf numFmtId="166" fontId="29" fillId="0" borderId="17" xfId="0" applyNumberFormat="1" applyFont="1" applyBorder="1" applyAlignment="1">
      <alignment wrapText="1"/>
    </xf>
    <xf numFmtId="0" fontId="30" fillId="0" borderId="20" xfId="0" applyFont="1" applyBorder="1" applyAlignment="1">
      <alignment vertical="center"/>
    </xf>
    <xf numFmtId="0" fontId="9" fillId="0" borderId="27" xfId="0" applyFont="1" applyBorder="1" applyAlignment="1">
      <alignment horizontal="left" vertical="center"/>
    </xf>
    <xf numFmtId="0" fontId="9" fillId="0" borderId="28" xfId="0" applyFont="1" applyBorder="1"/>
    <xf numFmtId="0" fontId="6" fillId="0" borderId="14" xfId="0" applyFont="1" applyBorder="1"/>
    <xf numFmtId="0" fontId="9" fillId="0" borderId="0" xfId="0" applyFont="1"/>
    <xf numFmtId="0" fontId="7" fillId="0" borderId="0" xfId="1" applyBorder="1" applyAlignment="1">
      <alignment vertical="center"/>
    </xf>
    <xf numFmtId="0" fontId="6" fillId="0" borderId="15" xfId="0" applyFont="1" applyBorder="1"/>
    <xf numFmtId="0" fontId="6" fillId="0" borderId="16" xfId="0" applyFont="1" applyBorder="1"/>
    <xf numFmtId="0" fontId="6" fillId="0" borderId="22" xfId="0" applyFont="1" applyBorder="1"/>
    <xf numFmtId="0" fontId="6" fillId="0" borderId="17" xfId="0" applyFont="1" applyBorder="1"/>
    <xf numFmtId="0" fontId="37" fillId="0" borderId="20" xfId="1" applyFont="1" applyBorder="1" applyAlignment="1">
      <alignment vertical="center"/>
    </xf>
    <xf numFmtId="0" fontId="9" fillId="0" borderId="19" xfId="0" applyFont="1" applyBorder="1" applyAlignment="1">
      <alignment vertical="center"/>
    </xf>
    <xf numFmtId="0" fontId="9" fillId="0" borderId="14"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15" xfId="0" applyFont="1" applyBorder="1" applyAlignment="1">
      <alignment vertical="center" wrapText="1"/>
    </xf>
    <xf numFmtId="0" fontId="9" fillId="0" borderId="16" xfId="0" applyFont="1" applyBorder="1" applyAlignment="1">
      <alignment vertical="center"/>
    </xf>
    <xf numFmtId="0" fontId="9" fillId="0" borderId="22" xfId="0" applyFont="1" applyBorder="1" applyAlignment="1">
      <alignment vertical="center"/>
    </xf>
    <xf numFmtId="0" fontId="6" fillId="0" borderId="19" xfId="0" applyFont="1" applyBorder="1"/>
    <xf numFmtId="0" fontId="6" fillId="0" borderId="20" xfId="0" applyFont="1" applyBorder="1"/>
    <xf numFmtId="0" fontId="6" fillId="0" borderId="21" xfId="0" applyFont="1" applyBorder="1"/>
    <xf numFmtId="0" fontId="5" fillId="0" borderId="0" xfId="0" applyFont="1"/>
    <xf numFmtId="0" fontId="5" fillId="6" borderId="0" xfId="0" applyFont="1" applyFill="1" applyAlignment="1">
      <alignment vertical="center"/>
    </xf>
    <xf numFmtId="0" fontId="6" fillId="6" borderId="0" xfId="0" applyFont="1" applyFill="1" applyAlignment="1">
      <alignment vertical="center"/>
    </xf>
    <xf numFmtId="0" fontId="6" fillId="6" borderId="0" xfId="0" applyFont="1" applyFill="1" applyAlignment="1">
      <alignment horizontal="left" vertical="center"/>
    </xf>
    <xf numFmtId="0" fontId="5" fillId="6" borderId="0" xfId="0" applyFont="1" applyFill="1" applyAlignment="1">
      <alignment vertical="top"/>
    </xf>
    <xf numFmtId="0" fontId="6" fillId="6" borderId="0" xfId="0" applyFont="1" applyFill="1" applyAlignment="1">
      <alignment vertical="top" wrapText="1"/>
    </xf>
    <xf numFmtId="0" fontId="24" fillId="6" borderId="0" xfId="0" applyFont="1" applyFill="1" applyAlignment="1">
      <alignment horizontal="right" vertical="center"/>
    </xf>
    <xf numFmtId="0" fontId="24" fillId="6" borderId="0" xfId="0" quotePrefix="1" applyFont="1" applyFill="1" applyAlignment="1">
      <alignment vertical="center" wrapText="1"/>
    </xf>
    <xf numFmtId="0" fontId="24" fillId="6" borderId="7" xfId="0" applyFont="1" applyFill="1" applyBorder="1" applyAlignment="1">
      <alignment horizontal="right" vertical="center" wrapText="1"/>
    </xf>
    <xf numFmtId="0" fontId="8" fillId="6" borderId="0" xfId="1" applyFont="1" applyFill="1" applyBorder="1" applyAlignment="1" applyProtection="1">
      <alignment vertical="center"/>
    </xf>
    <xf numFmtId="0" fontId="12" fillId="6" borderId="12" xfId="0" applyFont="1" applyFill="1" applyBorder="1"/>
    <xf numFmtId="0" fontId="5" fillId="6" borderId="0" xfId="0" applyFont="1" applyFill="1"/>
    <xf numFmtId="0" fontId="6" fillId="6" borderId="0" xfId="0" applyFont="1" applyFill="1" applyAlignment="1">
      <alignment horizontal="left" wrapText="1"/>
    </xf>
    <xf numFmtId="0" fontId="5" fillId="6" borderId="0" xfId="0" applyFont="1" applyFill="1" applyAlignment="1">
      <alignment horizontal="center" wrapText="1"/>
    </xf>
    <xf numFmtId="0" fontId="6" fillId="6" borderId="0" xfId="0" applyFont="1" applyFill="1" applyAlignment="1">
      <alignment vertical="center" wrapText="1"/>
    </xf>
    <xf numFmtId="0" fontId="5" fillId="6" borderId="0" xfId="0" applyFont="1" applyFill="1" applyAlignment="1">
      <alignment horizontal="right" vertical="top" wrapText="1"/>
    </xf>
    <xf numFmtId="0" fontId="14" fillId="6" borderId="0" xfId="0" applyFont="1" applyFill="1" applyAlignment="1">
      <alignment horizontal="right" vertical="center" wrapText="1"/>
    </xf>
    <xf numFmtId="0" fontId="5" fillId="6" borderId="22" xfId="0" applyFont="1" applyFill="1" applyBorder="1" applyAlignment="1">
      <alignment vertical="center"/>
    </xf>
    <xf numFmtId="0" fontId="6" fillId="6" borderId="0" xfId="0" applyFont="1" applyFill="1" applyAlignment="1">
      <alignment horizontal="left" vertical="center" wrapText="1"/>
    </xf>
    <xf numFmtId="0" fontId="5" fillId="6" borderId="0" xfId="0" applyFont="1" applyFill="1" applyAlignment="1">
      <alignment horizontal="center" vertical="center" wrapText="1"/>
    </xf>
    <xf numFmtId="0" fontId="5" fillId="6" borderId="12" xfId="0" applyFont="1" applyFill="1" applyBorder="1" applyAlignment="1">
      <alignment vertical="top"/>
    </xf>
    <xf numFmtId="0" fontId="6" fillId="6" borderId="12" xfId="0" applyFont="1" applyFill="1" applyBorder="1" applyAlignment="1">
      <alignment vertical="center"/>
    </xf>
    <xf numFmtId="0" fontId="6" fillId="6" borderId="12" xfId="0" applyFont="1" applyFill="1" applyBorder="1" applyAlignment="1">
      <alignment horizontal="center" vertical="center" wrapText="1"/>
    </xf>
    <xf numFmtId="0" fontId="13" fillId="6" borderId="0" xfId="0" applyFont="1" applyFill="1" applyAlignment="1">
      <alignment vertical="center"/>
    </xf>
    <xf numFmtId="0" fontId="6" fillId="6" borderId="5" xfId="0" applyFont="1" applyFill="1" applyBorder="1" applyAlignment="1">
      <alignment wrapText="1"/>
    </xf>
    <xf numFmtId="0" fontId="6" fillId="6" borderId="0" xfId="0" applyFont="1" applyFill="1" applyAlignment="1">
      <alignment wrapText="1"/>
    </xf>
    <xf numFmtId="0" fontId="12" fillId="6" borderId="0" xfId="0" applyFont="1" applyFill="1"/>
    <xf numFmtId="0" fontId="6" fillId="6" borderId="0" xfId="0" quotePrefix="1" applyFont="1" applyFill="1" applyAlignment="1">
      <alignment vertical="center"/>
    </xf>
    <xf numFmtId="165" fontId="13" fillId="6" borderId="9" xfId="0" applyNumberFormat="1" applyFont="1" applyFill="1" applyBorder="1" applyAlignment="1">
      <alignment horizontal="center" vertical="center"/>
    </xf>
    <xf numFmtId="2" fontId="33" fillId="6" borderId="5" xfId="2" applyNumberFormat="1" applyFont="1" applyFill="1" applyBorder="1" applyAlignment="1" applyProtection="1">
      <alignment horizontal="center" vertical="center"/>
      <protection hidden="1"/>
    </xf>
    <xf numFmtId="1" fontId="21" fillId="6" borderId="0" xfId="2" applyNumberFormat="1" applyFont="1" applyFill="1" applyBorder="1" applyAlignment="1" applyProtection="1">
      <alignment horizontal="center" vertical="center"/>
    </xf>
    <xf numFmtId="0" fontId="14" fillId="6" borderId="0" xfId="0" applyFont="1" applyFill="1" applyAlignment="1">
      <alignment vertical="center"/>
    </xf>
    <xf numFmtId="0" fontId="6" fillId="6" borderId="0" xfId="0" quotePrefix="1" applyFont="1" applyFill="1" applyAlignment="1">
      <alignment horizontal="center" vertical="center"/>
    </xf>
    <xf numFmtId="0" fontId="14" fillId="6" borderId="0" xfId="0" quotePrefix="1" applyFont="1" applyFill="1" applyAlignment="1">
      <alignment vertical="center"/>
    </xf>
    <xf numFmtId="0" fontId="13" fillId="6" borderId="12" xfId="0" applyFont="1" applyFill="1" applyBorder="1" applyAlignment="1">
      <alignment vertical="center"/>
    </xf>
    <xf numFmtId="22" fontId="14" fillId="6" borderId="0" xfId="0" applyNumberFormat="1" applyFont="1" applyFill="1" applyAlignment="1">
      <alignment vertical="center"/>
    </xf>
    <xf numFmtId="0" fontId="14" fillId="6" borderId="5" xfId="0" applyFont="1" applyFill="1" applyBorder="1" applyAlignment="1">
      <alignment horizontal="left" vertical="center"/>
    </xf>
    <xf numFmtId="0" fontId="6" fillId="6" borderId="0" xfId="0" applyFont="1" applyFill="1" applyAlignment="1" applyProtection="1">
      <alignment horizontal="center" vertical="center"/>
      <protection locked="0"/>
    </xf>
    <xf numFmtId="0" fontId="13" fillId="7" borderId="3" xfId="0" applyFont="1" applyFill="1" applyBorder="1" applyAlignment="1">
      <alignment vertical="center"/>
    </xf>
    <xf numFmtId="0" fontId="13" fillId="7" borderId="4" xfId="0" applyFont="1" applyFill="1" applyBorder="1" applyAlignment="1">
      <alignment vertical="center"/>
    </xf>
    <xf numFmtId="0" fontId="6" fillId="6" borderId="0" xfId="0" applyFont="1" applyFill="1" applyAlignment="1">
      <alignment vertical="top"/>
    </xf>
    <xf numFmtId="0" fontId="6" fillId="0" borderId="15" xfId="0" applyFont="1" applyBorder="1" applyAlignment="1">
      <alignment wrapText="1"/>
    </xf>
    <xf numFmtId="9" fontId="15" fillId="7" borderId="18" xfId="4" applyFont="1" applyFill="1" applyBorder="1" applyAlignment="1" applyProtection="1">
      <alignment horizontal="center" vertical="center" wrapText="1"/>
    </xf>
    <xf numFmtId="9" fontId="15" fillId="7" borderId="33" xfId="4" applyFont="1" applyFill="1" applyBorder="1" applyAlignment="1" applyProtection="1">
      <alignment horizontal="center" vertical="center" wrapText="1"/>
    </xf>
    <xf numFmtId="9" fontId="15" fillId="7" borderId="1" xfId="4" applyFont="1" applyFill="1" applyBorder="1" applyAlignment="1" applyProtection="1">
      <alignment horizontal="center" vertical="center" wrapText="1"/>
    </xf>
    <xf numFmtId="0" fontId="25" fillId="3" borderId="0" xfId="0" applyFont="1" applyFill="1"/>
    <xf numFmtId="1" fontId="6" fillId="3" borderId="1" xfId="0" applyNumberFormat="1" applyFont="1" applyFill="1" applyBorder="1" applyAlignment="1" applyProtection="1">
      <alignment horizontal="center" vertical="center"/>
      <protection locked="0"/>
    </xf>
    <xf numFmtId="165" fontId="6" fillId="3"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168" fontId="6" fillId="3" borderId="1" xfId="0" applyNumberFormat="1" applyFont="1" applyFill="1" applyBorder="1" applyAlignment="1" applyProtection="1">
      <alignment horizontal="center" vertical="center"/>
      <protection locked="0" hidden="1"/>
    </xf>
    <xf numFmtId="0" fontId="0" fillId="3" borderId="0" xfId="0" applyFill="1"/>
    <xf numFmtId="0" fontId="43" fillId="3" borderId="0" xfId="0" applyFont="1" applyFill="1"/>
    <xf numFmtId="0" fontId="25" fillId="3" borderId="0" xfId="0" applyFont="1" applyFill="1" applyAlignment="1">
      <alignment vertical="top"/>
    </xf>
    <xf numFmtId="0" fontId="9" fillId="0" borderId="17" xfId="0" applyFont="1" applyBorder="1" applyAlignment="1">
      <alignment vertical="center" wrapText="1"/>
    </xf>
    <xf numFmtId="0" fontId="25" fillId="6" borderId="0" xfId="0" applyFont="1" applyFill="1"/>
    <xf numFmtId="0" fontId="0" fillId="6" borderId="0" xfId="0" applyFill="1"/>
    <xf numFmtId="0" fontId="12" fillId="3" borderId="0" xfId="0" applyFont="1" applyFill="1" applyAlignment="1">
      <alignment vertical="center"/>
    </xf>
    <xf numFmtId="0" fontId="25" fillId="3" borderId="0" xfId="0" applyFont="1" applyFill="1" applyAlignment="1">
      <alignment vertical="center"/>
    </xf>
    <xf numFmtId="49" fontId="24" fillId="6" borderId="31" xfId="0" applyNumberFormat="1" applyFont="1" applyFill="1" applyBorder="1" applyAlignment="1">
      <alignment vertical="center"/>
    </xf>
    <xf numFmtId="49" fontId="24" fillId="6" borderId="9" xfId="0" applyNumberFormat="1" applyFont="1" applyFill="1" applyBorder="1" applyAlignment="1">
      <alignment vertical="center"/>
    </xf>
    <xf numFmtId="0" fontId="30" fillId="3" borderId="12" xfId="0" applyFont="1" applyFill="1" applyBorder="1"/>
    <xf numFmtId="0" fontId="25" fillId="3" borderId="12" xfId="0" applyFont="1" applyFill="1" applyBorder="1"/>
    <xf numFmtId="0" fontId="25" fillId="3" borderId="13" xfId="0" applyFont="1" applyFill="1" applyBorder="1"/>
    <xf numFmtId="0" fontId="25" fillId="3" borderId="7" xfId="0" applyFont="1" applyFill="1" applyBorder="1" applyAlignment="1">
      <alignment vertical="top"/>
    </xf>
    <xf numFmtId="0" fontId="25" fillId="6" borderId="21" xfId="0" applyFont="1" applyFill="1" applyBorder="1"/>
    <xf numFmtId="0" fontId="25" fillId="6" borderId="15" xfId="0" applyFont="1" applyFill="1" applyBorder="1"/>
    <xf numFmtId="0" fontId="25" fillId="3" borderId="32" xfId="0" applyFont="1" applyFill="1" applyBorder="1"/>
    <xf numFmtId="0" fontId="25" fillId="6" borderId="14" xfId="0" applyFont="1" applyFill="1" applyBorder="1"/>
    <xf numFmtId="0" fontId="25" fillId="6" borderId="16" xfId="0" applyFont="1" applyFill="1" applyBorder="1"/>
    <xf numFmtId="0" fontId="25" fillId="6" borderId="22" xfId="0" applyFont="1" applyFill="1" applyBorder="1"/>
    <xf numFmtId="0" fontId="25" fillId="6" borderId="17" xfId="0" applyFont="1" applyFill="1" applyBorder="1"/>
    <xf numFmtId="0" fontId="12" fillId="3" borderId="0" xfId="0" applyFont="1" applyFill="1"/>
    <xf numFmtId="0" fontId="22" fillId="3" borderId="0" xfId="0" applyFont="1" applyFill="1" applyAlignment="1">
      <alignment vertical="center"/>
    </xf>
    <xf numFmtId="0" fontId="22" fillId="3" borderId="0" xfId="0" applyFont="1" applyFill="1"/>
    <xf numFmtId="0" fontId="17" fillId="3" borderId="0" xfId="0" applyFont="1" applyFill="1" applyAlignment="1">
      <alignment wrapText="1"/>
    </xf>
    <xf numFmtId="0" fontId="22" fillId="3" borderId="0" xfId="0" applyFont="1" applyFill="1" applyAlignment="1">
      <alignment wrapText="1"/>
    </xf>
    <xf numFmtId="0" fontId="12" fillId="3" borderId="0" xfId="0" applyFont="1" applyFill="1" applyAlignment="1">
      <alignment horizontal="left" vertical="center" indent="1"/>
    </xf>
    <xf numFmtId="0" fontId="15" fillId="3" borderId="0" xfId="0" applyFont="1" applyFill="1" applyAlignment="1">
      <alignment vertical="center"/>
    </xf>
    <xf numFmtId="0" fontId="35" fillId="3" borderId="0" xfId="0" applyFont="1" applyFill="1" applyAlignment="1">
      <alignment vertical="center"/>
    </xf>
    <xf numFmtId="0" fontId="15" fillId="3" borderId="0" xfId="0" applyFont="1" applyFill="1"/>
    <xf numFmtId="0" fontId="34" fillId="3" borderId="0" xfId="0" applyFont="1" applyFill="1"/>
    <xf numFmtId="169" fontId="12" fillId="3" borderId="0" xfId="0" applyNumberFormat="1" applyFont="1" applyFill="1"/>
    <xf numFmtId="0" fontId="4" fillId="3" borderId="0" xfId="0" applyFont="1" applyFill="1"/>
    <xf numFmtId="167" fontId="22" fillId="3" borderId="0" xfId="0" applyNumberFormat="1" applyFont="1" applyFill="1"/>
    <xf numFmtId="0" fontId="6" fillId="6" borderId="0" xfId="0" applyFont="1" applyFill="1" applyAlignment="1">
      <alignment horizontal="center" vertical="center" wrapText="1"/>
    </xf>
    <xf numFmtId="0" fontId="5" fillId="6" borderId="0" xfId="0" applyFont="1" applyFill="1" applyAlignment="1">
      <alignment horizontal="right" vertical="center"/>
    </xf>
    <xf numFmtId="0" fontId="5" fillId="6" borderId="0" xfId="0" applyFont="1" applyFill="1" applyAlignment="1">
      <alignment horizontal="left" vertical="center"/>
    </xf>
    <xf numFmtId="0" fontId="31" fillId="6" borderId="0" xfId="0" applyFont="1" applyFill="1" applyAlignment="1">
      <alignment horizontal="left" vertical="center"/>
    </xf>
    <xf numFmtId="0" fontId="45" fillId="3" borderId="0" xfId="0" applyFont="1" applyFill="1"/>
    <xf numFmtId="0" fontId="38" fillId="6" borderId="0" xfId="0" quotePrefix="1" applyFont="1" applyFill="1" applyAlignment="1">
      <alignment horizontal="left" vertical="center"/>
    </xf>
    <xf numFmtId="0" fontId="13" fillId="7" borderId="9" xfId="0" applyFont="1" applyFill="1" applyBorder="1" applyAlignment="1">
      <alignment vertical="center"/>
    </xf>
    <xf numFmtId="0" fontId="32" fillId="6" borderId="0" xfId="0" applyFont="1" applyFill="1" applyAlignment="1">
      <alignment vertical="center" wrapText="1"/>
    </xf>
    <xf numFmtId="0" fontId="5" fillId="6" borderId="9" xfId="0" applyFont="1" applyFill="1" applyBorder="1" applyAlignment="1">
      <alignment vertical="top"/>
    </xf>
    <xf numFmtId="0" fontId="24" fillId="6" borderId="5" xfId="0" applyFont="1" applyFill="1" applyBorder="1" applyAlignment="1">
      <alignment vertical="center"/>
    </xf>
    <xf numFmtId="0" fontId="6" fillId="6" borderId="7" xfId="0" applyFont="1" applyFill="1" applyBorder="1" applyAlignment="1">
      <alignment vertical="center"/>
    </xf>
    <xf numFmtId="0" fontId="8" fillId="6" borderId="7" xfId="1" applyFont="1" applyFill="1" applyBorder="1" applyAlignment="1" applyProtection="1">
      <alignment vertical="center"/>
    </xf>
    <xf numFmtId="0" fontId="13" fillId="6" borderId="5" xfId="0" applyFont="1" applyFill="1" applyBorder="1" applyAlignment="1">
      <alignment horizontal="left" vertical="center"/>
    </xf>
    <xf numFmtId="0" fontId="13" fillId="7" borderId="2" xfId="0" applyFont="1" applyFill="1" applyBorder="1" applyAlignment="1">
      <alignment vertical="center"/>
    </xf>
    <xf numFmtId="0" fontId="13" fillId="6" borderId="5" xfId="0" applyFont="1" applyFill="1" applyBorder="1" applyAlignment="1">
      <alignment vertical="center"/>
    </xf>
    <xf numFmtId="0" fontId="13" fillId="6" borderId="5" xfId="0" applyFont="1" applyFill="1" applyBorder="1" applyAlignment="1">
      <alignment vertical="top"/>
    </xf>
    <xf numFmtId="0" fontId="25" fillId="6" borderId="11" xfId="0" applyFont="1" applyFill="1" applyBorder="1"/>
    <xf numFmtId="0" fontId="12" fillId="6" borderId="13" xfId="0" applyFont="1" applyFill="1" applyBorder="1"/>
    <xf numFmtId="0" fontId="26" fillId="6" borderId="5" xfId="0" applyFont="1" applyFill="1" applyBorder="1" applyAlignment="1">
      <alignment vertical="center"/>
    </xf>
    <xf numFmtId="0" fontId="31" fillId="6" borderId="5" xfId="0" quotePrefix="1" applyFont="1" applyFill="1" applyBorder="1" applyAlignment="1">
      <alignment vertical="center"/>
    </xf>
    <xf numFmtId="0" fontId="31" fillId="6" borderId="5" xfId="0" quotePrefix="1" applyFont="1" applyFill="1" applyBorder="1" applyAlignment="1">
      <alignment horizontal="left" vertical="center"/>
    </xf>
    <xf numFmtId="0" fontId="13" fillId="6" borderId="5" xfId="0" applyFont="1" applyFill="1" applyBorder="1" applyAlignment="1">
      <alignment horizontal="right" vertical="center"/>
    </xf>
    <xf numFmtId="0" fontId="5" fillId="6" borderId="26" xfId="0" applyFont="1" applyFill="1" applyBorder="1" applyAlignment="1">
      <alignment vertical="center"/>
    </xf>
    <xf numFmtId="0" fontId="5" fillId="6" borderId="37" xfId="0" applyFont="1" applyFill="1" applyBorder="1" applyAlignment="1">
      <alignment vertical="center"/>
    </xf>
    <xf numFmtId="0" fontId="5" fillId="6" borderId="5" xfId="0" applyFont="1" applyFill="1" applyBorder="1" applyAlignment="1">
      <alignment vertical="center"/>
    </xf>
    <xf numFmtId="0" fontId="5" fillId="6" borderId="7" xfId="0" applyFont="1" applyFill="1" applyBorder="1" applyAlignment="1">
      <alignment vertical="center"/>
    </xf>
    <xf numFmtId="0" fontId="13" fillId="6" borderId="11" xfId="0" applyFont="1" applyFill="1" applyBorder="1" applyAlignment="1">
      <alignment vertical="center"/>
    </xf>
    <xf numFmtId="0" fontId="6" fillId="6" borderId="13" xfId="0" applyFont="1" applyFill="1" applyBorder="1" applyAlignment="1">
      <alignment vertical="center"/>
    </xf>
    <xf numFmtId="0" fontId="13" fillId="6" borderId="7" xfId="0" applyFont="1" applyFill="1" applyBorder="1" applyAlignment="1">
      <alignment vertical="center"/>
    </xf>
    <xf numFmtId="0" fontId="12" fillId="6" borderId="7" xfId="0" applyFont="1" applyFill="1" applyBorder="1"/>
    <xf numFmtId="0" fontId="13" fillId="6" borderId="13" xfId="0" applyFont="1" applyFill="1" applyBorder="1" applyAlignment="1">
      <alignment vertical="center"/>
    </xf>
    <xf numFmtId="0" fontId="5" fillId="0" borderId="15" xfId="0" applyFont="1" applyBorder="1"/>
    <xf numFmtId="0" fontId="13" fillId="7" borderId="3" xfId="0" applyFont="1" applyFill="1" applyBorder="1" applyAlignment="1">
      <alignment horizontal="left" vertical="center"/>
    </xf>
    <xf numFmtId="0" fontId="13" fillId="6" borderId="5"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0" xfId="0" applyFont="1" applyFill="1" applyAlignment="1">
      <alignment horizontal="left" vertical="center"/>
    </xf>
    <xf numFmtId="0" fontId="13" fillId="3" borderId="1" xfId="0" applyFont="1" applyFill="1" applyBorder="1" applyAlignment="1" applyProtection="1">
      <alignment horizontal="center" vertical="center"/>
      <protection locked="0"/>
    </xf>
    <xf numFmtId="0" fontId="6" fillId="5" borderId="0" xfId="0" applyFont="1" applyFill="1" applyAlignment="1">
      <alignment horizontal="center" vertical="center"/>
    </xf>
    <xf numFmtId="0" fontId="6" fillId="5" borderId="0" xfId="0" applyFont="1" applyFill="1" applyAlignment="1">
      <alignment vertical="center"/>
    </xf>
    <xf numFmtId="0" fontId="13" fillId="5" borderId="5" xfId="0" applyFont="1" applyFill="1" applyBorder="1" applyAlignment="1">
      <alignment vertical="center"/>
    </xf>
    <xf numFmtId="0" fontId="30" fillId="3" borderId="44" xfId="0" applyFont="1" applyFill="1" applyBorder="1" applyAlignment="1" applyProtection="1">
      <alignment vertical="center" wrapText="1"/>
      <protection locked="0"/>
    </xf>
    <xf numFmtId="0" fontId="30" fillId="3" borderId="45" xfId="0" applyFont="1" applyFill="1" applyBorder="1" applyAlignment="1" applyProtection="1">
      <alignment vertical="center" wrapText="1"/>
      <protection locked="0"/>
    </xf>
    <xf numFmtId="2" fontId="30" fillId="9" borderId="45" xfId="3" applyNumberFormat="1" applyFont="1" applyFill="1" applyBorder="1" applyAlignment="1" applyProtection="1">
      <alignment horizontal="center" vertical="center"/>
    </xf>
    <xf numFmtId="2" fontId="30" fillId="3" borderId="44" xfId="3" applyNumberFormat="1" applyFont="1" applyFill="1" applyBorder="1" applyAlignment="1" applyProtection="1">
      <alignment horizontal="center" vertical="center"/>
      <protection locked="0"/>
    </xf>
    <xf numFmtId="0" fontId="30" fillId="3" borderId="49" xfId="0" applyFont="1" applyFill="1" applyBorder="1" applyAlignment="1" applyProtection="1">
      <alignment vertical="center" wrapText="1"/>
      <protection locked="0"/>
    </xf>
    <xf numFmtId="0" fontId="30" fillId="3" borderId="1" xfId="0" applyFont="1" applyFill="1" applyBorder="1" applyAlignment="1" applyProtection="1">
      <alignment vertical="center" wrapText="1"/>
      <protection locked="0"/>
    </xf>
    <xf numFmtId="0" fontId="9" fillId="3" borderId="1" xfId="0" applyFont="1" applyFill="1" applyBorder="1" applyAlignment="1" applyProtection="1">
      <alignment horizontal="center" vertical="center"/>
      <protection locked="0"/>
    </xf>
    <xf numFmtId="0" fontId="30" fillId="3" borderId="50" xfId="0" applyFont="1" applyFill="1" applyBorder="1" applyAlignment="1" applyProtection="1">
      <alignment horizontal="center" vertical="center" wrapText="1"/>
      <protection locked="0"/>
    </xf>
    <xf numFmtId="0" fontId="9" fillId="3" borderId="49" xfId="0" applyFont="1" applyFill="1" applyBorder="1" applyAlignment="1" applyProtection="1">
      <alignment horizontal="center" vertical="center"/>
      <protection locked="0"/>
    </xf>
    <xf numFmtId="0" fontId="9" fillId="3" borderId="1" xfId="0" applyFont="1" applyFill="1" applyBorder="1" applyAlignment="1">
      <alignment horizontal="center" vertical="center"/>
    </xf>
    <xf numFmtId="2" fontId="30" fillId="9" borderId="1" xfId="3" applyNumberFormat="1" applyFont="1" applyFill="1" applyBorder="1" applyAlignment="1" applyProtection="1">
      <alignment horizontal="center" vertical="center"/>
    </xf>
    <xf numFmtId="2" fontId="30" fillId="3" borderId="49" xfId="3" applyNumberFormat="1" applyFont="1" applyFill="1" applyBorder="1" applyAlignment="1" applyProtection="1">
      <alignment horizontal="center" vertical="center"/>
      <protection locked="0"/>
    </xf>
    <xf numFmtId="0" fontId="57" fillId="10" borderId="51" xfId="0" applyFont="1" applyFill="1" applyBorder="1" applyAlignment="1">
      <alignment horizontal="center" vertical="center"/>
    </xf>
    <xf numFmtId="0" fontId="30" fillId="3" borderId="52" xfId="0" applyFont="1" applyFill="1" applyBorder="1" applyAlignment="1" applyProtection="1">
      <alignment vertical="center" wrapText="1"/>
      <protection locked="0"/>
    </xf>
    <xf numFmtId="0" fontId="30" fillId="3" borderId="53" xfId="0" applyFont="1" applyFill="1" applyBorder="1" applyAlignment="1" applyProtection="1">
      <alignment vertical="center" wrapText="1"/>
      <protection locked="0"/>
    </xf>
    <xf numFmtId="0" fontId="30" fillId="3" borderId="54" xfId="0" applyFont="1" applyFill="1" applyBorder="1" applyAlignment="1" applyProtection="1">
      <alignment horizontal="center" vertical="center" wrapText="1"/>
      <protection locked="0"/>
    </xf>
    <xf numFmtId="0" fontId="9" fillId="3" borderId="52" xfId="0" applyFont="1" applyFill="1" applyBorder="1" applyAlignment="1" applyProtection="1">
      <alignment horizontal="center" vertical="center"/>
      <protection locked="0"/>
    </xf>
    <xf numFmtId="2" fontId="30" fillId="3" borderId="52" xfId="3" applyNumberFormat="1" applyFont="1" applyFill="1" applyBorder="1" applyAlignment="1" applyProtection="1">
      <alignment horizontal="center" vertical="center"/>
      <protection locked="0"/>
    </xf>
    <xf numFmtId="0" fontId="15" fillId="5" borderId="0" xfId="0" applyFont="1" applyFill="1" applyAlignment="1">
      <alignment vertical="center"/>
    </xf>
    <xf numFmtId="0" fontId="15" fillId="5" borderId="7" xfId="0" applyFont="1" applyFill="1" applyBorder="1" applyAlignment="1">
      <alignment vertical="center"/>
    </xf>
    <xf numFmtId="0" fontId="13" fillId="11" borderId="2" xfId="0" applyFont="1" applyFill="1" applyBorder="1" applyAlignment="1">
      <alignment vertical="center"/>
    </xf>
    <xf numFmtId="0" fontId="13" fillId="11" borderId="3" xfId="0" applyFont="1" applyFill="1" applyBorder="1" applyAlignment="1">
      <alignment vertical="center"/>
    </xf>
    <xf numFmtId="0" fontId="13" fillId="11" borderId="3" xfId="0" applyFont="1" applyFill="1" applyBorder="1" applyAlignment="1">
      <alignment horizontal="left" vertical="center"/>
    </xf>
    <xf numFmtId="0" fontId="6" fillId="5" borderId="0" xfId="0" applyFont="1" applyFill="1" applyAlignment="1">
      <alignment horizontal="left" vertical="center"/>
    </xf>
    <xf numFmtId="0" fontId="6" fillId="3" borderId="1" xfId="0" applyFont="1" applyFill="1" applyBorder="1" applyAlignment="1" applyProtection="1">
      <alignment horizontal="center" vertical="top"/>
      <protection locked="0"/>
    </xf>
    <xf numFmtId="0" fontId="15" fillId="11" borderId="3" xfId="0" applyFont="1" applyFill="1" applyBorder="1" applyAlignment="1">
      <alignment vertical="center"/>
    </xf>
    <xf numFmtId="0" fontId="15" fillId="11" borderId="4" xfId="0" applyFont="1" applyFill="1" applyBorder="1" applyAlignment="1">
      <alignment vertical="center"/>
    </xf>
    <xf numFmtId="0" fontId="4" fillId="5" borderId="0" xfId="0" applyFont="1" applyFill="1" applyAlignment="1">
      <alignment vertical="center" wrapText="1"/>
    </xf>
    <xf numFmtId="0" fontId="4" fillId="5" borderId="0" xfId="0" applyFont="1" applyFill="1" applyAlignment="1">
      <alignment horizontal="center" vertical="center"/>
    </xf>
    <xf numFmtId="0" fontId="4" fillId="5" borderId="0" xfId="0" applyFont="1" applyFill="1" applyAlignment="1">
      <alignment wrapText="1"/>
    </xf>
    <xf numFmtId="0" fontId="4" fillId="5" borderId="0" xfId="0" applyFont="1" applyFill="1" applyAlignment="1">
      <alignment horizontal="center" wrapText="1"/>
    </xf>
    <xf numFmtId="0" fontId="4" fillId="5" borderId="12" xfId="0" applyFont="1" applyFill="1" applyBorder="1" applyAlignment="1">
      <alignment wrapText="1"/>
    </xf>
    <xf numFmtId="171" fontId="30" fillId="8" borderId="1" xfId="0" applyNumberFormat="1" applyFont="1" applyFill="1" applyBorder="1" applyAlignment="1">
      <alignment horizontal="left" vertical="center" wrapText="1"/>
    </xf>
    <xf numFmtId="171" fontId="56" fillId="8" borderId="1" xfId="0" applyNumberFormat="1" applyFont="1" applyFill="1" applyBorder="1" applyAlignment="1">
      <alignment horizontal="left" vertical="center" wrapText="1"/>
    </xf>
    <xf numFmtId="170" fontId="56" fillId="8" borderId="1" xfId="3" applyFont="1" applyFill="1" applyBorder="1" applyAlignment="1" applyProtection="1">
      <alignment horizontal="right" vertical="center" wrapText="1"/>
    </xf>
    <xf numFmtId="171" fontId="56" fillId="8" borderId="1" xfId="0" applyNumberFormat="1" applyFont="1" applyFill="1" applyBorder="1" applyAlignment="1">
      <alignment horizontal="center" vertical="center" wrapText="1"/>
    </xf>
    <xf numFmtId="2" fontId="30" fillId="3" borderId="1" xfId="3" applyNumberFormat="1" applyFont="1" applyFill="1" applyBorder="1" applyAlignment="1" applyProtection="1">
      <alignment horizontal="center" vertical="center"/>
      <protection locked="0"/>
    </xf>
    <xf numFmtId="0" fontId="30" fillId="3" borderId="1" xfId="0" applyFont="1" applyFill="1" applyBorder="1" applyAlignment="1" applyProtection="1">
      <alignment horizontal="left" vertical="top" wrapText="1"/>
      <protection locked="0"/>
    </xf>
    <xf numFmtId="0" fontId="13" fillId="6" borderId="0" xfId="0" applyFont="1" applyFill="1" applyAlignment="1">
      <alignment horizontal="center" vertical="center"/>
    </xf>
    <xf numFmtId="0" fontId="23" fillId="6" borderId="0" xfId="0" applyFont="1" applyFill="1" applyAlignment="1">
      <alignment horizontal="left" vertical="center"/>
    </xf>
    <xf numFmtId="0" fontId="0" fillId="3" borderId="0" xfId="0" applyFill="1" applyAlignment="1">
      <alignment horizontal="center"/>
    </xf>
    <xf numFmtId="0" fontId="28" fillId="3" borderId="0" xfId="0" applyFont="1" applyFill="1" applyAlignment="1">
      <alignment horizontal="center" vertical="center"/>
    </xf>
    <xf numFmtId="0" fontId="15" fillId="3" borderId="0" xfId="0" applyFont="1" applyFill="1" applyAlignment="1">
      <alignment horizontal="center" vertical="center"/>
    </xf>
    <xf numFmtId="0" fontId="58" fillId="3" borderId="0" xfId="0" applyFont="1" applyFill="1" applyAlignment="1">
      <alignment horizontal="center" vertical="center"/>
    </xf>
    <xf numFmtId="0" fontId="0" fillId="3" borderId="0" xfId="0" applyFill="1" applyAlignment="1">
      <alignment horizontal="center" vertical="center"/>
    </xf>
    <xf numFmtId="0" fontId="12" fillId="3" borderId="0" xfId="0" applyFont="1" applyFill="1" applyAlignment="1">
      <alignment horizontal="center"/>
    </xf>
    <xf numFmtId="0" fontId="17" fillId="3" borderId="0" xfId="0" applyFont="1" applyFill="1" applyAlignment="1">
      <alignment horizontal="center" vertical="center"/>
    </xf>
    <xf numFmtId="0" fontId="12" fillId="3" borderId="0" xfId="0" applyFont="1" applyFill="1" applyAlignment="1">
      <alignment horizontal="center" vertical="center"/>
    </xf>
    <xf numFmtId="0" fontId="14" fillId="6" borderId="9" xfId="0" applyFont="1" applyFill="1" applyBorder="1" applyAlignment="1">
      <alignment vertical="center"/>
    </xf>
    <xf numFmtId="0" fontId="14" fillId="6" borderId="10" xfId="0" applyFont="1" applyFill="1" applyBorder="1" applyAlignment="1">
      <alignment vertical="center"/>
    </xf>
    <xf numFmtId="174" fontId="20" fillId="6" borderId="0" xfId="0" applyNumberFormat="1" applyFont="1" applyFill="1" applyAlignment="1">
      <alignment horizontal="left" vertical="center"/>
    </xf>
    <xf numFmtId="175" fontId="20" fillId="6" borderId="0" xfId="0" applyNumberFormat="1" applyFont="1" applyFill="1" applyAlignment="1">
      <alignment horizontal="left" vertical="center"/>
    </xf>
    <xf numFmtId="0" fontId="20" fillId="6" borderId="0" xfId="0" applyFont="1" applyFill="1" applyAlignment="1">
      <alignment vertical="center"/>
    </xf>
    <xf numFmtId="0" fontId="15" fillId="6" borderId="0" xfId="0" applyFont="1" applyFill="1" applyAlignment="1">
      <alignment vertical="center"/>
    </xf>
    <xf numFmtId="0" fontId="15" fillId="6" borderId="7" xfId="0" applyFont="1" applyFill="1" applyBorder="1" applyAlignment="1">
      <alignment vertical="center"/>
    </xf>
    <xf numFmtId="0" fontId="52" fillId="6" borderId="0" xfId="0" applyFont="1" applyFill="1" applyAlignment="1">
      <alignment horizontal="left" vertical="center"/>
    </xf>
    <xf numFmtId="0" fontId="52" fillId="6" borderId="7" xfId="0" applyFont="1" applyFill="1" applyBorder="1" applyAlignment="1">
      <alignment horizontal="left" vertical="center"/>
    </xf>
    <xf numFmtId="0" fontId="6" fillId="6" borderId="0" xfId="0" applyFont="1" applyFill="1"/>
    <xf numFmtId="14" fontId="6" fillId="6" borderId="0" xfId="0" applyNumberFormat="1" applyFont="1" applyFill="1" applyAlignment="1">
      <alignment horizontal="left" vertical="center"/>
    </xf>
    <xf numFmtId="0" fontId="15" fillId="6" borderId="0" xfId="0" applyFont="1" applyFill="1" applyAlignment="1">
      <alignment horizontal="left" vertical="center"/>
    </xf>
    <xf numFmtId="0" fontId="6" fillId="6" borderId="7" xfId="0" applyFont="1" applyFill="1" applyBorder="1" applyAlignment="1">
      <alignment horizontal="left" vertical="center"/>
    </xf>
    <xf numFmtId="0" fontId="52" fillId="6" borderId="0" xfId="0" applyFont="1" applyFill="1" applyAlignment="1">
      <alignment vertical="center"/>
    </xf>
    <xf numFmtId="0" fontId="52" fillId="6" borderId="7" xfId="0" applyFont="1" applyFill="1" applyBorder="1" applyAlignment="1">
      <alignment vertical="center"/>
    </xf>
    <xf numFmtId="0" fontId="5" fillId="6" borderId="5" xfId="0" applyFont="1" applyFill="1" applyBorder="1"/>
    <xf numFmtId="0" fontId="14" fillId="6" borderId="0" xfId="0" applyFont="1" applyFill="1"/>
    <xf numFmtId="0" fontId="14" fillId="6" borderId="7" xfId="0" applyFont="1" applyFill="1" applyBorder="1"/>
    <xf numFmtId="0" fontId="5" fillId="6" borderId="5" xfId="0" applyFont="1" applyFill="1" applyBorder="1" applyAlignment="1">
      <alignment horizontal="left"/>
    </xf>
    <xf numFmtId="0" fontId="5" fillId="6" borderId="0" xfId="0" applyFont="1" applyFill="1" applyAlignment="1">
      <alignment horizontal="left"/>
    </xf>
    <xf numFmtId="0" fontId="6" fillId="6" borderId="0" xfId="0" applyFont="1" applyFill="1" applyAlignment="1">
      <alignment horizontal="left"/>
    </xf>
    <xf numFmtId="0" fontId="14" fillId="6" borderId="0" xfId="0" applyFont="1" applyFill="1" applyAlignment="1">
      <alignment horizontal="left"/>
    </xf>
    <xf numFmtId="0" fontId="14" fillId="6" borderId="7" xfId="0" applyFont="1" applyFill="1" applyBorder="1" applyAlignment="1">
      <alignment horizontal="left"/>
    </xf>
    <xf numFmtId="0" fontId="23" fillId="6" borderId="5" xfId="0" applyFont="1" applyFill="1" applyBorder="1" applyAlignment="1">
      <alignment vertical="center"/>
    </xf>
    <xf numFmtId="0" fontId="13" fillId="7" borderId="4" xfId="0" applyFont="1" applyFill="1" applyBorder="1" applyAlignment="1">
      <alignment horizontal="left" vertical="center"/>
    </xf>
    <xf numFmtId="0" fontId="15" fillId="7" borderId="3" xfId="0" applyFont="1" applyFill="1" applyBorder="1" applyAlignment="1">
      <alignment vertical="center"/>
    </xf>
    <xf numFmtId="0" fontId="15" fillId="7" borderId="4" xfId="0" applyFont="1" applyFill="1" applyBorder="1" applyAlignment="1">
      <alignment vertical="center"/>
    </xf>
    <xf numFmtId="0" fontId="6" fillId="6" borderId="0" xfId="0" applyFont="1" applyFill="1" applyAlignment="1" applyProtection="1">
      <alignment vertical="center"/>
      <protection locked="0"/>
    </xf>
    <xf numFmtId="0" fontId="6" fillId="6" borderId="0" xfId="0" quotePrefix="1" applyFont="1" applyFill="1" applyAlignment="1">
      <alignment horizontal="left" vertical="center"/>
    </xf>
    <xf numFmtId="0" fontId="5" fillId="6" borderId="5" xfId="0" applyFont="1" applyFill="1" applyBorder="1" applyAlignment="1">
      <alignment vertical="top"/>
    </xf>
    <xf numFmtId="0" fontId="6" fillId="6" borderId="12" xfId="0" applyFont="1" applyFill="1" applyBorder="1" applyAlignment="1">
      <alignment horizontal="left" vertical="center"/>
    </xf>
    <xf numFmtId="0" fontId="52" fillId="6" borderId="5" xfId="0" applyFont="1" applyFill="1" applyBorder="1" applyAlignment="1">
      <alignment horizontal="left" vertical="top"/>
    </xf>
    <xf numFmtId="0" fontId="52" fillId="6" borderId="0" xfId="0" applyFont="1" applyFill="1" applyAlignment="1">
      <alignment horizontal="left" vertical="top"/>
    </xf>
    <xf numFmtId="0" fontId="5" fillId="6" borderId="7" xfId="0" applyFont="1" applyFill="1" applyBorder="1" applyAlignment="1">
      <alignment horizontal="right" vertical="top"/>
    </xf>
    <xf numFmtId="0" fontId="59" fillId="6" borderId="5" xfId="0" quotePrefix="1" applyFont="1" applyFill="1" applyBorder="1" applyAlignment="1">
      <alignment horizontal="left" vertical="top"/>
    </xf>
    <xf numFmtId="0" fontId="59" fillId="6" borderId="0" xfId="0" quotePrefix="1" applyFont="1" applyFill="1" applyAlignment="1">
      <alignment horizontal="left" vertical="top"/>
    </xf>
    <xf numFmtId="0" fontId="5" fillId="6" borderId="0" xfId="0" applyFont="1" applyFill="1" applyAlignment="1">
      <alignment horizontal="right" vertical="top"/>
    </xf>
    <xf numFmtId="0" fontId="5" fillId="6" borderId="7" xfId="0" applyFont="1" applyFill="1" applyBorder="1" applyAlignment="1">
      <alignment vertical="top"/>
    </xf>
    <xf numFmtId="0" fontId="5" fillId="6" borderId="7" xfId="0" applyFont="1" applyFill="1" applyBorder="1" applyAlignment="1">
      <alignment horizontal="right" vertical="top" wrapText="1"/>
    </xf>
    <xf numFmtId="0" fontId="5" fillId="6" borderId="7" xfId="0" applyFont="1" applyFill="1" applyBorder="1" applyAlignment="1">
      <alignment vertical="top" wrapText="1"/>
    </xf>
    <xf numFmtId="0" fontId="6" fillId="6" borderId="0" xfId="0" applyFont="1" applyFill="1" applyAlignment="1">
      <alignment horizontal="center" vertical="center"/>
    </xf>
    <xf numFmtId="176" fontId="6" fillId="6" borderId="1" xfId="0" applyNumberFormat="1" applyFont="1" applyFill="1" applyBorder="1" applyAlignment="1" applyProtection="1">
      <alignment horizontal="center" vertical="center"/>
      <protection locked="0"/>
    </xf>
    <xf numFmtId="0" fontId="4" fillId="6" borderId="0" xfId="0" applyFont="1" applyFill="1" applyAlignment="1">
      <alignment horizontal="center" vertical="center"/>
    </xf>
    <xf numFmtId="0" fontId="4" fillId="6" borderId="0" xfId="0" applyFont="1" applyFill="1" applyAlignment="1">
      <alignment wrapText="1"/>
    </xf>
    <xf numFmtId="0" fontId="4" fillId="6" borderId="0" xfId="0" applyFont="1" applyFill="1" applyAlignment="1">
      <alignment vertical="center" wrapText="1"/>
    </xf>
    <xf numFmtId="0" fontId="14" fillId="6" borderId="5" xfId="0" applyFont="1" applyFill="1" applyBorder="1" applyAlignment="1">
      <alignment vertical="top" wrapText="1"/>
    </xf>
    <xf numFmtId="0" fontId="60" fillId="6" borderId="0" xfId="0" applyFont="1" applyFill="1" applyAlignment="1">
      <alignment vertical="center"/>
    </xf>
    <xf numFmtId="0" fontId="15" fillId="6" borderId="13" xfId="0" applyFont="1" applyFill="1" applyBorder="1" applyAlignment="1">
      <alignment vertical="center"/>
    </xf>
    <xf numFmtId="0" fontId="5" fillId="6" borderId="12" xfId="0" applyFont="1" applyFill="1" applyBorder="1" applyAlignment="1">
      <alignment vertical="center"/>
    </xf>
    <xf numFmtId="0" fontId="15" fillId="6" borderId="12" xfId="0" applyFont="1" applyFill="1" applyBorder="1" applyAlignment="1">
      <alignment horizontal="left" vertical="center"/>
    </xf>
    <xf numFmtId="0" fontId="15" fillId="6" borderId="12" xfId="0" applyFont="1" applyFill="1" applyBorder="1" applyAlignment="1">
      <alignment vertical="center"/>
    </xf>
    <xf numFmtId="176" fontId="6" fillId="3" borderId="1" xfId="0" applyNumberFormat="1" applyFont="1" applyFill="1" applyBorder="1" applyAlignment="1" applyProtection="1">
      <alignment horizontal="center" vertical="center"/>
      <protection locked="0"/>
    </xf>
    <xf numFmtId="0" fontId="0" fillId="6" borderId="5" xfId="0" applyFill="1" applyBorder="1"/>
    <xf numFmtId="0" fontId="16"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9" fillId="3" borderId="2" xfId="0" applyFont="1" applyFill="1" applyBorder="1" applyAlignment="1" applyProtection="1">
      <alignment horizontal="center" vertical="center"/>
      <protection locked="0"/>
    </xf>
    <xf numFmtId="0" fontId="9" fillId="3" borderId="55" xfId="0" applyFont="1" applyFill="1" applyBorder="1" applyAlignment="1" applyProtection="1">
      <alignment horizontal="center" vertical="center"/>
      <protection locked="0"/>
    </xf>
    <xf numFmtId="0" fontId="9" fillId="3" borderId="56" xfId="0" applyFont="1" applyFill="1" applyBorder="1" applyAlignment="1">
      <alignment horizontal="center" vertical="center"/>
    </xf>
    <xf numFmtId="0" fontId="4" fillId="6" borderId="12" xfId="0" applyFont="1" applyFill="1" applyBorder="1" applyAlignment="1">
      <alignment horizontal="center" wrapText="1"/>
    </xf>
    <xf numFmtId="0" fontId="4" fillId="3" borderId="0" xfId="0" applyFont="1" applyFill="1" applyAlignment="1">
      <alignment wrapText="1"/>
    </xf>
    <xf numFmtId="49" fontId="20" fillId="7" borderId="4" xfId="0" applyNumberFormat="1" applyFont="1" applyFill="1" applyBorder="1" applyAlignment="1">
      <alignment horizontal="left" vertical="center"/>
    </xf>
    <xf numFmtId="0" fontId="14" fillId="6" borderId="0" xfId="0" applyFont="1" applyFill="1" applyAlignment="1">
      <alignment horizontal="center" vertical="center"/>
    </xf>
    <xf numFmtId="0" fontId="46" fillId="6" borderId="7" xfId="0" applyFont="1" applyFill="1" applyBorder="1" applyAlignment="1">
      <alignment vertical="center"/>
    </xf>
    <xf numFmtId="0" fontId="47" fillId="6" borderId="0" xfId="0" applyFont="1" applyFill="1" applyAlignment="1">
      <alignment horizontal="left" vertical="center"/>
    </xf>
    <xf numFmtId="0" fontId="5" fillId="6" borderId="9" xfId="0" applyFont="1" applyFill="1" applyBorder="1" applyAlignment="1">
      <alignment horizontal="right" vertical="center"/>
    </xf>
    <xf numFmtId="0" fontId="14" fillId="6" borderId="9" xfId="0" applyFont="1" applyFill="1" applyBorder="1" applyAlignment="1">
      <alignment horizontal="center" vertical="center"/>
    </xf>
    <xf numFmtId="0" fontId="14" fillId="6" borderId="7" xfId="0" applyFont="1" applyFill="1" applyBorder="1" applyAlignment="1">
      <alignment horizontal="left" vertical="center"/>
    </xf>
    <xf numFmtId="0" fontId="23" fillId="6" borderId="11" xfId="0" applyFont="1" applyFill="1" applyBorder="1" applyAlignment="1">
      <alignment vertical="center"/>
    </xf>
    <xf numFmtId="0" fontId="5" fillId="6" borderId="12" xfId="0" applyFont="1" applyFill="1" applyBorder="1" applyAlignment="1">
      <alignment horizontal="left" vertical="center"/>
    </xf>
    <xf numFmtId="0" fontId="6" fillId="6" borderId="12" xfId="0" applyFont="1" applyFill="1" applyBorder="1" applyAlignment="1">
      <alignment horizontal="center" vertical="center"/>
    </xf>
    <xf numFmtId="171" fontId="21" fillId="6" borderId="0" xfId="0" applyNumberFormat="1" applyFont="1" applyFill="1" applyAlignment="1">
      <alignment horizontal="left" vertical="center"/>
    </xf>
    <xf numFmtId="171" fontId="6" fillId="6" borderId="0" xfId="0" applyNumberFormat="1" applyFont="1" applyFill="1" applyAlignment="1">
      <alignment vertical="center"/>
    </xf>
    <xf numFmtId="171" fontId="46" fillId="6" borderId="0" xfId="0" applyNumberFormat="1" applyFont="1" applyFill="1" applyAlignment="1">
      <alignment horizontal="left" vertical="center"/>
    </xf>
    <xf numFmtId="2" fontId="9" fillId="6" borderId="0" xfId="0" applyNumberFormat="1" applyFont="1" applyFill="1" applyAlignment="1">
      <alignment vertical="center"/>
    </xf>
    <xf numFmtId="0" fontId="51" fillId="6" borderId="0" xfId="0" applyFont="1" applyFill="1" applyAlignment="1">
      <alignment horizontal="left" vertical="center"/>
    </xf>
    <xf numFmtId="0" fontId="46" fillId="6" borderId="0" xfId="0" applyFont="1" applyFill="1" applyAlignment="1">
      <alignment vertical="center"/>
    </xf>
    <xf numFmtId="0" fontId="46" fillId="6" borderId="0" xfId="0" applyFont="1" applyFill="1" applyAlignment="1">
      <alignment horizontal="left" vertical="center" wrapText="1"/>
    </xf>
    <xf numFmtId="0" fontId="46" fillId="6" borderId="0" xfId="0" applyFont="1" applyFill="1" applyAlignment="1">
      <alignment horizontal="left" vertical="center"/>
    </xf>
    <xf numFmtId="0" fontId="17" fillId="6" borderId="5" xfId="0" applyFont="1" applyFill="1" applyBorder="1" applyAlignment="1">
      <alignment horizontal="center" vertical="center" wrapText="1"/>
    </xf>
    <xf numFmtId="0" fontId="17" fillId="6" borderId="0" xfId="0" applyFont="1" applyFill="1" applyAlignment="1">
      <alignment vertical="center" wrapText="1"/>
    </xf>
    <xf numFmtId="0" fontId="54" fillId="6" borderId="0" xfId="0" applyFont="1" applyFill="1" applyAlignment="1">
      <alignment vertical="center" wrapText="1"/>
    </xf>
    <xf numFmtId="0" fontId="55" fillId="6" borderId="0" xfId="0" applyFont="1" applyFill="1" applyAlignment="1">
      <alignment vertical="center" wrapText="1"/>
    </xf>
    <xf numFmtId="0" fontId="50" fillId="6" borderId="0" xfId="0" applyFont="1" applyFill="1" applyAlignment="1">
      <alignment vertical="center"/>
    </xf>
    <xf numFmtId="0" fontId="4" fillId="6" borderId="5" xfId="0" applyFont="1" applyFill="1" applyBorder="1" applyAlignment="1">
      <alignment horizontal="center" vertical="center" wrapText="1"/>
    </xf>
    <xf numFmtId="0" fontId="56" fillId="6" borderId="0" xfId="0" applyFont="1" applyFill="1" applyAlignment="1">
      <alignment wrapText="1"/>
    </xf>
    <xf numFmtId="171" fontId="46" fillId="6" borderId="0" xfId="0" applyNumberFormat="1" applyFont="1" applyFill="1" applyAlignment="1">
      <alignment horizontal="center" wrapText="1"/>
    </xf>
    <xf numFmtId="0" fontId="30" fillId="6" borderId="14" xfId="0" applyFont="1" applyFill="1" applyBorder="1" applyAlignment="1">
      <alignment horizontal="center" wrapText="1"/>
    </xf>
    <xf numFmtId="0" fontId="30" fillId="6" borderId="0" xfId="0" applyFont="1" applyFill="1" applyAlignment="1">
      <alignment horizontal="center" wrapText="1"/>
    </xf>
    <xf numFmtId="0" fontId="56" fillId="6" borderId="15" xfId="0" applyFont="1" applyFill="1" applyBorder="1" applyAlignment="1">
      <alignment horizontal="center" wrapText="1"/>
    </xf>
    <xf numFmtId="0" fontId="30" fillId="6" borderId="0" xfId="0" applyFont="1" applyFill="1" applyAlignment="1">
      <alignment horizontal="center" textRotation="90" wrapText="1"/>
    </xf>
    <xf numFmtId="0" fontId="56" fillId="6" borderId="0" xfId="0" applyFont="1" applyFill="1" applyAlignment="1">
      <alignment horizontal="center" wrapText="1"/>
    </xf>
    <xf numFmtId="0" fontId="24" fillId="6" borderId="5" xfId="0" applyFont="1" applyFill="1" applyBorder="1" applyAlignment="1">
      <alignment horizontal="center" vertical="center"/>
    </xf>
    <xf numFmtId="0" fontId="47" fillId="6" borderId="5" xfId="0" applyFont="1" applyFill="1" applyBorder="1" applyAlignment="1">
      <alignment horizontal="left" vertical="center"/>
    </xf>
    <xf numFmtId="0" fontId="15" fillId="6" borderId="0" xfId="0" applyFont="1" applyFill="1" applyAlignment="1">
      <alignment vertical="center" wrapText="1"/>
    </xf>
    <xf numFmtId="0" fontId="4" fillId="6" borderId="0" xfId="0" applyFont="1" applyFill="1" applyAlignment="1">
      <alignment horizontal="right" vertical="center" wrapText="1"/>
    </xf>
    <xf numFmtId="0" fontId="4" fillId="6" borderId="7" xfId="0" applyFont="1" applyFill="1" applyBorder="1" applyAlignment="1">
      <alignment horizontal="right" vertical="center" wrapText="1"/>
    </xf>
    <xf numFmtId="0" fontId="4" fillId="6" borderId="7" xfId="0" applyFont="1" applyFill="1" applyBorder="1" applyAlignment="1">
      <alignment horizontal="right" vertical="center"/>
    </xf>
    <xf numFmtId="0" fontId="12" fillId="6" borderId="12" xfId="0" applyFont="1" applyFill="1" applyBorder="1" applyAlignment="1">
      <alignment horizontal="center"/>
    </xf>
    <xf numFmtId="2" fontId="56" fillId="13" borderId="47" xfId="2" applyNumberFormat="1" applyFont="1" applyFill="1" applyBorder="1" applyAlignment="1" applyProtection="1">
      <alignment horizontal="center" vertical="center"/>
    </xf>
    <xf numFmtId="2" fontId="56" fillId="13" borderId="2" xfId="2" applyNumberFormat="1" applyFont="1" applyFill="1" applyBorder="1" applyAlignment="1" applyProtection="1">
      <alignment horizontal="center" vertical="center"/>
    </xf>
    <xf numFmtId="2" fontId="56" fillId="14" borderId="50" xfId="3" applyNumberFormat="1" applyFont="1" applyFill="1" applyBorder="1" applyAlignment="1" applyProtection="1">
      <alignment horizontal="center" vertical="center"/>
    </xf>
    <xf numFmtId="2" fontId="56" fillId="14" borderId="46" xfId="3" applyNumberFormat="1" applyFont="1" applyFill="1" applyBorder="1" applyAlignment="1" applyProtection="1">
      <alignment horizontal="center" vertical="center"/>
    </xf>
    <xf numFmtId="2" fontId="56" fillId="14" borderId="54" xfId="3" applyNumberFormat="1" applyFont="1" applyFill="1" applyBorder="1" applyAlignment="1" applyProtection="1">
      <alignment horizontal="center" vertical="center"/>
    </xf>
    <xf numFmtId="0" fontId="17" fillId="6" borderId="15" xfId="0" applyFont="1" applyFill="1" applyBorder="1" applyAlignment="1">
      <alignment horizontal="center" wrapText="1"/>
    </xf>
    <xf numFmtId="0" fontId="14" fillId="6" borderId="0" xfId="0" applyFont="1" applyFill="1" applyAlignment="1">
      <alignment horizontal="right" vertical="center"/>
    </xf>
    <xf numFmtId="0" fontId="13" fillId="6" borderId="7" xfId="0" applyFont="1" applyFill="1" applyBorder="1" applyAlignment="1">
      <alignment horizontal="left" vertical="center"/>
    </xf>
    <xf numFmtId="0" fontId="6" fillId="6" borderId="0" xfId="0" applyFont="1" applyFill="1" applyAlignment="1">
      <alignment horizontal="right" vertical="center"/>
    </xf>
    <xf numFmtId="0" fontId="5" fillId="6" borderId="0" xfId="0" applyFont="1" applyFill="1" applyAlignment="1">
      <alignment horizontal="left" vertical="center" wrapText="1"/>
    </xf>
    <xf numFmtId="171" fontId="5" fillId="6" borderId="0" xfId="0" applyNumberFormat="1" applyFont="1" applyFill="1" applyAlignment="1">
      <alignment wrapText="1"/>
    </xf>
    <xf numFmtId="0" fontId="17" fillId="6" borderId="18" xfId="0" applyFont="1" applyFill="1" applyBorder="1" applyAlignment="1">
      <alignment horizontal="center" vertical="center" wrapText="1"/>
    </xf>
    <xf numFmtId="0" fontId="60" fillId="6" borderId="0" xfId="0" applyFont="1" applyFill="1" applyAlignment="1">
      <alignment horizontal="right" wrapText="1"/>
    </xf>
    <xf numFmtId="0" fontId="17" fillId="6" borderId="7" xfId="0" applyFont="1" applyFill="1" applyBorder="1" applyAlignment="1">
      <alignment wrapText="1"/>
    </xf>
    <xf numFmtId="2" fontId="17" fillId="6" borderId="1" xfId="0" applyNumberFormat="1" applyFont="1" applyFill="1" applyBorder="1" applyAlignment="1">
      <alignment horizontal="center" vertical="center" wrapText="1"/>
    </xf>
    <xf numFmtId="2" fontId="17" fillId="6" borderId="33" xfId="0" applyNumberFormat="1" applyFont="1" applyFill="1" applyBorder="1" applyAlignment="1">
      <alignment horizontal="center" vertical="center" wrapText="1"/>
    </xf>
    <xf numFmtId="0" fontId="17" fillId="6" borderId="0" xfId="0" applyFont="1" applyFill="1" applyAlignment="1">
      <alignment horizontal="right" wrapText="1"/>
    </xf>
    <xf numFmtId="0" fontId="17" fillId="6" borderId="0" xfId="0" applyFont="1" applyFill="1"/>
    <xf numFmtId="0" fontId="4" fillId="6" borderId="7" xfId="0" applyFont="1" applyFill="1" applyBorder="1" applyAlignment="1">
      <alignment wrapText="1"/>
    </xf>
    <xf numFmtId="0" fontId="12" fillId="6" borderId="11" xfId="0" applyFont="1" applyFill="1" applyBorder="1" applyAlignment="1">
      <alignment horizontal="center" vertical="top" wrapText="1"/>
    </xf>
    <xf numFmtId="0" fontId="30" fillId="6" borderId="7" xfId="0" applyFont="1" applyFill="1" applyBorder="1" applyAlignment="1">
      <alignment vertical="center"/>
    </xf>
    <xf numFmtId="2" fontId="56" fillId="14" borderId="1" xfId="3" applyNumberFormat="1" applyFont="1" applyFill="1" applyBorder="1" applyAlignment="1" applyProtection="1">
      <alignment horizontal="center" vertical="center"/>
    </xf>
    <xf numFmtId="0" fontId="12" fillId="3" borderId="0" xfId="0" applyFont="1" applyFill="1" applyAlignment="1">
      <alignment horizontal="right"/>
    </xf>
    <xf numFmtId="0" fontId="53" fillId="3" borderId="0" xfId="0" applyFont="1" applyFill="1" applyAlignment="1">
      <alignment horizontal="center" vertical="center"/>
    </xf>
    <xf numFmtId="0" fontId="49" fillId="3" borderId="0" xfId="0" applyFont="1" applyFill="1" applyAlignment="1">
      <alignment horizontal="center"/>
    </xf>
    <xf numFmtId="0" fontId="13" fillId="7" borderId="1" xfId="0" applyFont="1" applyFill="1" applyBorder="1" applyAlignment="1">
      <alignment vertical="center"/>
    </xf>
    <xf numFmtId="0" fontId="20" fillId="7" borderId="1" xfId="0" applyFont="1" applyFill="1" applyBorder="1" applyAlignment="1">
      <alignment horizontal="center" vertical="center"/>
    </xf>
    <xf numFmtId="178" fontId="20" fillId="7" borderId="4" xfId="0" applyNumberFormat="1" applyFont="1" applyFill="1" applyBorder="1" applyAlignment="1">
      <alignment horizontal="left" vertical="center"/>
    </xf>
    <xf numFmtId="0" fontId="13" fillId="6" borderId="5" xfId="0" applyFont="1" applyFill="1" applyBorder="1" applyAlignment="1">
      <alignment vertical="center" wrapText="1"/>
    </xf>
    <xf numFmtId="0" fontId="13" fillId="6" borderId="0" xfId="0" applyFont="1" applyFill="1" applyAlignment="1">
      <alignment vertical="center" wrapText="1"/>
    </xf>
    <xf numFmtId="0" fontId="4" fillId="6" borderId="12" xfId="0" applyFont="1" applyFill="1" applyBorder="1" applyAlignment="1">
      <alignment wrapText="1"/>
    </xf>
    <xf numFmtId="0" fontId="17" fillId="6" borderId="6" xfId="0" applyFont="1" applyFill="1" applyBorder="1" applyAlignment="1">
      <alignment horizontal="center" wrapText="1"/>
    </xf>
    <xf numFmtId="0" fontId="17" fillId="6" borderId="12" xfId="0" applyFont="1" applyFill="1" applyBorder="1" applyAlignment="1">
      <alignment horizontal="center" wrapText="1"/>
    </xf>
    <xf numFmtId="0" fontId="9" fillId="15" borderId="14" xfId="0" applyFont="1" applyFill="1" applyBorder="1" applyAlignment="1">
      <alignment vertical="center"/>
    </xf>
    <xf numFmtId="171" fontId="9" fillId="6" borderId="0" xfId="0" applyNumberFormat="1" applyFont="1" applyFill="1" applyAlignment="1">
      <alignment horizontal="left" vertical="center"/>
    </xf>
    <xf numFmtId="0" fontId="46" fillId="6" borderId="5" xfId="0" applyFont="1" applyFill="1" applyBorder="1" applyAlignment="1">
      <alignment horizontal="left" vertical="center"/>
    </xf>
    <xf numFmtId="0" fontId="13" fillId="6" borderId="5" xfId="0" quotePrefix="1" applyFont="1" applyFill="1" applyBorder="1" applyAlignment="1">
      <alignment vertical="center" wrapText="1"/>
    </xf>
    <xf numFmtId="0" fontId="13" fillId="6" borderId="0" xfId="0" quotePrefix="1" applyFont="1" applyFill="1" applyAlignment="1">
      <alignment vertical="center" wrapText="1"/>
    </xf>
    <xf numFmtId="0" fontId="20" fillId="7" borderId="2" xfId="0" applyFont="1" applyFill="1" applyBorder="1" applyAlignment="1">
      <alignment vertical="center"/>
    </xf>
    <xf numFmtId="0" fontId="20" fillId="7" borderId="3" xfId="0" applyFont="1" applyFill="1" applyBorder="1" applyAlignment="1">
      <alignment vertical="center"/>
    </xf>
    <xf numFmtId="0" fontId="20" fillId="7" borderId="4" xfId="0" applyFont="1" applyFill="1" applyBorder="1" applyAlignment="1">
      <alignment vertical="center"/>
    </xf>
    <xf numFmtId="0" fontId="63" fillId="3" borderId="0" xfId="0" applyFont="1" applyFill="1"/>
    <xf numFmtId="1" fontId="6" fillId="0" borderId="0" xfId="0" applyNumberFormat="1" applyFont="1"/>
    <xf numFmtId="0" fontId="64" fillId="6" borderId="0" xfId="0" applyFont="1" applyFill="1" applyAlignment="1">
      <alignment vertical="center"/>
    </xf>
    <xf numFmtId="0" fontId="63" fillId="3" borderId="0" xfId="0" applyFont="1" applyFill="1" applyAlignment="1">
      <alignment vertical="center"/>
    </xf>
    <xf numFmtId="14" fontId="9" fillId="6" borderId="0" xfId="0" applyNumberFormat="1" applyFont="1" applyFill="1" applyAlignment="1">
      <alignment vertical="center"/>
    </xf>
    <xf numFmtId="171" fontId="9" fillId="6" borderId="0" xfId="0" applyNumberFormat="1" applyFont="1" applyFill="1" applyAlignment="1">
      <alignment vertical="center"/>
    </xf>
    <xf numFmtId="0" fontId="65" fillId="18" borderId="1" xfId="5" applyFont="1" applyFill="1" applyBorder="1"/>
    <xf numFmtId="0" fontId="66" fillId="7" borderId="30" xfId="5" applyFont="1" applyFill="1" applyBorder="1"/>
    <xf numFmtId="0" fontId="41" fillId="0" borderId="0" xfId="5" applyFont="1"/>
    <xf numFmtId="0" fontId="67" fillId="19" borderId="1" xfId="5" applyFont="1" applyFill="1" applyBorder="1"/>
    <xf numFmtId="0" fontId="41" fillId="2" borderId="19" xfId="5" applyFont="1" applyFill="1" applyBorder="1"/>
    <xf numFmtId="0" fontId="41" fillId="20" borderId="20" xfId="5" applyFont="1" applyFill="1" applyBorder="1"/>
    <xf numFmtId="0" fontId="41" fillId="20" borderId="21" xfId="5" applyFont="1" applyFill="1" applyBorder="1"/>
    <xf numFmtId="0" fontId="41" fillId="20" borderId="0" xfId="5" applyFont="1" applyFill="1"/>
    <xf numFmtId="0" fontId="41" fillId="20" borderId="15" xfId="5" applyFont="1" applyFill="1" applyBorder="1"/>
    <xf numFmtId="0" fontId="41" fillId="0" borderId="15" xfId="5" applyFont="1" applyBorder="1"/>
    <xf numFmtId="0" fontId="41" fillId="21" borderId="19" xfId="5" applyFont="1" applyFill="1" applyBorder="1"/>
    <xf numFmtId="0" fontId="41" fillId="0" borderId="20" xfId="5" applyFont="1" applyBorder="1"/>
    <xf numFmtId="0" fontId="41" fillId="0" borderId="21" xfId="5" applyFont="1" applyBorder="1"/>
    <xf numFmtId="0" fontId="41" fillId="22" borderId="19" xfId="5" applyFont="1" applyFill="1" applyBorder="1"/>
    <xf numFmtId="0" fontId="41" fillId="23" borderId="19" xfId="5" applyFont="1" applyFill="1" applyBorder="1"/>
    <xf numFmtId="0" fontId="41" fillId="24" borderId="19" xfId="5" applyFont="1" applyFill="1" applyBorder="1"/>
    <xf numFmtId="0" fontId="41" fillId="25" borderId="19" xfId="5" applyFont="1" applyFill="1" applyBorder="1"/>
    <xf numFmtId="0" fontId="41" fillId="4" borderId="19" xfId="5" applyFont="1" applyFill="1" applyBorder="1"/>
    <xf numFmtId="0" fontId="41" fillId="26" borderId="19" xfId="5" applyFont="1" applyFill="1" applyBorder="1"/>
    <xf numFmtId="0" fontId="41" fillId="16" borderId="19" xfId="5" applyFont="1" applyFill="1" applyBorder="1"/>
    <xf numFmtId="0" fontId="41" fillId="17" borderId="19" xfId="5" applyFont="1" applyFill="1" applyBorder="1" applyAlignment="1">
      <alignment vertical="top" wrapText="1"/>
    </xf>
    <xf numFmtId="171" fontId="64" fillId="6" borderId="0" xfId="0" applyNumberFormat="1" applyFont="1" applyFill="1" applyAlignment="1">
      <alignment horizontal="left" vertical="center"/>
    </xf>
    <xf numFmtId="1" fontId="36" fillId="6" borderId="0" xfId="0" applyNumberFormat="1" applyFont="1" applyFill="1" applyAlignment="1">
      <alignment vertical="center" wrapText="1"/>
    </xf>
    <xf numFmtId="0" fontId="69" fillId="6" borderId="0" xfId="1" applyFont="1" applyFill="1" applyBorder="1" applyAlignment="1" applyProtection="1">
      <alignment vertical="center"/>
    </xf>
    <xf numFmtId="171" fontId="70" fillId="6" borderId="0" xfId="0" applyNumberFormat="1" applyFont="1" applyFill="1" applyAlignment="1">
      <alignment horizontal="left" vertical="center"/>
    </xf>
    <xf numFmtId="14" fontId="71" fillId="6" borderId="0" xfId="0" applyNumberFormat="1" applyFont="1" applyFill="1" applyAlignment="1">
      <alignment horizontal="left" vertical="center"/>
    </xf>
    <xf numFmtId="0" fontId="71" fillId="6" borderId="0" xfId="0" applyFont="1" applyFill="1" applyAlignment="1">
      <alignment horizontal="left" vertical="center"/>
    </xf>
    <xf numFmtId="0" fontId="35" fillId="3" borderId="0" xfId="0" applyFont="1" applyFill="1"/>
    <xf numFmtId="0" fontId="5" fillId="6" borderId="23" xfId="0" applyFont="1" applyFill="1" applyBorder="1" applyAlignment="1">
      <alignment vertical="center"/>
    </xf>
    <xf numFmtId="0" fontId="5" fillId="6" borderId="24" xfId="0" applyFont="1" applyFill="1" applyBorder="1" applyAlignment="1">
      <alignment vertical="center" wrapText="1"/>
    </xf>
    <xf numFmtId="0" fontId="5" fillId="6" borderId="23" xfId="0" applyFont="1" applyFill="1" applyBorder="1" applyAlignment="1">
      <alignment horizontal="center" vertical="center"/>
    </xf>
    <xf numFmtId="1" fontId="17" fillId="6" borderId="24" xfId="0" applyNumberFormat="1" applyFont="1" applyFill="1" applyBorder="1" applyAlignment="1">
      <alignment horizontal="center" vertical="center"/>
    </xf>
    <xf numFmtId="1" fontId="17" fillId="6" borderId="29" xfId="0" applyNumberFormat="1" applyFont="1" applyFill="1" applyBorder="1" applyAlignment="1">
      <alignment horizontal="center" vertical="center"/>
    </xf>
    <xf numFmtId="1" fontId="17" fillId="6" borderId="23" xfId="0" applyNumberFormat="1" applyFont="1" applyFill="1" applyBorder="1" applyAlignment="1">
      <alignment horizontal="left" vertical="center"/>
    </xf>
    <xf numFmtId="1" fontId="17" fillId="6" borderId="24" xfId="0" applyNumberFormat="1" applyFont="1" applyFill="1" applyBorder="1" applyAlignment="1">
      <alignment horizontal="left" vertical="center"/>
    </xf>
    <xf numFmtId="1" fontId="17" fillId="6" borderId="29" xfId="0" applyNumberFormat="1" applyFont="1" applyFill="1" applyBorder="1" applyAlignment="1">
      <alignment horizontal="left" vertical="center"/>
    </xf>
    <xf numFmtId="0" fontId="28" fillId="27" borderId="0" xfId="0" applyFont="1" applyFill="1" applyAlignment="1">
      <alignment horizontal="center"/>
    </xf>
    <xf numFmtId="0" fontId="5" fillId="6" borderId="19" xfId="0" applyFont="1" applyFill="1" applyBorder="1" applyAlignment="1">
      <alignment vertical="center"/>
    </xf>
    <xf numFmtId="0" fontId="5" fillId="6" borderId="20" xfId="0" applyFont="1" applyFill="1" applyBorder="1" applyAlignment="1">
      <alignment vertical="center"/>
    </xf>
    <xf numFmtId="0" fontId="5" fillId="6" borderId="30" xfId="0" applyFont="1" applyFill="1" applyBorder="1" applyAlignment="1">
      <alignment vertical="center"/>
    </xf>
    <xf numFmtId="0" fontId="18" fillId="6" borderId="20" xfId="0" applyFont="1" applyFill="1" applyBorder="1" applyAlignment="1">
      <alignment vertical="center"/>
    </xf>
    <xf numFmtId="0" fontId="17" fillId="6" borderId="19" xfId="0" applyFont="1" applyFill="1" applyBorder="1" applyAlignment="1">
      <alignment horizontal="center"/>
    </xf>
    <xf numFmtId="0" fontId="17" fillId="6" borderId="14" xfId="0" applyFont="1" applyFill="1" applyBorder="1" applyAlignment="1">
      <alignment horizontal="center"/>
    </xf>
    <xf numFmtId="0" fontId="17" fillId="6" borderId="16" xfId="0" applyFont="1" applyFill="1" applyBorder="1" applyAlignment="1">
      <alignment horizontal="center"/>
    </xf>
    <xf numFmtId="0" fontId="72" fillId="6" borderId="9" xfId="0" applyFont="1" applyFill="1" applyBorder="1" applyAlignment="1">
      <alignment horizontal="left" vertical="center" wrapText="1"/>
    </xf>
    <xf numFmtId="0" fontId="64" fillId="6" borderId="9" xfId="0" applyFont="1" applyFill="1" applyBorder="1" applyAlignment="1">
      <alignment vertical="center"/>
    </xf>
    <xf numFmtId="0" fontId="64" fillId="6" borderId="7" xfId="0" applyFont="1" applyFill="1" applyBorder="1" applyAlignment="1">
      <alignment vertical="center"/>
    </xf>
    <xf numFmtId="0" fontId="73" fillId="6" borderId="0" xfId="1" applyFont="1" applyFill="1" applyBorder="1" applyAlignment="1" applyProtection="1">
      <alignment vertical="center"/>
    </xf>
    <xf numFmtId="0" fontId="73" fillId="6" borderId="7" xfId="1" applyFont="1" applyFill="1" applyBorder="1" applyAlignment="1" applyProtection="1">
      <alignment vertical="center"/>
    </xf>
    <xf numFmtId="0" fontId="13" fillId="6" borderId="10" xfId="0" applyFont="1" applyFill="1" applyBorder="1" applyAlignment="1">
      <alignment horizontal="right" vertical="center"/>
    </xf>
    <xf numFmtId="0" fontId="68" fillId="6" borderId="5" xfId="0" applyFont="1" applyFill="1" applyBorder="1" applyAlignment="1">
      <alignment vertical="center" wrapText="1"/>
    </xf>
    <xf numFmtId="0" fontId="68" fillId="6" borderId="0" xfId="0" applyFont="1" applyFill="1" applyAlignment="1">
      <alignment vertical="center" wrapText="1"/>
    </xf>
    <xf numFmtId="0" fontId="68" fillId="6" borderId="0" xfId="0" applyFont="1" applyFill="1" applyAlignment="1">
      <alignment horizontal="right" vertical="center" wrapText="1"/>
    </xf>
    <xf numFmtId="0" fontId="74" fillId="6" borderId="0" xfId="0" applyFont="1" applyFill="1" applyAlignment="1">
      <alignment vertical="center"/>
    </xf>
    <xf numFmtId="0" fontId="75" fillId="6" borderId="0" xfId="1" applyFont="1" applyFill="1" applyBorder="1" applyAlignment="1" applyProtection="1">
      <alignment vertical="center"/>
    </xf>
    <xf numFmtId="49" fontId="16" fillId="7" borderId="1" xfId="0" applyNumberFormat="1" applyFont="1" applyFill="1" applyBorder="1" applyAlignment="1">
      <alignment vertical="center"/>
    </xf>
    <xf numFmtId="0" fontId="30" fillId="3" borderId="47" xfId="0" applyFont="1" applyFill="1" applyBorder="1" applyAlignment="1" applyProtection="1">
      <alignment horizontal="center" vertical="center" wrapText="1"/>
      <protection locked="0"/>
    </xf>
    <xf numFmtId="0" fontId="9" fillId="3" borderId="48" xfId="0" applyFont="1" applyFill="1" applyBorder="1" applyAlignment="1" applyProtection="1">
      <alignment horizontal="center" vertical="center"/>
      <protection locked="0"/>
    </xf>
    <xf numFmtId="0" fontId="9" fillId="3" borderId="61" xfId="0" applyFont="1" applyFill="1" applyBorder="1" applyAlignment="1" applyProtection="1">
      <alignment horizontal="center" vertical="center"/>
      <protection locked="0"/>
    </xf>
    <xf numFmtId="0" fontId="15" fillId="3" borderId="0" xfId="0" applyFont="1" applyFill="1" applyAlignment="1">
      <alignment horizontal="right" vertical="center"/>
    </xf>
    <xf numFmtId="0" fontId="15" fillId="3" borderId="0" xfId="0" applyFont="1" applyFill="1" applyAlignment="1">
      <alignment wrapText="1"/>
    </xf>
    <xf numFmtId="0" fontId="32" fillId="6" borderId="0" xfId="0" applyFont="1" applyFill="1" applyAlignment="1">
      <alignment vertical="center"/>
    </xf>
    <xf numFmtId="0" fontId="25" fillId="0" borderId="0" xfId="0" applyFont="1" applyAlignment="1">
      <alignment vertical="center"/>
    </xf>
    <xf numFmtId="0" fontId="25" fillId="3" borderId="0" xfId="0" applyFont="1" applyFill="1" applyAlignment="1">
      <alignment vertical="top" wrapText="1"/>
    </xf>
    <xf numFmtId="0" fontId="25" fillId="3" borderId="7" xfId="0" applyFont="1" applyFill="1" applyBorder="1" applyAlignment="1">
      <alignment vertical="top" wrapText="1"/>
    </xf>
    <xf numFmtId="0" fontId="25" fillId="3" borderId="1" xfId="0" applyFont="1" applyFill="1" applyBorder="1" applyAlignment="1">
      <alignment horizontal="center" vertical="center"/>
    </xf>
    <xf numFmtId="0" fontId="0" fillId="3" borderId="1" xfId="0" applyFill="1" applyBorder="1" applyAlignment="1">
      <alignment horizontal="center" vertical="center"/>
    </xf>
    <xf numFmtId="0" fontId="24" fillId="3" borderId="1" xfId="0" applyFont="1" applyFill="1" applyBorder="1" applyAlignment="1">
      <alignment vertical="center"/>
    </xf>
    <xf numFmtId="0" fontId="25" fillId="3" borderId="4" xfId="0" applyFont="1" applyFill="1" applyBorder="1" applyAlignment="1">
      <alignment horizontal="left" vertical="center" wrapText="1"/>
    </xf>
    <xf numFmtId="0" fontId="0" fillId="3" borderId="4" xfId="0" applyFill="1" applyBorder="1" applyAlignment="1">
      <alignment horizontal="left" vertical="center" wrapText="1"/>
    </xf>
    <xf numFmtId="0" fontId="44" fillId="3" borderId="0" xfId="0" applyFont="1" applyFill="1" applyAlignment="1">
      <alignment horizontal="left" vertical="center" indent="1"/>
    </xf>
    <xf numFmtId="0" fontId="63" fillId="3" borderId="0" xfId="0" applyFont="1" applyFill="1" applyAlignment="1">
      <alignment horizontal="left" vertical="center" indent="1"/>
    </xf>
    <xf numFmtId="0" fontId="81" fillId="3" borderId="0" xfId="0" applyFont="1" applyFill="1" applyAlignment="1">
      <alignment vertical="top" wrapText="1"/>
    </xf>
    <xf numFmtId="0" fontId="64" fillId="3" borderId="0" xfId="0" applyFont="1" applyFill="1"/>
    <xf numFmtId="9" fontId="0" fillId="0" borderId="0" xfId="4" applyFont="1"/>
    <xf numFmtId="9" fontId="6" fillId="0" borderId="0" xfId="4" applyFont="1"/>
    <xf numFmtId="0" fontId="36" fillId="6" borderId="0" xfId="0" applyFont="1" applyFill="1" applyAlignment="1">
      <alignment horizontal="left" vertical="center" wrapText="1"/>
    </xf>
    <xf numFmtId="0" fontId="81" fillId="3" borderId="1" xfId="4" applyNumberFormat="1" applyFont="1" applyFill="1" applyBorder="1" applyAlignment="1" applyProtection="1">
      <alignment horizontal="center" vertical="center"/>
      <protection locked="0"/>
    </xf>
    <xf numFmtId="4" fontId="56" fillId="8" borderId="1" xfId="3" applyNumberFormat="1" applyFont="1" applyFill="1" applyBorder="1" applyAlignment="1" applyProtection="1">
      <alignment horizontal="right" vertical="center" wrapText="1"/>
    </xf>
    <xf numFmtId="2" fontId="81" fillId="3" borderId="1" xfId="4" applyNumberFormat="1" applyFont="1" applyFill="1" applyBorder="1" applyAlignment="1" applyProtection="1">
      <alignment horizontal="center" vertical="center"/>
    </xf>
    <xf numFmtId="0" fontId="81" fillId="3" borderId="1" xfId="4" applyNumberFormat="1" applyFont="1" applyFill="1" applyBorder="1" applyAlignment="1" applyProtection="1">
      <alignment horizontal="center" vertical="center"/>
    </xf>
    <xf numFmtId="0" fontId="76" fillId="3" borderId="0" xfId="0" applyFont="1" applyFill="1" applyAlignment="1">
      <alignment horizontal="left" vertical="center" indent="1"/>
    </xf>
    <xf numFmtId="0" fontId="76" fillId="3" borderId="0" xfId="0" applyFont="1" applyFill="1" applyAlignment="1">
      <alignment horizontal="left" vertical="center"/>
    </xf>
    <xf numFmtId="0" fontId="35" fillId="3" borderId="0" xfId="0" applyFont="1" applyFill="1" applyAlignment="1">
      <alignment horizontal="left" vertical="center"/>
    </xf>
    <xf numFmtId="0" fontId="76" fillId="3" borderId="0" xfId="0" applyFont="1" applyFill="1" applyAlignment="1">
      <alignment horizontal="left"/>
    </xf>
    <xf numFmtId="2" fontId="35" fillId="3" borderId="0" xfId="0" applyNumberFormat="1" applyFont="1" applyFill="1"/>
    <xf numFmtId="0" fontId="24" fillId="3" borderId="0" xfId="0" applyFont="1" applyFill="1" applyAlignment="1">
      <alignment vertical="top"/>
    </xf>
    <xf numFmtId="172" fontId="84" fillId="6" borderId="0" xfId="0" applyNumberFormat="1" applyFont="1" applyFill="1" applyAlignment="1">
      <alignment vertical="center"/>
    </xf>
    <xf numFmtId="0" fontId="28" fillId="3" borderId="0" xfId="0" applyFont="1" applyFill="1" applyAlignment="1">
      <alignment horizontal="right" vertical="center"/>
    </xf>
    <xf numFmtId="0" fontId="35" fillId="3" borderId="0" xfId="0" applyFont="1" applyFill="1" applyAlignment="1">
      <alignment horizontal="center"/>
    </xf>
    <xf numFmtId="0" fontId="23" fillId="3" borderId="1" xfId="0" applyFont="1" applyFill="1" applyBorder="1" applyAlignment="1" applyProtection="1">
      <alignment horizontal="center" vertical="center"/>
      <protection locked="0"/>
    </xf>
    <xf numFmtId="165" fontId="6" fillId="3" borderId="1" xfId="0" applyNumberFormat="1" applyFont="1" applyFill="1" applyBorder="1" applyAlignment="1" applyProtection="1">
      <alignment horizontal="center" vertical="center"/>
      <protection locked="0" hidden="1"/>
    </xf>
    <xf numFmtId="0" fontId="30" fillId="3" borderId="64" xfId="0" applyFont="1" applyFill="1" applyBorder="1" applyAlignment="1" applyProtection="1">
      <alignment vertical="center" wrapText="1"/>
      <protection locked="0"/>
    </xf>
    <xf numFmtId="0" fontId="30" fillId="3" borderId="18" xfId="0" applyFont="1" applyFill="1" applyBorder="1" applyAlignment="1" applyProtection="1">
      <alignment vertical="center" wrapText="1"/>
      <protection locked="0"/>
    </xf>
    <xf numFmtId="0" fontId="30" fillId="3" borderId="65" xfId="0" applyFont="1" applyFill="1" applyBorder="1" applyAlignment="1" applyProtection="1">
      <alignment horizontal="center" vertical="center" wrapText="1"/>
      <protection locked="0"/>
    </xf>
    <xf numFmtId="0" fontId="9" fillId="3" borderId="64"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2" fontId="30" fillId="3" borderId="64" xfId="3" applyNumberFormat="1" applyFont="1" applyFill="1" applyBorder="1" applyAlignment="1" applyProtection="1">
      <alignment horizontal="center" vertical="center"/>
      <protection locked="0"/>
    </xf>
    <xf numFmtId="0" fontId="9" fillId="3" borderId="1" xfId="0" applyFont="1" applyFill="1" applyBorder="1" applyAlignment="1" applyProtection="1">
      <alignment vertical="center"/>
      <protection locked="0"/>
    </xf>
    <xf numFmtId="171" fontId="83" fillId="6" borderId="0" xfId="0" applyNumberFormat="1" applyFont="1" applyFill="1" applyAlignment="1">
      <alignment vertical="center" wrapText="1"/>
    </xf>
    <xf numFmtId="0" fontId="2" fillId="0" borderId="0" xfId="0" applyFont="1" applyAlignment="1">
      <alignment vertical="center"/>
    </xf>
    <xf numFmtId="0" fontId="9" fillId="3" borderId="44" xfId="0" applyFont="1" applyFill="1" applyBorder="1" applyAlignment="1" applyProtection="1">
      <alignment horizontal="center" vertical="center"/>
      <protection locked="0"/>
    </xf>
    <xf numFmtId="0" fontId="46" fillId="12" borderId="47" xfId="0" applyFont="1" applyFill="1" applyBorder="1" applyAlignment="1">
      <alignment horizontal="center" vertical="center"/>
    </xf>
    <xf numFmtId="0" fontId="46" fillId="12" borderId="2" xfId="0" applyFont="1" applyFill="1" applyBorder="1" applyAlignment="1">
      <alignment horizontal="center" vertical="center"/>
    </xf>
    <xf numFmtId="0" fontId="46" fillId="12" borderId="55" xfId="0" applyFont="1" applyFill="1" applyBorder="1" applyAlignment="1">
      <alignment horizontal="center" vertical="center"/>
    </xf>
    <xf numFmtId="170" fontId="30" fillId="3" borderId="44" xfId="3" applyFont="1" applyFill="1" applyBorder="1" applyAlignment="1" applyProtection="1">
      <alignment horizontal="center" vertical="center"/>
      <protection locked="0"/>
    </xf>
    <xf numFmtId="170" fontId="30" fillId="3" borderId="49" xfId="3" applyFont="1" applyFill="1" applyBorder="1" applyAlignment="1" applyProtection="1">
      <alignment horizontal="center" vertical="center"/>
      <protection locked="0"/>
    </xf>
    <xf numFmtId="170" fontId="30" fillId="3" borderId="64" xfId="3" applyFont="1" applyFill="1" applyBorder="1" applyAlignment="1" applyProtection="1">
      <alignment horizontal="center" vertical="center"/>
      <protection locked="0"/>
    </xf>
    <xf numFmtId="170" fontId="30" fillId="3" borderId="52" xfId="3" applyFont="1" applyFill="1" applyBorder="1" applyAlignment="1" applyProtection="1">
      <alignment horizontal="center" vertical="center"/>
      <protection locked="0"/>
    </xf>
    <xf numFmtId="2" fontId="49" fillId="3" borderId="0" xfId="3" applyNumberFormat="1" applyFont="1" applyFill="1" applyBorder="1" applyAlignment="1" applyProtection="1">
      <alignment horizontal="center" vertical="center"/>
    </xf>
    <xf numFmtId="0" fontId="20" fillId="6" borderId="0" xfId="0" applyFont="1" applyFill="1" applyAlignment="1">
      <alignment horizontal="left" vertical="center"/>
    </xf>
    <xf numFmtId="14" fontId="9" fillId="3" borderId="1" xfId="0" applyNumberFormat="1" applyFont="1" applyFill="1" applyBorder="1" applyAlignment="1" applyProtection="1">
      <alignment vertical="center"/>
      <protection locked="0"/>
    </xf>
    <xf numFmtId="2" fontId="56" fillId="14" borderId="1" xfId="3" applyNumberFormat="1" applyFont="1" applyFill="1" applyBorder="1" applyAlignment="1" applyProtection="1">
      <alignment horizontal="center" vertical="center"/>
      <protection locked="0"/>
    </xf>
    <xf numFmtId="0" fontId="85" fillId="3" borderId="0" xfId="0" applyFont="1" applyFill="1" applyAlignment="1">
      <alignment vertical="center"/>
    </xf>
    <xf numFmtId="0" fontId="85" fillId="3" borderId="0" xfId="0" applyFont="1" applyFill="1" applyAlignment="1">
      <alignment horizontal="right" vertical="center"/>
    </xf>
    <xf numFmtId="0" fontId="86" fillId="3" borderId="0" xfId="0" applyFont="1" applyFill="1"/>
    <xf numFmtId="0" fontId="30" fillId="0" borderId="0" xfId="0" applyFont="1"/>
    <xf numFmtId="0" fontId="4" fillId="0" borderId="0" xfId="0" applyFont="1" applyAlignment="1">
      <alignment vertical="center"/>
    </xf>
    <xf numFmtId="0" fontId="87" fillId="0" borderId="0" xfId="0" applyFont="1"/>
    <xf numFmtId="0" fontId="7" fillId="0" borderId="0" xfId="1"/>
    <xf numFmtId="0" fontId="4" fillId="0" borderId="0" xfId="0" applyFont="1"/>
    <xf numFmtId="0" fontId="1" fillId="0" borderId="0" xfId="0" applyFont="1"/>
    <xf numFmtId="0" fontId="22" fillId="6" borderId="0" xfId="0" applyFont="1" applyFill="1" applyAlignment="1">
      <alignment vertical="center"/>
    </xf>
    <xf numFmtId="0" fontId="5" fillId="6" borderId="24" xfId="0" applyFont="1" applyFill="1" applyBorder="1" applyAlignment="1">
      <alignment vertical="center"/>
    </xf>
    <xf numFmtId="0" fontId="6" fillId="15" borderId="0" xfId="0" applyFont="1" applyFill="1"/>
    <xf numFmtId="0" fontId="9" fillId="15" borderId="22" xfId="0" applyFont="1" applyFill="1" applyBorder="1" applyAlignment="1">
      <alignment vertical="center"/>
    </xf>
    <xf numFmtId="0" fontId="9" fillId="15" borderId="0" xfId="0" applyFont="1" applyFill="1" applyAlignment="1">
      <alignment vertical="center"/>
    </xf>
    <xf numFmtId="0" fontId="6" fillId="15" borderId="14" xfId="0" applyFont="1" applyFill="1" applyBorder="1"/>
    <xf numFmtId="0" fontId="6" fillId="15" borderId="16" xfId="0" applyFont="1" applyFill="1" applyBorder="1"/>
    <xf numFmtId="0" fontId="67" fillId="19" borderId="1" xfId="0" applyFont="1" applyFill="1" applyBorder="1" applyProtection="1">
      <protection locked="0"/>
    </xf>
    <xf numFmtId="0" fontId="65" fillId="18" borderId="1" xfId="0" applyFont="1" applyFill="1" applyBorder="1"/>
    <xf numFmtId="1" fontId="30" fillId="6" borderId="24" xfId="0" applyNumberFormat="1" applyFont="1" applyFill="1" applyBorder="1" applyAlignment="1">
      <alignment vertical="center"/>
    </xf>
    <xf numFmtId="0" fontId="9" fillId="0" borderId="20" xfId="0" applyFont="1" applyBorder="1"/>
    <xf numFmtId="0" fontId="91" fillId="2" borderId="2" xfId="0" applyFont="1" applyFill="1" applyBorder="1" applyAlignment="1">
      <alignment vertical="top" wrapText="1"/>
    </xf>
    <xf numFmtId="0" fontId="91" fillId="2" borderId="1" xfId="0" applyFont="1" applyFill="1" applyBorder="1" applyAlignment="1">
      <alignment vertical="top" wrapText="1"/>
    </xf>
    <xf numFmtId="0" fontId="91" fillId="2" borderId="1" xfId="0" applyFont="1" applyFill="1" applyBorder="1" applyAlignment="1">
      <alignment vertical="top"/>
    </xf>
    <xf numFmtId="0" fontId="91" fillId="2" borderId="4" xfId="0" applyFont="1" applyFill="1" applyBorder="1" applyAlignment="1">
      <alignment vertical="top"/>
    </xf>
    <xf numFmtId="0" fontId="9" fillId="0" borderId="21" xfId="0" applyFont="1" applyBorder="1"/>
    <xf numFmtId="0" fontId="9" fillId="0" borderId="22" xfId="0" applyFont="1" applyBorder="1"/>
    <xf numFmtId="0" fontId="9" fillId="0" borderId="15" xfId="0" applyFont="1" applyBorder="1"/>
    <xf numFmtId="0" fontId="92" fillId="19" borderId="1" xfId="0" applyFont="1" applyFill="1" applyBorder="1"/>
    <xf numFmtId="0" fontId="93" fillId="2" borderId="1" xfId="0" applyFont="1" applyFill="1" applyBorder="1" applyAlignment="1" applyProtection="1">
      <alignment vertical="top" wrapText="1"/>
      <protection locked="0"/>
    </xf>
    <xf numFmtId="0" fontId="90" fillId="15" borderId="1" xfId="7" applyNumberFormat="1" applyFont="1" applyFill="1" applyBorder="1" applyAlignment="1" applyProtection="1">
      <alignment horizontal="center" wrapText="1"/>
    </xf>
    <xf numFmtId="181" fontId="90" fillId="15" borderId="1" xfId="7" applyNumberFormat="1" applyFont="1" applyFill="1" applyBorder="1" applyAlignment="1" applyProtection="1">
      <alignment horizontal="center" wrapText="1"/>
    </xf>
    <xf numFmtId="0" fontId="0" fillId="28" borderId="1" xfId="0" applyFill="1" applyBorder="1" applyProtection="1">
      <protection locked="0"/>
    </xf>
    <xf numFmtId="0" fontId="9" fillId="0" borderId="0" xfId="0" applyFont="1" applyAlignment="1">
      <alignment vertical="center" wrapText="1"/>
    </xf>
    <xf numFmtId="0" fontId="6" fillId="0" borderId="0" xfId="0" applyFont="1" applyAlignment="1">
      <alignment wrapText="1"/>
    </xf>
    <xf numFmtId="0" fontId="95" fillId="0" borderId="0" xfId="0" applyFont="1"/>
    <xf numFmtId="14" fontId="96" fillId="28" borderId="1" xfId="0" applyNumberFormat="1" applyFont="1" applyFill="1" applyBorder="1" applyProtection="1">
      <protection locked="0"/>
    </xf>
    <xf numFmtId="0" fontId="96" fillId="28" borderId="1" xfId="0" applyFont="1" applyFill="1" applyBorder="1" applyProtection="1">
      <protection locked="0"/>
    </xf>
    <xf numFmtId="0" fontId="96" fillId="0" borderId="1" xfId="0" applyFont="1" applyBorder="1" applyProtection="1">
      <protection locked="0"/>
    </xf>
    <xf numFmtId="0" fontId="96" fillId="0" borderId="1" xfId="0" applyFont="1" applyBorder="1"/>
    <xf numFmtId="0" fontId="41" fillId="0" borderId="1" xfId="5" applyFont="1" applyBorder="1"/>
    <xf numFmtId="0" fontId="6" fillId="30" borderId="1" xfId="0" applyFont="1" applyFill="1" applyBorder="1" applyAlignment="1">
      <alignment horizontal="center" vertical="center" wrapText="1"/>
    </xf>
    <xf numFmtId="0" fontId="17" fillId="0" borderId="0" xfId="0" applyFont="1" applyAlignment="1">
      <alignment vertical="center"/>
    </xf>
    <xf numFmtId="0" fontId="67" fillId="19" borderId="0" xfId="0" applyFont="1" applyFill="1" applyProtection="1">
      <protection locked="0"/>
    </xf>
    <xf numFmtId="0" fontId="20" fillId="3" borderId="0" xfId="0" applyFont="1" applyFill="1" applyAlignment="1">
      <alignment vertical="center"/>
    </xf>
    <xf numFmtId="0" fontId="15" fillId="0" borderId="0" xfId="0" applyFont="1" applyAlignment="1">
      <alignment vertical="center"/>
    </xf>
    <xf numFmtId="0" fontId="49" fillId="3" borderId="0" xfId="0" applyFont="1" applyFill="1" applyAlignment="1">
      <alignment horizontal="left" vertical="center"/>
    </xf>
    <xf numFmtId="0" fontId="15" fillId="0" borderId="62" xfId="0" applyFont="1" applyBorder="1" applyAlignment="1">
      <alignment vertical="center"/>
    </xf>
    <xf numFmtId="171" fontId="53" fillId="3" borderId="0" xfId="0" applyNumberFormat="1" applyFont="1" applyFill="1" applyAlignment="1">
      <alignment horizontal="left" vertical="top"/>
    </xf>
    <xf numFmtId="0" fontId="53" fillId="3" borderId="0" xfId="0" applyFont="1" applyFill="1" applyAlignment="1">
      <alignment horizontal="center" vertical="center" wrapText="1"/>
    </xf>
    <xf numFmtId="0" fontId="15" fillId="3" borderId="0" xfId="0" applyFont="1" applyFill="1" applyAlignment="1">
      <alignment horizontal="right" vertical="center" wrapText="1"/>
    </xf>
    <xf numFmtId="0" fontId="15" fillId="3" borderId="0" xfId="0" applyFont="1" applyFill="1" applyAlignment="1">
      <alignment horizontal="center" vertical="center" wrapText="1"/>
    </xf>
    <xf numFmtId="0" fontId="35" fillId="3" borderId="0" xfId="0" applyFont="1" applyFill="1" applyAlignment="1">
      <alignment vertical="center" wrapText="1"/>
    </xf>
    <xf numFmtId="14" fontId="35" fillId="3" borderId="0" xfId="0" applyNumberFormat="1" applyFont="1" applyFill="1" applyAlignment="1">
      <alignment vertical="center"/>
    </xf>
    <xf numFmtId="173" fontId="28" fillId="3" borderId="0" xfId="3" applyNumberFormat="1" applyFont="1" applyFill="1" applyAlignment="1" applyProtection="1">
      <alignment horizontal="right" vertical="center"/>
    </xf>
    <xf numFmtId="0" fontId="12" fillId="7" borderId="3" xfId="0" applyFont="1" applyFill="1" applyBorder="1"/>
    <xf numFmtId="0" fontId="14" fillId="7" borderId="3" xfId="0" quotePrefix="1" applyFont="1" applyFill="1" applyBorder="1" applyAlignment="1">
      <alignment vertical="center"/>
    </xf>
    <xf numFmtId="0" fontId="12" fillId="7" borderId="4" xfId="0" applyFont="1" applyFill="1" applyBorder="1"/>
    <xf numFmtId="0" fontId="98" fillId="14" borderId="0" xfId="0" applyFont="1" applyFill="1"/>
    <xf numFmtId="1" fontId="17" fillId="6" borderId="21" xfId="0" applyNumberFormat="1" applyFont="1" applyFill="1" applyBorder="1" applyAlignment="1">
      <alignment horizontal="left" vertical="center"/>
    </xf>
    <xf numFmtId="0" fontId="6" fillId="0" borderId="30" xfId="0" applyFont="1" applyBorder="1"/>
    <xf numFmtId="0" fontId="6" fillId="0" borderId="27" xfId="0" applyFont="1" applyBorder="1"/>
    <xf numFmtId="0" fontId="6" fillId="0" borderId="28" xfId="0" applyFont="1" applyBorder="1"/>
    <xf numFmtId="1" fontId="17" fillId="6" borderId="76" xfId="0" applyNumberFormat="1" applyFont="1" applyFill="1" applyBorder="1" applyAlignment="1">
      <alignment horizontal="left" vertical="center"/>
    </xf>
    <xf numFmtId="0" fontId="6" fillId="0" borderId="20" xfId="0" applyFont="1" applyBorder="1" applyAlignment="1">
      <alignment wrapText="1"/>
    </xf>
    <xf numFmtId="0" fontId="6" fillId="0" borderId="22" xfId="0" applyFont="1" applyBorder="1" applyAlignment="1">
      <alignment wrapText="1"/>
    </xf>
    <xf numFmtId="1" fontId="17" fillId="6" borderId="19" xfId="0" applyNumberFormat="1" applyFont="1" applyFill="1" applyBorder="1" applyAlignment="1">
      <alignment horizontal="left" vertical="center"/>
    </xf>
    <xf numFmtId="0" fontId="0" fillId="0" borderId="69" xfId="0" applyBorder="1"/>
    <xf numFmtId="0" fontId="94" fillId="0" borderId="69" xfId="0" applyFont="1" applyBorder="1"/>
    <xf numFmtId="14" fontId="0" fillId="0" borderId="69" xfId="0" applyNumberFormat="1" applyBorder="1"/>
    <xf numFmtId="0" fontId="0" fillId="0" borderId="72" xfId="0" applyBorder="1"/>
    <xf numFmtId="0" fontId="97" fillId="0" borderId="70" xfId="0" applyFont="1" applyBorder="1"/>
    <xf numFmtId="0" fontId="96" fillId="29" borderId="1" xfId="0" applyFont="1" applyFill="1" applyBorder="1"/>
    <xf numFmtId="14" fontId="96" fillId="0" borderId="1" xfId="0" applyNumberFormat="1" applyFont="1" applyBorder="1"/>
    <xf numFmtId="0" fontId="96" fillId="28" borderId="1" xfId="0" applyFont="1" applyFill="1" applyBorder="1"/>
    <xf numFmtId="1" fontId="96" fillId="0" borderId="1" xfId="0" applyNumberFormat="1" applyFont="1" applyBorder="1"/>
    <xf numFmtId="0" fontId="94" fillId="0" borderId="70" xfId="0" applyFont="1" applyBorder="1"/>
    <xf numFmtId="180" fontId="90" fillId="15" borderId="1" xfId="6" applyNumberFormat="1" applyFont="1" applyFill="1" applyBorder="1" applyAlignment="1">
      <alignment horizontal="left" wrapText="1"/>
    </xf>
    <xf numFmtId="0" fontId="90" fillId="15" borderId="1" xfId="6" applyFont="1" applyFill="1" applyBorder="1" applyAlignment="1">
      <alignment horizontal="center" wrapText="1"/>
    </xf>
    <xf numFmtId="180" fontId="90" fillId="15" borderId="1" xfId="6" applyNumberFormat="1" applyFont="1" applyFill="1" applyBorder="1" applyAlignment="1">
      <alignment horizontal="center" wrapText="1" shrinkToFit="1"/>
    </xf>
    <xf numFmtId="0" fontId="90" fillId="15" borderId="1" xfId="6" applyFont="1" applyFill="1" applyBorder="1" applyAlignment="1">
      <alignment horizontal="left" wrapText="1"/>
    </xf>
    <xf numFmtId="14" fontId="90" fillId="15" borderId="1" xfId="6" applyNumberFormat="1" applyFont="1" applyFill="1" applyBorder="1" applyAlignment="1">
      <alignment horizontal="center" wrapText="1"/>
    </xf>
    <xf numFmtId="0" fontId="89" fillId="15" borderId="1" xfId="0" applyFont="1" applyFill="1" applyBorder="1" applyAlignment="1">
      <alignment wrapText="1"/>
    </xf>
    <xf numFmtId="0" fontId="89" fillId="15" borderId="1" xfId="0" applyFont="1" applyFill="1" applyBorder="1" applyAlignment="1">
      <alignment horizontal="left" wrapText="1"/>
    </xf>
    <xf numFmtId="0" fontId="94" fillId="0" borderId="71" xfId="0" applyFont="1" applyBorder="1"/>
    <xf numFmtId="0" fontId="94" fillId="0" borderId="74" xfId="0" applyFont="1" applyBorder="1"/>
    <xf numFmtId="0" fontId="0" fillId="0" borderId="1" xfId="0" applyBorder="1"/>
    <xf numFmtId="0" fontId="0" fillId="0" borderId="73" xfId="0" applyBorder="1"/>
    <xf numFmtId="0" fontId="0" fillId="0" borderId="71" xfId="0" applyBorder="1"/>
    <xf numFmtId="0" fontId="67" fillId="31" borderId="0" xfId="5" applyFont="1" applyFill="1"/>
    <xf numFmtId="0" fontId="4" fillId="0" borderId="0" xfId="0" applyFont="1" applyAlignment="1">
      <alignment horizontal="left" vertical="center"/>
    </xf>
    <xf numFmtId="0" fontId="4" fillId="20" borderId="0" xfId="0" applyFont="1" applyFill="1" applyAlignment="1">
      <alignment vertical="center"/>
    </xf>
    <xf numFmtId="0" fontId="4" fillId="20" borderId="0" xfId="0" applyFont="1" applyFill="1"/>
    <xf numFmtId="0" fontId="15" fillId="19" borderId="0" xfId="0" applyFont="1" applyFill="1" applyAlignment="1">
      <alignment vertical="center"/>
    </xf>
    <xf numFmtId="0" fontId="98" fillId="13" borderId="77" xfId="0" applyFont="1" applyFill="1" applyBorder="1"/>
    <xf numFmtId="0" fontId="98" fillId="0" borderId="0" xfId="0" applyFont="1"/>
    <xf numFmtId="0" fontId="5" fillId="14" borderId="0" xfId="0" applyFont="1" applyFill="1"/>
    <xf numFmtId="0" fontId="99" fillId="3" borderId="0" xfId="0" applyFont="1" applyFill="1" applyAlignment="1">
      <alignment vertical="center"/>
    </xf>
    <xf numFmtId="0" fontId="4" fillId="0" borderId="1" xfId="0" applyFont="1" applyBorder="1" applyAlignment="1">
      <alignment vertical="center"/>
    </xf>
    <xf numFmtId="0" fontId="6" fillId="6" borderId="7" xfId="0" applyFont="1" applyFill="1" applyBorder="1" applyAlignment="1">
      <alignment horizontal="left" vertical="top" wrapText="1"/>
    </xf>
    <xf numFmtId="165" fontId="6" fillId="3" borderId="18" xfId="0" applyNumberFormat="1" applyFont="1" applyFill="1" applyBorder="1" applyAlignment="1" applyProtection="1">
      <alignment horizontal="center" vertical="center"/>
      <protection locked="0"/>
    </xf>
    <xf numFmtId="165" fontId="6" fillId="3" borderId="6"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protection locked="0"/>
    </xf>
    <xf numFmtId="0" fontId="6" fillId="3" borderId="8"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3" borderId="13" xfId="0" applyFont="1" applyFill="1" applyBorder="1" applyAlignment="1" applyProtection="1">
      <alignment horizontal="left" vertical="top" wrapText="1"/>
      <protection locked="0"/>
    </xf>
    <xf numFmtId="0" fontId="13" fillId="7" borderId="3" xfId="0" applyFont="1" applyFill="1" applyBorder="1" applyAlignment="1">
      <alignment horizontal="left" vertical="center"/>
    </xf>
    <xf numFmtId="0" fontId="6" fillId="6" borderId="0" xfId="0" applyFont="1" applyFill="1" applyAlignment="1">
      <alignment horizontal="left" vertical="top" wrapText="1"/>
    </xf>
    <xf numFmtId="0" fontId="6" fillId="3" borderId="2" xfId="0" applyFont="1" applyFill="1" applyBorder="1" applyAlignment="1" applyProtection="1">
      <alignment horizontal="center" vertical="center" wrapText="1"/>
      <protection locked="0" hidden="1"/>
    </xf>
    <xf numFmtId="0" fontId="6" fillId="3" borderId="3" xfId="0" applyFont="1" applyFill="1" applyBorder="1" applyAlignment="1" applyProtection="1">
      <alignment horizontal="center" vertical="center" wrapText="1"/>
      <protection locked="0" hidden="1"/>
    </xf>
    <xf numFmtId="0" fontId="6" fillId="3" borderId="4" xfId="0" applyFont="1" applyFill="1" applyBorder="1" applyAlignment="1" applyProtection="1">
      <alignment horizontal="center" vertical="center" wrapText="1"/>
      <protection locked="0" hidden="1"/>
    </xf>
    <xf numFmtId="0" fontId="32" fillId="6" borderId="5" xfId="0" applyFont="1" applyFill="1" applyBorder="1" applyAlignment="1">
      <alignment horizontal="left" vertical="center"/>
    </xf>
    <xf numFmtId="0" fontId="32" fillId="6" borderId="0" xfId="0" applyFont="1" applyFill="1" applyAlignment="1">
      <alignment horizontal="left" vertical="center"/>
    </xf>
    <xf numFmtId="0" fontId="22" fillId="3" borderId="2" xfId="0" applyFont="1" applyFill="1" applyBorder="1" applyAlignment="1">
      <alignment horizontal="center" vertical="center"/>
    </xf>
    <xf numFmtId="0" fontId="22" fillId="3" borderId="4" xfId="0" applyFont="1" applyFill="1" applyBorder="1" applyAlignment="1">
      <alignment horizontal="center" vertical="center"/>
    </xf>
    <xf numFmtId="0" fontId="6" fillId="6" borderId="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7" xfId="0" applyFont="1" applyFill="1" applyBorder="1" applyAlignment="1">
      <alignment horizontal="center" vertical="center" wrapText="1"/>
    </xf>
    <xf numFmtId="0" fontId="31" fillId="6" borderId="5" xfId="0" quotePrefix="1" applyFont="1" applyFill="1" applyBorder="1" applyAlignment="1">
      <alignment horizontal="left" vertical="center"/>
    </xf>
    <xf numFmtId="0" fontId="31" fillId="6" borderId="0" xfId="0" applyFont="1" applyFill="1" applyAlignment="1">
      <alignment horizontal="left" vertical="center"/>
    </xf>
    <xf numFmtId="0" fontId="5" fillId="6" borderId="0" xfId="0" applyFont="1" applyFill="1" applyAlignment="1">
      <alignment horizontal="left" wrapText="1"/>
    </xf>
    <xf numFmtId="0" fontId="13" fillId="6" borderId="5" xfId="0" applyFont="1" applyFill="1" applyBorder="1" applyAlignment="1">
      <alignment horizontal="left" vertical="top" wrapText="1"/>
    </xf>
    <xf numFmtId="0" fontId="13" fillId="6" borderId="0" xfId="0" applyFont="1" applyFill="1" applyAlignment="1">
      <alignment horizontal="left" vertical="top"/>
    </xf>
    <xf numFmtId="0" fontId="31" fillId="6" borderId="7" xfId="0" quotePrefix="1" applyFont="1" applyFill="1" applyBorder="1" applyAlignment="1">
      <alignment horizontal="left" vertical="center"/>
    </xf>
    <xf numFmtId="0" fontId="13" fillId="6" borderId="5" xfId="0" applyFont="1" applyFill="1" applyBorder="1" applyAlignment="1">
      <alignment horizontal="left" vertical="top"/>
    </xf>
    <xf numFmtId="0" fontId="6" fillId="3" borderId="38" xfId="0" applyFont="1" applyFill="1" applyBorder="1" applyAlignment="1">
      <alignment horizontal="justify" vertical="top" wrapText="1"/>
    </xf>
    <xf numFmtId="0" fontId="6" fillId="3" borderId="39" xfId="0" applyFont="1" applyFill="1" applyBorder="1" applyAlignment="1">
      <alignment horizontal="justify" vertical="top" wrapText="1"/>
    </xf>
    <xf numFmtId="0" fontId="6" fillId="3" borderId="40" xfId="0" applyFont="1" applyFill="1" applyBorder="1" applyAlignment="1">
      <alignment horizontal="justify" vertical="top" wrapText="1"/>
    </xf>
    <xf numFmtId="0" fontId="6" fillId="3" borderId="38" xfId="0" applyFont="1" applyFill="1" applyBorder="1" applyAlignment="1" applyProtection="1">
      <alignment horizontal="left" vertical="top" wrapText="1"/>
      <protection locked="0"/>
    </xf>
    <xf numFmtId="0" fontId="6" fillId="3" borderId="39" xfId="0" applyFont="1" applyFill="1" applyBorder="1" applyAlignment="1" applyProtection="1">
      <alignment horizontal="left" vertical="top" wrapText="1"/>
      <protection locked="0"/>
    </xf>
    <xf numFmtId="0" fontId="6" fillId="3" borderId="40" xfId="0" applyFont="1" applyFill="1" applyBorder="1" applyAlignment="1" applyProtection="1">
      <alignment horizontal="left" vertical="top" wrapText="1"/>
      <protection locked="0"/>
    </xf>
    <xf numFmtId="0" fontId="6" fillId="3" borderId="41" xfId="0" applyFont="1" applyFill="1" applyBorder="1" applyAlignment="1" applyProtection="1">
      <alignment horizontal="left" vertical="center"/>
      <protection locked="0"/>
    </xf>
    <xf numFmtId="0" fontId="6" fillId="3" borderId="42" xfId="0" applyFont="1" applyFill="1" applyBorder="1" applyAlignment="1" applyProtection="1">
      <alignment horizontal="left" vertical="center"/>
      <protection locked="0"/>
    </xf>
    <xf numFmtId="0" fontId="6" fillId="3" borderId="43" xfId="0" applyFont="1" applyFill="1" applyBorder="1" applyAlignment="1" applyProtection="1">
      <alignment horizontal="left" vertical="center"/>
      <protection locked="0"/>
    </xf>
    <xf numFmtId="165" fontId="6" fillId="3" borderId="75" xfId="0" applyNumberFormat="1" applyFont="1" applyFill="1" applyBorder="1" applyAlignment="1" applyProtection="1">
      <alignment horizontal="left" vertical="center"/>
      <protection locked="0"/>
    </xf>
    <xf numFmtId="165" fontId="6" fillId="3" borderId="36" xfId="0" applyNumberFormat="1" applyFont="1" applyFill="1" applyBorder="1" applyAlignment="1" applyProtection="1">
      <alignment horizontal="left" vertical="center"/>
      <protection locked="0"/>
    </xf>
    <xf numFmtId="165" fontId="6" fillId="3" borderId="63" xfId="0" applyNumberFormat="1" applyFont="1" applyFill="1" applyBorder="1" applyAlignment="1" applyProtection="1">
      <alignment horizontal="left" vertical="center"/>
      <protection locked="0"/>
    </xf>
    <xf numFmtId="165" fontId="6" fillId="3" borderId="2" xfId="0" applyNumberFormat="1" applyFont="1" applyFill="1" applyBorder="1" applyAlignment="1" applyProtection="1">
      <alignment horizontal="left" vertical="center"/>
      <protection locked="0"/>
    </xf>
    <xf numFmtId="165" fontId="6" fillId="3" borderId="3" xfId="0" applyNumberFormat="1" applyFont="1" applyFill="1" applyBorder="1" applyAlignment="1" applyProtection="1">
      <alignment horizontal="left" vertical="center"/>
      <protection locked="0"/>
    </xf>
    <xf numFmtId="165" fontId="6" fillId="3" borderId="4" xfId="0" applyNumberFormat="1" applyFont="1" applyFill="1" applyBorder="1" applyAlignment="1" applyProtection="1">
      <alignment horizontal="left" vertical="center"/>
      <protection locked="0"/>
    </xf>
    <xf numFmtId="165" fontId="6" fillId="3" borderId="66" xfId="0" applyNumberFormat="1" applyFont="1" applyFill="1" applyBorder="1" applyAlignment="1" applyProtection="1">
      <alignment horizontal="left" vertical="center"/>
      <protection locked="0"/>
    </xf>
    <xf numFmtId="165" fontId="6" fillId="3" borderId="67" xfId="0" applyNumberFormat="1" applyFont="1" applyFill="1" applyBorder="1" applyAlignment="1" applyProtection="1">
      <alignment horizontal="left" vertical="center"/>
      <protection locked="0"/>
    </xf>
    <xf numFmtId="165" fontId="6" fillId="3" borderId="68" xfId="0" applyNumberFormat="1" applyFont="1" applyFill="1" applyBorder="1" applyAlignment="1" applyProtection="1">
      <alignment horizontal="left" vertical="center"/>
      <protection locked="0"/>
    </xf>
    <xf numFmtId="0" fontId="13" fillId="6" borderId="5" xfId="0" applyFont="1" applyFill="1" applyBorder="1" applyAlignment="1">
      <alignment horizontal="left" vertical="center"/>
    </xf>
    <xf numFmtId="0" fontId="13" fillId="6" borderId="0" xfId="0" applyFont="1" applyFill="1" applyAlignment="1">
      <alignment horizontal="left" vertical="center"/>
    </xf>
    <xf numFmtId="0" fontId="6" fillId="6" borderId="9" xfId="0" applyFont="1" applyFill="1" applyBorder="1" applyAlignment="1">
      <alignment horizontal="right" vertical="center"/>
    </xf>
    <xf numFmtId="0" fontId="6" fillId="6" borderId="10" xfId="0" applyFont="1" applyFill="1" applyBorder="1" applyAlignment="1">
      <alignment horizontal="right" vertical="center"/>
    </xf>
    <xf numFmtId="0" fontId="16" fillId="7" borderId="2" xfId="0" applyFont="1" applyFill="1" applyBorder="1" applyAlignment="1" applyProtection="1">
      <alignment horizontal="center" vertical="center"/>
      <protection locked="0"/>
    </xf>
    <xf numFmtId="0" fontId="16" fillId="7" borderId="4" xfId="0" applyFont="1" applyFill="1" applyBorder="1" applyAlignment="1" applyProtection="1">
      <alignment horizontal="center" vertical="center"/>
      <protection locked="0"/>
    </xf>
    <xf numFmtId="0" fontId="6" fillId="3" borderId="38" xfId="0" applyFont="1" applyFill="1" applyBorder="1" applyAlignment="1" applyProtection="1">
      <alignment horizontal="left" vertical="center" wrapText="1"/>
      <protection locked="0"/>
    </xf>
    <xf numFmtId="0" fontId="6" fillId="3" borderId="39"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23" fillId="3" borderId="2"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protection locked="0"/>
    </xf>
    <xf numFmtId="165" fontId="6" fillId="3" borderId="2" xfId="0" applyNumberFormat="1" applyFont="1" applyFill="1" applyBorder="1" applyAlignment="1" applyProtection="1">
      <alignment horizontal="left" vertical="center" wrapText="1"/>
      <protection locked="0"/>
    </xf>
    <xf numFmtId="165" fontId="6" fillId="3" borderId="3" xfId="0" applyNumberFormat="1" applyFont="1" applyFill="1" applyBorder="1" applyAlignment="1" applyProtection="1">
      <alignment horizontal="left" vertical="center" wrapText="1"/>
      <protection locked="0"/>
    </xf>
    <xf numFmtId="165" fontId="6" fillId="3" borderId="4" xfId="0" applyNumberFormat="1"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top" wrapText="1"/>
      <protection locked="0"/>
    </xf>
    <xf numFmtId="0" fontId="5" fillId="6" borderId="0" xfId="0" applyFont="1" applyFill="1" applyAlignment="1">
      <alignment horizontal="right" vertical="center"/>
    </xf>
    <xf numFmtId="0" fontId="5" fillId="6" borderId="0" xfId="0" applyFont="1" applyFill="1" applyAlignment="1">
      <alignment horizontal="left" vertical="center"/>
    </xf>
    <xf numFmtId="0" fontId="5" fillId="6" borderId="7" xfId="0" applyFont="1" applyFill="1" applyBorder="1" applyAlignment="1">
      <alignment horizontal="left" vertical="center"/>
    </xf>
    <xf numFmtId="0" fontId="5" fillId="6" borderId="12" xfId="0" applyFont="1" applyFill="1" applyBorder="1" applyAlignment="1">
      <alignment horizontal="left" wrapText="1"/>
    </xf>
    <xf numFmtId="0" fontId="6" fillId="6" borderId="0" xfId="0" quotePrefix="1" applyFont="1" applyFill="1" applyAlignment="1">
      <alignment horizontal="right" vertical="center" wrapText="1"/>
    </xf>
    <xf numFmtId="0" fontId="36" fillId="6" borderId="5" xfId="0" applyFont="1" applyFill="1" applyBorder="1" applyAlignment="1">
      <alignment horizontal="left" vertical="center"/>
    </xf>
    <xf numFmtId="0" fontId="36" fillId="6" borderId="0" xfId="0" applyFont="1" applyFill="1" applyAlignment="1">
      <alignment horizontal="left" vertical="center"/>
    </xf>
    <xf numFmtId="0" fontId="74" fillId="6" borderId="5" xfId="0" applyFont="1" applyFill="1" applyBorder="1" applyAlignment="1">
      <alignment horizontal="center" vertical="center"/>
    </xf>
    <xf numFmtId="0" fontId="74" fillId="6" borderId="0" xfId="0" applyFont="1" applyFill="1" applyAlignment="1">
      <alignment horizontal="center" vertical="center"/>
    </xf>
    <xf numFmtId="0" fontId="24" fillId="7" borderId="3" xfId="0" applyFont="1" applyFill="1" applyBorder="1" applyAlignment="1">
      <alignment horizontal="left" vertical="center"/>
    </xf>
    <xf numFmtId="0" fontId="6" fillId="3" borderId="8" xfId="0" applyFont="1" applyFill="1" applyBorder="1" applyAlignment="1" applyProtection="1">
      <alignment horizontal="center" vertical="top" wrapText="1"/>
      <protection locked="0"/>
    </xf>
    <xf numFmtId="0" fontId="6" fillId="3" borderId="9" xfId="0" applyFont="1" applyFill="1" applyBorder="1" applyAlignment="1" applyProtection="1">
      <alignment horizontal="center" vertical="top" wrapText="1"/>
      <protection locked="0"/>
    </xf>
    <xf numFmtId="0" fontId="6" fillId="3" borderId="10" xfId="0" applyFont="1" applyFill="1" applyBorder="1" applyAlignment="1" applyProtection="1">
      <alignment horizontal="center" vertical="top" wrapText="1"/>
      <protection locked="0"/>
    </xf>
    <xf numFmtId="0" fontId="6" fillId="3" borderId="11" xfId="0" applyFont="1" applyFill="1" applyBorder="1" applyAlignment="1" applyProtection="1">
      <alignment horizontal="center" vertical="top" wrapText="1"/>
      <protection locked="0"/>
    </xf>
    <xf numFmtId="0" fontId="6" fillId="3" borderId="12" xfId="0" applyFont="1" applyFill="1" applyBorder="1" applyAlignment="1" applyProtection="1">
      <alignment horizontal="center" vertical="top" wrapText="1"/>
      <protection locked="0"/>
    </xf>
    <xf numFmtId="0" fontId="6" fillId="3" borderId="13" xfId="0" applyFont="1" applyFill="1" applyBorder="1" applyAlignment="1" applyProtection="1">
      <alignment horizontal="center" vertical="top" wrapText="1"/>
      <protection locked="0"/>
    </xf>
    <xf numFmtId="0" fontId="30" fillId="3" borderId="34" xfId="0" applyFont="1" applyFill="1" applyBorder="1" applyAlignment="1" applyProtection="1">
      <alignment horizontal="left" vertical="top" wrapText="1"/>
      <protection locked="0"/>
    </xf>
    <xf numFmtId="0" fontId="30" fillId="3" borderId="3" xfId="0" applyFont="1" applyFill="1" applyBorder="1" applyAlignment="1" applyProtection="1">
      <alignment horizontal="left" vertical="top" wrapText="1"/>
      <protection locked="0"/>
    </xf>
    <xf numFmtId="0" fontId="30" fillId="3" borderId="60" xfId="0" applyFont="1" applyFill="1" applyBorder="1" applyAlignment="1" applyProtection="1">
      <alignment horizontal="left" vertical="top" wrapText="1"/>
      <protection locked="0"/>
    </xf>
    <xf numFmtId="0" fontId="30" fillId="3" borderId="16" xfId="0" applyFont="1" applyFill="1" applyBorder="1" applyAlignment="1" applyProtection="1">
      <alignment horizontal="left" vertical="top" wrapText="1"/>
      <protection locked="0"/>
    </xf>
    <xf numFmtId="0" fontId="30" fillId="3" borderId="22" xfId="0" applyFont="1" applyFill="1" applyBorder="1" applyAlignment="1" applyProtection="1">
      <alignment horizontal="left" vertical="top" wrapText="1"/>
      <protection locked="0"/>
    </xf>
    <xf numFmtId="0" fontId="30" fillId="3" borderId="17" xfId="0" applyFont="1" applyFill="1" applyBorder="1" applyAlignment="1" applyProtection="1">
      <alignment horizontal="left" vertical="top" wrapText="1"/>
      <protection locked="0"/>
    </xf>
    <xf numFmtId="0" fontId="30" fillId="3" borderId="57" xfId="0" applyFont="1" applyFill="1" applyBorder="1" applyAlignment="1" applyProtection="1">
      <alignment horizontal="left" vertical="top" wrapText="1"/>
      <protection locked="0"/>
    </xf>
    <xf numFmtId="0" fontId="30" fillId="3" borderId="58" xfId="0" applyFont="1" applyFill="1" applyBorder="1" applyAlignment="1" applyProtection="1">
      <alignment horizontal="left" vertical="top" wrapText="1"/>
      <protection locked="0"/>
    </xf>
    <xf numFmtId="0" fontId="30" fillId="3" borderId="59" xfId="0" applyFont="1" applyFill="1" applyBorder="1" applyAlignment="1" applyProtection="1">
      <alignment horizontal="left" vertical="top" wrapText="1"/>
      <protection locked="0"/>
    </xf>
    <xf numFmtId="0" fontId="17" fillId="6" borderId="14" xfId="0" applyFont="1" applyFill="1" applyBorder="1" applyAlignment="1">
      <alignment horizontal="left"/>
    </xf>
    <xf numFmtId="0" fontId="17" fillId="6" borderId="0" xfId="0" applyFont="1" applyFill="1" applyAlignment="1">
      <alignment horizontal="left"/>
    </xf>
    <xf numFmtId="171" fontId="9" fillId="6" borderId="0" xfId="0" applyNumberFormat="1" applyFont="1" applyFill="1" applyAlignment="1">
      <alignment horizontal="left" vertical="center"/>
    </xf>
    <xf numFmtId="0" fontId="55" fillId="6" borderId="0" xfId="0" applyFont="1" applyFill="1" applyAlignment="1">
      <alignment horizontal="center" vertical="center" wrapText="1"/>
    </xf>
    <xf numFmtId="171" fontId="83" fillId="6" borderId="0" xfId="0" applyNumberFormat="1" applyFont="1" applyFill="1" applyAlignment="1">
      <alignment horizontal="left" vertical="center" wrapText="1"/>
    </xf>
    <xf numFmtId="0" fontId="13" fillId="7" borderId="2"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2" xfId="0" applyFont="1" applyFill="1" applyBorder="1" applyAlignment="1">
      <alignment horizontal="left" vertical="center"/>
    </xf>
    <xf numFmtId="0" fontId="13" fillId="7" borderId="4" xfId="0" applyFont="1" applyFill="1" applyBorder="1" applyAlignment="1">
      <alignment horizontal="left" vertical="center"/>
    </xf>
    <xf numFmtId="0" fontId="46" fillId="6" borderId="0" xfId="0" applyFont="1" applyFill="1" applyAlignment="1">
      <alignment horizontal="left" vertical="center"/>
    </xf>
    <xf numFmtId="171" fontId="9" fillId="8" borderId="2" xfId="0" applyNumberFormat="1" applyFont="1" applyFill="1" applyBorder="1" applyAlignment="1" applyProtection="1">
      <alignment horizontal="left" vertical="center"/>
      <protection locked="0"/>
    </xf>
    <xf numFmtId="171" fontId="9" fillId="8" borderId="3" xfId="0" applyNumberFormat="1" applyFont="1" applyFill="1" applyBorder="1" applyAlignment="1" applyProtection="1">
      <alignment horizontal="left" vertical="center"/>
      <protection locked="0"/>
    </xf>
    <xf numFmtId="171" fontId="9" fillId="8" borderId="4" xfId="0" applyNumberFormat="1" applyFont="1" applyFill="1" applyBorder="1" applyAlignment="1" applyProtection="1">
      <alignment horizontal="left" vertical="center"/>
      <protection locked="0"/>
    </xf>
    <xf numFmtId="49" fontId="16" fillId="7" borderId="2" xfId="0" applyNumberFormat="1" applyFont="1" applyFill="1" applyBorder="1" applyAlignment="1">
      <alignment horizontal="left" vertical="center"/>
    </xf>
    <xf numFmtId="49" fontId="16" fillId="7" borderId="3" xfId="0" applyNumberFormat="1" applyFont="1" applyFill="1" applyBorder="1" applyAlignment="1">
      <alignment horizontal="left" vertical="center"/>
    </xf>
    <xf numFmtId="49" fontId="16" fillId="7" borderId="4" xfId="0" applyNumberFormat="1" applyFont="1" applyFill="1" applyBorder="1" applyAlignment="1">
      <alignment horizontal="left" vertical="center"/>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7" borderId="4" xfId="0" applyFont="1" applyFill="1" applyBorder="1" applyAlignment="1">
      <alignment horizontal="center" vertical="center"/>
    </xf>
    <xf numFmtId="49" fontId="20" fillId="7" borderId="2" xfId="0" applyNumberFormat="1" applyFont="1" applyFill="1" applyBorder="1" applyAlignment="1">
      <alignment horizontal="left" vertical="center" wrapText="1"/>
    </xf>
    <xf numFmtId="49" fontId="20" fillId="7" borderId="3" xfId="0" applyNumberFormat="1" applyFont="1" applyFill="1" applyBorder="1" applyAlignment="1">
      <alignment horizontal="left" vertical="center"/>
    </xf>
    <xf numFmtId="0" fontId="47" fillId="6" borderId="5" xfId="0" applyFont="1" applyFill="1" applyBorder="1" applyAlignment="1">
      <alignment horizontal="left" vertical="center"/>
    </xf>
    <xf numFmtId="0" fontId="47" fillId="6" borderId="0" xfId="0" applyFont="1" applyFill="1" applyAlignment="1">
      <alignment horizontal="left" vertical="center"/>
    </xf>
    <xf numFmtId="0" fontId="13" fillId="6" borderId="9" xfId="0" applyFont="1" applyFill="1" applyBorder="1" applyAlignment="1">
      <alignment horizontal="left" vertical="center"/>
    </xf>
    <xf numFmtId="0" fontId="48" fillId="6" borderId="0" xfId="0" applyFont="1" applyFill="1" applyAlignment="1">
      <alignment horizontal="left" vertical="center" wrapText="1"/>
    </xf>
    <xf numFmtId="0" fontId="46" fillId="6" borderId="5" xfId="0" applyFont="1" applyFill="1" applyBorder="1" applyAlignment="1">
      <alignment horizontal="left" vertical="center" wrapText="1"/>
    </xf>
    <xf numFmtId="0" fontId="46" fillId="6" borderId="0" xfId="0" applyFont="1" applyFill="1" applyAlignment="1">
      <alignment horizontal="left" vertical="center" wrapText="1"/>
    </xf>
    <xf numFmtId="171" fontId="48" fillId="6" borderId="9" xfId="0" applyNumberFormat="1" applyFont="1" applyFill="1" applyBorder="1" applyAlignment="1">
      <alignment horizontal="left" vertical="center" wrapText="1"/>
    </xf>
    <xf numFmtId="171" fontId="48" fillId="6" borderId="0" xfId="0" applyNumberFormat="1" applyFont="1" applyFill="1" applyAlignment="1">
      <alignment horizontal="left" vertical="center" wrapText="1"/>
    </xf>
    <xf numFmtId="0" fontId="4" fillId="6" borderId="0" xfId="0" applyFont="1" applyFill="1" applyAlignment="1">
      <alignment horizontal="center" wrapText="1"/>
    </xf>
    <xf numFmtId="0" fontId="4" fillId="6" borderId="12" xfId="0" applyFont="1" applyFill="1" applyBorder="1" applyAlignment="1">
      <alignment horizontal="center" wrapText="1"/>
    </xf>
    <xf numFmtId="0" fontId="4" fillId="5" borderId="0" xfId="0" applyFont="1" applyFill="1" applyAlignment="1">
      <alignment horizontal="left" vertical="top" wrapText="1"/>
    </xf>
    <xf numFmtId="0" fontId="4" fillId="5" borderId="7" xfId="0" applyFont="1" applyFill="1" applyBorder="1" applyAlignment="1">
      <alignment horizontal="left" vertical="top" wrapText="1"/>
    </xf>
    <xf numFmtId="0" fontId="6" fillId="3" borderId="5"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7" xfId="0" applyFont="1" applyFill="1" applyBorder="1" applyAlignment="1" applyProtection="1">
      <alignment horizontal="left" vertical="top" wrapText="1"/>
      <protection locked="0"/>
    </xf>
    <xf numFmtId="0" fontId="4" fillId="6" borderId="9" xfId="0" applyFont="1" applyFill="1" applyBorder="1" applyAlignment="1">
      <alignment horizontal="center" wrapText="1"/>
    </xf>
    <xf numFmtId="171" fontId="4" fillId="7" borderId="2" xfId="0" applyNumberFormat="1" applyFont="1" applyFill="1" applyBorder="1" applyAlignment="1">
      <alignment horizontal="left" vertical="top" wrapText="1"/>
    </xf>
    <xf numFmtId="171" fontId="4" fillId="7" borderId="3" xfId="0" applyNumberFormat="1" applyFont="1" applyFill="1" applyBorder="1" applyAlignment="1">
      <alignment horizontal="left" vertical="top" wrapText="1"/>
    </xf>
    <xf numFmtId="171" fontId="4" fillId="7" borderId="4" xfId="0" applyNumberFormat="1" applyFont="1" applyFill="1" applyBorder="1" applyAlignment="1">
      <alignment horizontal="left" vertical="top" wrapText="1"/>
    </xf>
    <xf numFmtId="0" fontId="5" fillId="6" borderId="5" xfId="0" applyFont="1" applyFill="1" applyBorder="1" applyAlignment="1">
      <alignment horizontal="right" vertical="top" wrapText="1"/>
    </xf>
    <xf numFmtId="0" fontId="5" fillId="6" borderId="7" xfId="0" applyFont="1" applyFill="1" applyBorder="1" applyAlignment="1">
      <alignment horizontal="right" vertical="top" wrapText="1"/>
    </xf>
    <xf numFmtId="0" fontId="5" fillId="6" borderId="9" xfId="0" applyFont="1" applyFill="1" applyBorder="1" applyAlignment="1">
      <alignment horizontal="center" wrapText="1"/>
    </xf>
    <xf numFmtId="0" fontId="5" fillId="6" borderId="12" xfId="0" applyFont="1" applyFill="1" applyBorder="1" applyAlignment="1">
      <alignment horizontal="center" wrapText="1"/>
    </xf>
    <xf numFmtId="0" fontId="59" fillId="6" borderId="5" xfId="0" quotePrefix="1" applyFont="1" applyFill="1" applyBorder="1" applyAlignment="1">
      <alignment horizontal="left" vertical="top"/>
    </xf>
    <xf numFmtId="0" fontId="59" fillId="6" borderId="7" xfId="0" quotePrefix="1" applyFont="1" applyFill="1" applyBorder="1" applyAlignment="1">
      <alignment horizontal="left" vertical="top"/>
    </xf>
    <xf numFmtId="171" fontId="4" fillId="6" borderId="0" xfId="0" applyNumberFormat="1" applyFont="1" applyFill="1" applyAlignment="1">
      <alignment horizontal="left" vertical="top" wrapText="1"/>
    </xf>
    <xf numFmtId="0" fontId="6" fillId="3" borderId="2"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32" fillId="6" borderId="5" xfId="0" quotePrefix="1" applyFont="1" applyFill="1" applyBorder="1" applyAlignment="1">
      <alignment horizontal="left" vertical="top" wrapText="1"/>
    </xf>
    <xf numFmtId="0" fontId="32" fillId="6" borderId="7" xfId="0" quotePrefix="1" applyFont="1" applyFill="1" applyBorder="1" applyAlignment="1">
      <alignment horizontal="left" vertical="top" wrapText="1"/>
    </xf>
    <xf numFmtId="0" fontId="13" fillId="6" borderId="5" xfId="0" applyFont="1" applyFill="1" applyBorder="1" applyAlignment="1">
      <alignment horizontal="left" vertical="center" wrapText="1"/>
    </xf>
    <xf numFmtId="0" fontId="13" fillId="6" borderId="0" xfId="0" applyFont="1" applyFill="1" applyAlignment="1">
      <alignment horizontal="left" vertical="center" wrapText="1"/>
    </xf>
    <xf numFmtId="0" fontId="5" fillId="6" borderId="5" xfId="0" applyFont="1" applyFill="1" applyBorder="1" applyAlignment="1">
      <alignment horizontal="left" vertical="center"/>
    </xf>
    <xf numFmtId="0" fontId="13" fillId="6" borderId="9" xfId="0" applyFont="1" applyFill="1" applyBorder="1" applyAlignment="1">
      <alignment horizontal="right" vertical="center"/>
    </xf>
    <xf numFmtId="177" fontId="20" fillId="7" borderId="2" xfId="0" applyNumberFormat="1" applyFont="1" applyFill="1" applyBorder="1" applyAlignment="1">
      <alignment horizontal="right" vertical="center"/>
    </xf>
    <xf numFmtId="177" fontId="20" fillId="7" borderId="3" xfId="0" applyNumberFormat="1" applyFont="1" applyFill="1" applyBorder="1" applyAlignment="1">
      <alignment horizontal="right" vertical="center"/>
    </xf>
    <xf numFmtId="0" fontId="13" fillId="6" borderId="0" xfId="0" applyFont="1" applyFill="1" applyAlignment="1">
      <alignment horizontal="left" vertical="top" wrapText="1"/>
    </xf>
    <xf numFmtId="0" fontId="20" fillId="7" borderId="2" xfId="0" applyFont="1" applyFill="1" applyBorder="1" applyAlignment="1">
      <alignment horizontal="center" vertical="center"/>
    </xf>
    <xf numFmtId="0" fontId="20" fillId="7" borderId="3" xfId="0" applyFont="1" applyFill="1" applyBorder="1" applyAlignment="1">
      <alignment horizontal="center" vertical="center"/>
    </xf>
    <xf numFmtId="0" fontId="20" fillId="7" borderId="4" xfId="0" applyFont="1" applyFill="1" applyBorder="1" applyAlignment="1">
      <alignment horizontal="center" vertical="center"/>
    </xf>
    <xf numFmtId="0" fontId="62" fillId="6" borderId="3" xfId="0" applyFont="1" applyFill="1" applyBorder="1" applyAlignment="1">
      <alignment horizontal="left" vertical="center" wrapText="1"/>
    </xf>
    <xf numFmtId="171" fontId="6" fillId="6" borderId="0" xfId="0" applyNumberFormat="1" applyFont="1" applyFill="1" applyAlignment="1">
      <alignment horizontal="left" vertical="center"/>
    </xf>
    <xf numFmtId="0" fontId="5" fillId="6" borderId="5" xfId="0" applyFont="1" applyFill="1" applyBorder="1" applyAlignment="1">
      <alignment horizontal="left" vertical="center" wrapText="1"/>
    </xf>
    <xf numFmtId="0" fontId="5" fillId="6" borderId="0" xfId="0" applyFont="1" applyFill="1" applyAlignment="1">
      <alignment horizontal="left" vertical="center" wrapText="1"/>
    </xf>
    <xf numFmtId="0" fontId="17" fillId="6" borderId="8" xfId="0" applyFont="1" applyFill="1" applyBorder="1" applyAlignment="1">
      <alignment horizontal="left" wrapText="1"/>
    </xf>
    <xf numFmtId="0" fontId="17" fillId="6" borderId="5" xfId="0" applyFont="1" applyFill="1" applyBorder="1" applyAlignment="1">
      <alignment horizontal="left" wrapText="1"/>
    </xf>
    <xf numFmtId="0" fontId="60" fillId="6" borderId="9" xfId="0" applyFont="1" applyFill="1" applyBorder="1" applyAlignment="1">
      <alignment horizontal="left" vertical="center" wrapText="1"/>
    </xf>
    <xf numFmtId="0" fontId="60" fillId="6" borderId="0" xfId="0" applyFont="1" applyFill="1" applyAlignment="1">
      <alignment horizontal="left" vertical="center" wrapText="1"/>
    </xf>
    <xf numFmtId="2" fontId="17" fillId="6" borderId="18" xfId="0" applyNumberFormat="1" applyFont="1" applyFill="1" applyBorder="1" applyAlignment="1">
      <alignment horizontal="center" vertical="center" wrapText="1"/>
    </xf>
    <xf numFmtId="2" fontId="17" fillId="6" borderId="6" xfId="0" applyNumberFormat="1"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5" fillId="6" borderId="9" xfId="0" applyFont="1" applyFill="1" applyBorder="1" applyAlignment="1">
      <alignment horizontal="left" vertical="center"/>
    </xf>
    <xf numFmtId="0" fontId="20" fillId="6" borderId="0" xfId="0" applyFont="1" applyFill="1" applyAlignment="1">
      <alignment horizontal="left" vertical="center"/>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9" fontId="0" fillId="3" borderId="2" xfId="4" applyFont="1" applyFill="1" applyBorder="1" applyAlignment="1">
      <alignment horizontal="center" vertical="center"/>
    </xf>
    <xf numFmtId="9" fontId="0" fillId="3" borderId="4" xfId="4" applyFont="1" applyFill="1" applyBorder="1" applyAlignment="1">
      <alignment horizontal="center" vertical="center"/>
    </xf>
    <xf numFmtId="49" fontId="16" fillId="7" borderId="19" xfId="0" applyNumberFormat="1" applyFont="1" applyFill="1" applyBorder="1" applyAlignment="1">
      <alignment horizontal="center" vertical="center"/>
    </xf>
    <xf numFmtId="49" fontId="16" fillId="7" borderId="20" xfId="0" applyNumberFormat="1" applyFont="1" applyFill="1" applyBorder="1" applyAlignment="1">
      <alignment horizontal="center" vertical="center"/>
    </xf>
    <xf numFmtId="49" fontId="16" fillId="7" borderId="35" xfId="0" applyNumberFormat="1" applyFont="1" applyFill="1" applyBorder="1" applyAlignment="1">
      <alignment horizontal="center" vertical="center"/>
    </xf>
    <xf numFmtId="49" fontId="16" fillId="7" borderId="32" xfId="0" applyNumberFormat="1" applyFont="1" applyFill="1" applyBorder="1" applyAlignment="1">
      <alignment horizontal="center" vertical="center"/>
    </xf>
    <xf numFmtId="49" fontId="16" fillId="7" borderId="12" xfId="0" applyNumberFormat="1" applyFont="1" applyFill="1" applyBorder="1" applyAlignment="1">
      <alignment horizontal="center" vertical="center"/>
    </xf>
    <xf numFmtId="49" fontId="16" fillId="7" borderId="13" xfId="0" applyNumberFormat="1" applyFont="1" applyFill="1" applyBorder="1" applyAlignment="1">
      <alignment horizontal="center" vertical="center"/>
    </xf>
    <xf numFmtId="0" fontId="26" fillId="7" borderId="34" xfId="0" applyFont="1" applyFill="1" applyBorder="1" applyAlignment="1">
      <alignment horizontal="left" vertical="center"/>
    </xf>
    <xf numFmtId="0" fontId="26" fillId="7" borderId="3" xfId="0" applyFont="1" applyFill="1" applyBorder="1" applyAlignment="1">
      <alignment horizontal="left" vertical="center"/>
    </xf>
    <xf numFmtId="0" fontId="26" fillId="7" borderId="4" xfId="0" applyFont="1" applyFill="1" applyBorder="1" applyAlignment="1">
      <alignment horizontal="left" vertical="center"/>
    </xf>
    <xf numFmtId="0" fontId="24" fillId="3" borderId="2" xfId="0" applyFont="1" applyFill="1" applyBorder="1" applyAlignment="1">
      <alignment horizontal="left" vertical="center"/>
    </xf>
    <xf numFmtId="0" fontId="24" fillId="3" borderId="3" xfId="0" applyFont="1" applyFill="1" applyBorder="1" applyAlignment="1">
      <alignment horizontal="left" vertical="center"/>
    </xf>
    <xf numFmtId="0" fontId="24" fillId="3" borderId="4" xfId="0" applyFont="1" applyFill="1" applyBorder="1" applyAlignment="1">
      <alignment horizontal="left" vertical="center"/>
    </xf>
    <xf numFmtId="0" fontId="56" fillId="3" borderId="8" xfId="0" applyFont="1" applyFill="1" applyBorder="1" applyAlignment="1">
      <alignment horizontal="center" vertical="center" wrapText="1"/>
    </xf>
    <xf numFmtId="0" fontId="56" fillId="3" borderId="10" xfId="0" applyFont="1" applyFill="1" applyBorder="1" applyAlignment="1">
      <alignment horizontal="center" vertical="center" wrapText="1"/>
    </xf>
    <xf numFmtId="0" fontId="56" fillId="3" borderId="11"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25" fillId="3" borderId="2" xfId="0" applyFont="1" applyFill="1" applyBorder="1" applyAlignment="1">
      <alignment horizontal="left" vertical="center" wrapText="1"/>
    </xf>
    <xf numFmtId="0" fontId="25" fillId="3" borderId="3" xfId="0" applyFont="1" applyFill="1" applyBorder="1" applyAlignment="1">
      <alignment horizontal="left" vertical="center" wrapText="1"/>
    </xf>
    <xf numFmtId="0" fontId="25" fillId="3" borderId="4" xfId="0" applyFont="1" applyFill="1" applyBorder="1" applyAlignment="1">
      <alignment horizontal="left" vertical="center" wrapText="1"/>
    </xf>
    <xf numFmtId="9" fontId="25" fillId="3" borderId="2" xfId="4" applyFont="1" applyFill="1" applyBorder="1" applyAlignment="1">
      <alignment horizontal="center" vertical="center"/>
    </xf>
    <xf numFmtId="9" fontId="25" fillId="3" borderId="4" xfId="4" applyFont="1" applyFill="1" applyBorder="1" applyAlignment="1">
      <alignment horizontal="center" vertical="center"/>
    </xf>
    <xf numFmtId="0" fontId="28" fillId="27" borderId="16" xfId="0" applyFont="1" applyFill="1" applyBorder="1" applyAlignment="1">
      <alignment horizontal="center"/>
    </xf>
    <xf numFmtId="0" fontId="28" fillId="27" borderId="22" xfId="0" applyFont="1" applyFill="1" applyBorder="1" applyAlignment="1">
      <alignment horizontal="center"/>
    </xf>
    <xf numFmtId="0" fontId="28" fillId="27" borderId="17" xfId="0" applyFont="1" applyFill="1" applyBorder="1" applyAlignment="1">
      <alignment horizontal="center"/>
    </xf>
    <xf numFmtId="0" fontId="28" fillId="27" borderId="23" xfId="0" applyFont="1" applyFill="1" applyBorder="1" applyAlignment="1">
      <alignment horizontal="center"/>
    </xf>
    <xf numFmtId="0" fontId="28" fillId="27" borderId="24" xfId="0" applyFont="1" applyFill="1" applyBorder="1" applyAlignment="1">
      <alignment horizontal="center"/>
    </xf>
    <xf numFmtId="0" fontId="28" fillId="27" borderId="29" xfId="0" applyFont="1" applyFill="1" applyBorder="1" applyAlignment="1">
      <alignment horizontal="center"/>
    </xf>
  </cellXfs>
  <cellStyles count="8">
    <cellStyle name="Euro" xfId="7" xr:uid="{BA65B246-AA3E-4ADC-828E-510E4628FC55}"/>
    <cellStyle name="Hyperlink" xfId="1" builtinId="8"/>
    <cellStyle name="Komma" xfId="2" builtinId="3"/>
    <cellStyle name="Procent" xfId="4" builtinId="5"/>
    <cellStyle name="Standaard" xfId="0" builtinId="0"/>
    <cellStyle name="Standaard 2" xfId="5" xr:uid="{04995FAD-615F-4CCF-AD8A-2B70E7F9D34A}"/>
    <cellStyle name="Standaard_Blad1" xfId="6" xr:uid="{10E72BF0-2AA5-4078-A104-ACA32EDFFD15}"/>
    <cellStyle name="Valuta 2" xfId="3" xr:uid="{00000000-0005-0000-0000-000003000000}"/>
  </cellStyles>
  <dxfs count="95">
    <dxf>
      <fill>
        <patternFill>
          <bgColor rgb="FF00B0F0"/>
        </patternFill>
      </fill>
    </dxf>
    <dxf>
      <font>
        <color auto="1"/>
      </font>
      <fill>
        <gradientFill degree="180">
          <stop position="0">
            <color theme="0"/>
          </stop>
          <stop position="1">
            <color rgb="FFFF0000"/>
          </stop>
        </gradient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strike val="0"/>
        <color auto="1"/>
      </font>
      <fill>
        <patternFill>
          <bgColor rgb="FFFFFFCC"/>
        </patternFill>
      </fill>
    </dxf>
    <dxf>
      <fill>
        <patternFill>
          <bgColor theme="9" tint="0.79998168889431442"/>
        </patternFill>
      </fill>
    </dxf>
    <dxf>
      <fill>
        <patternFill>
          <bgColor theme="9" tint="0.79998168889431442"/>
        </patternFill>
      </fill>
    </dxf>
    <dxf>
      <font>
        <color rgb="FFC3DBB6"/>
      </font>
    </dxf>
    <dxf>
      <fill>
        <patternFill>
          <bgColor theme="9" tint="0.79998168889431442"/>
        </patternFill>
      </fill>
    </dxf>
    <dxf>
      <font>
        <b/>
        <i val="0"/>
        <strike val="0"/>
        <color auto="1"/>
      </font>
      <fill>
        <patternFill>
          <bgColor rgb="FFFFFFCC"/>
        </patternFill>
      </fill>
    </dxf>
    <dxf>
      <fill>
        <patternFill>
          <bgColor theme="9" tint="0.79998168889431442"/>
        </patternFill>
      </fill>
    </dxf>
    <dxf>
      <font>
        <b/>
        <i val="0"/>
        <color theme="0"/>
      </font>
      <fill>
        <patternFill>
          <bgColor rgb="FFFF0000"/>
        </patternFill>
      </fill>
    </dxf>
    <dxf>
      <fill>
        <patternFill>
          <bgColor theme="9" tint="0.79998168889431442"/>
        </patternFill>
      </fill>
    </dxf>
    <dxf>
      <font>
        <color rgb="FFC3DBB6"/>
      </font>
    </dxf>
    <dxf>
      <font>
        <b/>
        <i val="0"/>
        <strike val="0"/>
        <color auto="1"/>
      </font>
      <fill>
        <patternFill>
          <bgColor rgb="FFFFFFCC"/>
        </patternFill>
      </fill>
    </dxf>
    <dxf>
      <fill>
        <patternFill>
          <bgColor theme="9" tint="0.79998168889431442"/>
        </patternFill>
      </fill>
    </dxf>
    <dxf>
      <fill>
        <patternFill>
          <bgColor theme="9" tint="0.79998168889431442"/>
        </patternFill>
      </fill>
    </dxf>
    <dxf>
      <font>
        <color rgb="FFC3DBB6"/>
      </font>
    </dxf>
    <dxf>
      <font>
        <b/>
        <i val="0"/>
        <strike val="0"/>
        <color auto="1"/>
      </font>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strike val="0"/>
        <color auto="1"/>
      </font>
      <fill>
        <patternFill>
          <bgColor rgb="FFFFFFCC"/>
        </patternFill>
      </fill>
    </dxf>
    <dxf>
      <fill>
        <patternFill>
          <bgColor theme="9" tint="0.79998168889431442"/>
        </patternFill>
      </fill>
    </dxf>
    <dxf>
      <font>
        <color rgb="FFC3DBB6"/>
      </font>
    </dxf>
    <dxf>
      <font>
        <b/>
        <i val="0"/>
        <color theme="0"/>
      </font>
      <fill>
        <patternFill>
          <bgColor rgb="FFFF0000"/>
        </patternFill>
      </fill>
    </dxf>
    <dxf>
      <fill>
        <patternFill>
          <bgColor theme="9" tint="0.79998168889431442"/>
        </patternFill>
      </fill>
    </dxf>
    <dxf>
      <font>
        <color rgb="FFC3DBB6"/>
      </font>
    </dxf>
    <dxf>
      <fill>
        <patternFill>
          <bgColor rgb="FFFFFFCC"/>
        </patternFill>
      </fill>
    </dxf>
    <dxf>
      <fill>
        <patternFill>
          <bgColor theme="9" tint="0.79998168889431442"/>
        </patternFill>
      </fill>
    </dxf>
    <dxf>
      <fill>
        <patternFill>
          <bgColor theme="9" tint="0.79998168889431442"/>
        </patternFill>
      </fill>
    </dxf>
    <dxf>
      <font>
        <b/>
        <i val="0"/>
        <strike val="0"/>
        <color auto="1"/>
      </font>
      <fill>
        <patternFill>
          <bgColor rgb="FFFFFFCC"/>
        </patternFill>
      </fill>
    </dxf>
    <dxf>
      <fill>
        <patternFill>
          <bgColor theme="9" tint="0.79998168889431442"/>
        </patternFill>
      </fill>
    </dxf>
    <dxf>
      <font>
        <b/>
        <i val="0"/>
        <color theme="0"/>
      </font>
      <fill>
        <patternFill>
          <bgColor rgb="FFFF0000"/>
        </patternFill>
      </fill>
    </dxf>
    <dxf>
      <font>
        <color rgb="FFC3DBB6"/>
      </font>
    </dxf>
    <dxf>
      <font>
        <color rgb="FFC3DBB6"/>
      </font>
    </dxf>
    <dxf>
      <font>
        <color rgb="FFFFFFCC"/>
      </font>
    </dxf>
    <dxf>
      <fill>
        <patternFill>
          <bgColor theme="9" tint="0.79998168889431442"/>
        </patternFill>
      </fill>
    </dxf>
    <dxf>
      <font>
        <b/>
        <i val="0"/>
        <color theme="0"/>
      </font>
      <fill>
        <patternFill>
          <bgColor rgb="FFFF0000"/>
        </patternFill>
      </fill>
    </dxf>
    <dxf>
      <font>
        <color rgb="FFC3DBB6"/>
      </font>
    </dxf>
    <dxf>
      <font>
        <b/>
        <i val="0"/>
        <color theme="0"/>
      </font>
      <fill>
        <patternFill>
          <bgColor rgb="FFFF0000"/>
        </patternFill>
      </fill>
    </dxf>
    <dxf>
      <font>
        <b/>
        <i val="0"/>
        <color rgb="FF006100"/>
      </font>
      <fill>
        <patternFill>
          <bgColor rgb="FFC6EFCE"/>
        </patternFill>
      </fill>
    </dxf>
    <dxf>
      <font>
        <b val="0"/>
        <i val="0"/>
        <color theme="0"/>
      </font>
      <fill>
        <patternFill>
          <bgColor rgb="FFFF0000"/>
        </patternFill>
      </fill>
    </dxf>
    <dxf>
      <font>
        <color rgb="FFFFFFCC"/>
      </font>
    </dxf>
    <dxf>
      <font>
        <color rgb="FF9C0006"/>
      </font>
      <fill>
        <patternFill>
          <bgColor rgb="FFFFC7CE"/>
        </patternFill>
      </fill>
    </dxf>
    <dxf>
      <font>
        <color theme="7" tint="0.79998168889431442"/>
      </font>
      <fill>
        <patternFill>
          <bgColor theme="7" tint="0.79998168889431442"/>
        </patternFill>
      </fill>
    </dxf>
    <dxf>
      <fill>
        <gradientFill>
          <stop position="0">
            <color rgb="FFFF0000"/>
          </stop>
          <stop position="1">
            <color theme="0"/>
          </stop>
        </gradientFill>
      </fill>
    </dxf>
    <dxf>
      <font>
        <b/>
        <i val="0"/>
        <color theme="0"/>
      </font>
      <fill>
        <patternFill>
          <bgColor rgb="FF00B050"/>
        </patternFill>
      </fill>
    </dxf>
    <dxf>
      <font>
        <color theme="4" tint="0.59996337778862885"/>
      </font>
      <fill>
        <patternFill>
          <bgColor theme="4" tint="0.59996337778862885"/>
        </patternFill>
      </fill>
    </dxf>
    <dxf>
      <font>
        <b/>
        <i val="0"/>
        <color theme="0"/>
      </font>
      <fill>
        <patternFill>
          <bgColor rgb="FFFF0000"/>
        </patternFill>
      </fill>
    </dxf>
    <dxf>
      <font>
        <b/>
        <i val="0"/>
        <color theme="0"/>
      </font>
      <fill>
        <patternFill>
          <bgColor rgb="FFFF0000"/>
        </patternFill>
      </fill>
    </dxf>
    <dxf>
      <font>
        <color theme="9" tint="0.59996337778862885"/>
      </font>
      <fill>
        <patternFill>
          <bgColor theme="9" tint="0.59996337778862885"/>
        </patternFill>
      </fill>
    </dxf>
    <dxf>
      <fill>
        <patternFill>
          <bgColor rgb="FFFF0000"/>
        </patternFill>
      </fill>
    </dxf>
    <dxf>
      <font>
        <color theme="9" tint="0.79998168889431442"/>
      </font>
      <fill>
        <patternFill patternType="solid">
          <bgColor theme="9" tint="0.79998168889431442"/>
        </patternFill>
      </fill>
    </dxf>
    <dxf>
      <font>
        <color theme="7" tint="0.79998168889431442"/>
      </font>
      <fill>
        <patternFill>
          <bgColor theme="7" tint="0.79998168889431442"/>
        </patternFill>
      </fill>
    </dxf>
    <dxf>
      <font>
        <b/>
        <i val="0"/>
        <color rgb="FF006100"/>
      </font>
      <fill>
        <patternFill>
          <bgColor rgb="FFC6EFCE"/>
        </patternFill>
      </fill>
    </dxf>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auto="1"/>
      </font>
      <fill>
        <patternFill>
          <bgColor theme="0" tint="-4.9989318521683403E-2"/>
        </patternFill>
      </fill>
      <border>
        <left style="thin">
          <color auto="1"/>
        </left>
        <right style="thin">
          <color auto="1"/>
        </right>
        <top style="thin">
          <color auto="1"/>
        </top>
        <bottom style="thin">
          <color auto="1"/>
        </bottom>
        <vertical/>
        <horizontal/>
      </border>
    </dxf>
    <dxf>
      <font>
        <color rgb="FFFF0000"/>
      </font>
      <fill>
        <patternFill>
          <bgColor rgb="FFFF8B8B"/>
        </patternFill>
      </fill>
    </dxf>
    <dxf>
      <fill>
        <patternFill>
          <bgColor rgb="FFFFC000"/>
        </patternFill>
      </fill>
    </dxf>
    <dxf>
      <fill>
        <patternFill>
          <bgColor rgb="FFFFC000"/>
        </patternFill>
      </fill>
    </dxf>
    <dxf>
      <font>
        <color theme="1"/>
      </font>
    </dxf>
    <dxf>
      <fill>
        <patternFill>
          <bgColor rgb="FFFFC0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rgb="FFFFC000"/>
        </patternFill>
      </fill>
    </dxf>
    <dxf>
      <fill>
        <patternFill>
          <bgColor rgb="FFFFC000"/>
        </patternFill>
      </fill>
    </dxf>
    <dxf>
      <font>
        <color auto="1"/>
      </font>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C3DBB6"/>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1"/>
      </font>
    </dxf>
  </dxfs>
  <tableStyles count="0" defaultTableStyle="TableStyleMedium9" defaultPivotStyle="PivotStyleMedium7"/>
  <colors>
    <mruColors>
      <color rgb="FFC3DBB6"/>
      <color rgb="FFFF4F4F"/>
      <color rgb="FF39870C"/>
      <color rgb="FFFFFFCC"/>
      <color rgb="FFFFFFFF"/>
      <color rgb="FFFFFF99"/>
      <color rgb="FF000066"/>
      <color rgb="FFCCECFF"/>
      <color rgb="FFFF8B8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nvulhulp Eisen en wensen'!A20"/><Relationship Id="rId3" Type="http://schemas.openxmlformats.org/officeDocument/2006/relationships/hyperlink" Target="#'Informatie Raamovereenkomsten'!A1"/><Relationship Id="rId7" Type="http://schemas.openxmlformats.org/officeDocument/2006/relationships/hyperlink" Target="#'Invulhulp Eisen en wensen'!A1"/><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Info VOG Items'!A1"/><Relationship Id="rId9" Type="http://schemas.openxmlformats.org/officeDocument/2006/relationships/hyperlink" Target="#'Invulhulp Eisen en wensen'!A31"/></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Invulhulp Beoordelingsformulier'!A1"/><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hyperlink" Target="#Beoordelingsformulier!A1"/><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773906</xdr:colOff>
      <xdr:row>51</xdr:row>
      <xdr:rowOff>52385</xdr:rowOff>
    </xdr:from>
    <xdr:to>
      <xdr:col>15</xdr:col>
      <xdr:colOff>597694</xdr:colOff>
      <xdr:row>58</xdr:row>
      <xdr:rowOff>157160</xdr:rowOff>
    </xdr:to>
    <xdr:sp macro="" textlink="">
      <xdr:nvSpPr>
        <xdr:cNvPr id="19" name="Tekstvak 18">
          <a:extLst>
            <a:ext uri="{FF2B5EF4-FFF2-40B4-BE49-F238E27FC236}">
              <a16:creationId xmlns:a16="http://schemas.microsoft.com/office/drawing/2014/main" id="{1FECCDAF-4127-40EF-8233-FB37395B8F2C}"/>
            </a:ext>
          </a:extLst>
        </xdr:cNvPr>
        <xdr:cNvSpPr txBox="1"/>
      </xdr:nvSpPr>
      <xdr:spPr>
        <a:xfrm>
          <a:off x="11413331" y="17635535"/>
          <a:ext cx="4681538" cy="2124075"/>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Wensen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 beoordeling op kwaliteit vindt plaats op basis van de </a:t>
          </a:r>
          <a:r>
            <a:rPr lang="nl-NL" sz="1100" b="1">
              <a:solidFill>
                <a:schemeClr val="dk1"/>
              </a:solidFill>
              <a:effectLst/>
              <a:latin typeface="+mn-lt"/>
              <a:ea typeface="+mn-ea"/>
              <a:cs typeface="+mn-cs"/>
            </a:rPr>
            <a:t>wensen</a:t>
          </a:r>
          <a:r>
            <a:rPr lang="nl-NL" sz="1100">
              <a:solidFill>
                <a:schemeClr val="dk1"/>
              </a:solidFill>
              <a:effectLst/>
              <a:latin typeface="+mn-lt"/>
              <a:ea typeface="+mn-ea"/>
              <a:cs typeface="+mn-cs"/>
            </a:rPr>
            <a:t>. Deze zijn daarom verplicht.</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Vermeld voldoende wensen (competenties, kennis en overige functiewensen) waarop de kwaliteit van kandidaten beoordeeld wordt op basis van het CV en in een gesprek.</a:t>
          </a:r>
        </a:p>
        <a:p>
          <a:endParaRPr lang="nl-NL" sz="1100">
            <a:solidFill>
              <a:schemeClr val="dk1"/>
            </a:solidFill>
            <a:effectLst/>
            <a:latin typeface="+mn-lt"/>
            <a:ea typeface="+mn-ea"/>
            <a:cs typeface="+mn-cs"/>
          </a:endParaRPr>
        </a:p>
      </xdr:txBody>
    </xdr:sp>
    <xdr:clientData/>
  </xdr:twoCellAnchor>
  <xdr:twoCellAnchor>
    <xdr:from>
      <xdr:col>10</xdr:col>
      <xdr:colOff>16666</xdr:colOff>
      <xdr:row>29</xdr:row>
      <xdr:rowOff>209553</xdr:rowOff>
    </xdr:from>
    <xdr:to>
      <xdr:col>15</xdr:col>
      <xdr:colOff>464343</xdr:colOff>
      <xdr:row>35</xdr:row>
      <xdr:rowOff>309563</xdr:rowOff>
    </xdr:to>
    <xdr:sp macro="" textlink="">
      <xdr:nvSpPr>
        <xdr:cNvPr id="18" name="Tekstvak 17">
          <a:extLst>
            <a:ext uri="{FF2B5EF4-FFF2-40B4-BE49-F238E27FC236}">
              <a16:creationId xmlns:a16="http://schemas.microsoft.com/office/drawing/2014/main" id="{1B85A703-EE8E-401A-912D-4B719F4623C8}"/>
            </a:ext>
          </a:extLst>
        </xdr:cNvPr>
        <xdr:cNvSpPr txBox="1"/>
      </xdr:nvSpPr>
      <xdr:spPr>
        <a:xfrm>
          <a:off x="11446666" y="11515728"/>
          <a:ext cx="4514852" cy="1738310"/>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Eisen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 eisen zijn </a:t>
          </a:r>
          <a:r>
            <a:rPr lang="nl-NL" sz="1100" b="1">
              <a:solidFill>
                <a:schemeClr val="dk1"/>
              </a:solidFill>
              <a:effectLst/>
              <a:latin typeface="+mn-lt"/>
              <a:ea typeface="+mn-ea"/>
              <a:cs typeface="+mn-cs"/>
            </a:rPr>
            <a:t>Knock-out criteria</a:t>
          </a:r>
          <a:r>
            <a:rPr lang="nl-NL" sz="1100">
              <a:solidFill>
                <a:schemeClr val="dk1"/>
              </a:solidFill>
              <a:effectLst/>
              <a:latin typeface="+mn-lt"/>
              <a:ea typeface="+mn-ea"/>
              <a:cs typeface="+mn-cs"/>
            </a:rPr>
            <a:t>. Op de eisen wordt </a:t>
          </a:r>
          <a:r>
            <a:rPr lang="nl-NL" sz="1100" b="1">
              <a:solidFill>
                <a:schemeClr val="dk1"/>
              </a:solidFill>
              <a:effectLst/>
              <a:latin typeface="+mn-lt"/>
              <a:ea typeface="+mn-ea"/>
              <a:cs typeface="+mn-cs"/>
            </a:rPr>
            <a:t>niet</a:t>
          </a:r>
          <a:r>
            <a:rPr lang="nl-NL" sz="1100">
              <a:solidFill>
                <a:schemeClr val="dk1"/>
              </a:solidFill>
              <a:effectLst/>
              <a:latin typeface="+mn-lt"/>
              <a:ea typeface="+mn-ea"/>
              <a:cs typeface="+mn-cs"/>
            </a:rPr>
            <a:t> beoordeeld op kwaliteit. Vermeld daarom de </a:t>
          </a:r>
          <a:r>
            <a:rPr lang="nl-NL" sz="1100" b="1" u="sng">
              <a:solidFill>
                <a:schemeClr val="dk1"/>
              </a:solidFill>
              <a:effectLst/>
              <a:latin typeface="+mn-lt"/>
              <a:ea typeface="+mn-ea"/>
              <a:cs typeface="+mn-cs"/>
            </a:rPr>
            <a:t>minimumeisen</a:t>
          </a:r>
          <a:r>
            <a:rPr lang="nl-NL" sz="1100">
              <a:solidFill>
                <a:schemeClr val="dk1"/>
              </a:solidFill>
              <a:effectLst/>
              <a:latin typeface="+mn-lt"/>
              <a:ea typeface="+mn-ea"/>
              <a:cs typeface="+mn-cs"/>
            </a:rPr>
            <a:t> voor de functie.</a:t>
          </a:r>
        </a:p>
      </xdr:txBody>
    </xdr:sp>
    <xdr:clientData/>
  </xdr:twoCellAnchor>
  <xdr:twoCellAnchor editAs="oneCell">
    <xdr:from>
      <xdr:col>7</xdr:col>
      <xdr:colOff>145258</xdr:colOff>
      <xdr:row>0</xdr:row>
      <xdr:rowOff>0</xdr:rowOff>
    </xdr:from>
    <xdr:to>
      <xdr:col>7</xdr:col>
      <xdr:colOff>599463</xdr:colOff>
      <xdr:row>2</xdr:row>
      <xdr:rowOff>274313</xdr:rowOff>
    </xdr:to>
    <xdr:pic macro="[0]!OverzichtInhuurDesk.OverzichtInhuurdesk">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aturation sat="200000"/>
                  </a14:imgEffect>
                </a14:imgLayer>
              </a14:imgProps>
            </a:ext>
          </a:extLst>
        </a:blip>
        <a:srcRect l="24830" r="26563"/>
        <a:stretch/>
      </xdr:blipFill>
      <xdr:spPr>
        <a:xfrm>
          <a:off x="9444039" y="0"/>
          <a:ext cx="454205" cy="941063"/>
        </a:xfrm>
        <a:prstGeom prst="rect">
          <a:avLst/>
        </a:prstGeom>
      </xdr:spPr>
    </xdr:pic>
    <xdr:clientData/>
  </xdr:twoCellAnchor>
  <xdr:twoCellAnchor>
    <xdr:from>
      <xdr:col>0</xdr:col>
      <xdr:colOff>114300</xdr:colOff>
      <xdr:row>52</xdr:row>
      <xdr:rowOff>57150</xdr:rowOff>
    </xdr:from>
    <xdr:to>
      <xdr:col>0</xdr:col>
      <xdr:colOff>1200150</xdr:colOff>
      <xdr:row>69</xdr:row>
      <xdr:rowOff>0</xdr:rowOff>
    </xdr:to>
    <xdr:sp macro="" textlink="">
      <xdr:nvSpPr>
        <xdr:cNvPr id="5" name="Toelichting met PIJL-RECHTS 4">
          <a:extLst>
            <a:ext uri="{FF2B5EF4-FFF2-40B4-BE49-F238E27FC236}">
              <a16:creationId xmlns:a16="http://schemas.microsoft.com/office/drawing/2014/main" id="{00000000-0008-0000-0000-000005000000}"/>
            </a:ext>
          </a:extLst>
        </xdr:cNvPr>
        <xdr:cNvSpPr/>
      </xdr:nvSpPr>
      <xdr:spPr>
        <a:xfrm>
          <a:off x="114300" y="17764125"/>
          <a:ext cx="1085850" cy="5095875"/>
        </a:xfrm>
        <a:prstGeom prst="rightArrowCallout">
          <a:avLst>
            <a:gd name="adj1" fmla="val 25000"/>
            <a:gd name="adj2" fmla="val 25000"/>
            <a:gd name="adj3" fmla="val 25000"/>
            <a:gd name="adj4" fmla="val 39396"/>
          </a:avLst>
        </a:prstGeom>
        <a:solidFill>
          <a:schemeClr val="accent6"/>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WENSEN*</a:t>
          </a:r>
        </a:p>
      </xdr:txBody>
    </xdr:sp>
    <xdr:clientData/>
  </xdr:twoCellAnchor>
  <xdr:twoCellAnchor>
    <xdr:from>
      <xdr:col>0</xdr:col>
      <xdr:colOff>114300</xdr:colOff>
      <xdr:row>31</xdr:row>
      <xdr:rowOff>57151</xdr:rowOff>
    </xdr:from>
    <xdr:to>
      <xdr:col>0</xdr:col>
      <xdr:colOff>1200150</xdr:colOff>
      <xdr:row>49</xdr:row>
      <xdr:rowOff>276226</xdr:rowOff>
    </xdr:to>
    <xdr:sp macro="" textlink="">
      <xdr:nvSpPr>
        <xdr:cNvPr id="6" name="Toelichting met PIJL-RECHTS 5">
          <a:extLst>
            <a:ext uri="{FF2B5EF4-FFF2-40B4-BE49-F238E27FC236}">
              <a16:creationId xmlns:a16="http://schemas.microsoft.com/office/drawing/2014/main" id="{00000000-0008-0000-0000-000006000000}"/>
            </a:ext>
          </a:extLst>
        </xdr:cNvPr>
        <xdr:cNvSpPr/>
      </xdr:nvSpPr>
      <xdr:spPr>
        <a:xfrm>
          <a:off x="114300" y="11744326"/>
          <a:ext cx="1085850" cy="5667375"/>
        </a:xfrm>
        <a:prstGeom prst="rightArrowCallout">
          <a:avLst>
            <a:gd name="adj1" fmla="val 25000"/>
            <a:gd name="adj2" fmla="val 25000"/>
            <a:gd name="adj3" fmla="val 25000"/>
            <a:gd name="adj4" fmla="val 39396"/>
          </a:avLst>
        </a:prstGeom>
        <a:solidFill>
          <a:schemeClr val="accent6"/>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EISEN*</a:t>
          </a:r>
        </a:p>
      </xdr:txBody>
    </xdr:sp>
    <xdr:clientData/>
  </xdr:twoCellAnchor>
  <xdr:twoCellAnchor>
    <xdr:from>
      <xdr:col>10</xdr:col>
      <xdr:colOff>57150</xdr:colOff>
      <xdr:row>2</xdr:row>
      <xdr:rowOff>26194</xdr:rowOff>
    </xdr:from>
    <xdr:to>
      <xdr:col>15</xdr:col>
      <xdr:colOff>647700</xdr:colOff>
      <xdr:row>25</xdr:row>
      <xdr:rowOff>742950</xdr:rowOff>
    </xdr:to>
    <xdr:sp macro="" textlink="">
      <xdr:nvSpPr>
        <xdr:cNvPr id="3" name="Tekstvak 2">
          <a:extLst>
            <a:ext uri="{FF2B5EF4-FFF2-40B4-BE49-F238E27FC236}">
              <a16:creationId xmlns:a16="http://schemas.microsoft.com/office/drawing/2014/main" id="{E0447001-2D96-473F-8491-E380281120B9}"/>
            </a:ext>
          </a:extLst>
        </xdr:cNvPr>
        <xdr:cNvSpPr txBox="1"/>
      </xdr:nvSpPr>
      <xdr:spPr>
        <a:xfrm>
          <a:off x="11487150" y="692944"/>
          <a:ext cx="4657725" cy="7346156"/>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Instructie invullen inhuurformulier</a:t>
          </a:r>
        </a:p>
        <a:p>
          <a:r>
            <a:rPr lang="nl-NL" sz="1000" baseline="0">
              <a:latin typeface="Verdana" panose="020B0604030504040204" pitchFamily="34" charset="0"/>
              <a:ea typeface="Verdana" panose="020B0604030504040204" pitchFamily="34" charset="0"/>
              <a:cs typeface="Verdana" panose="020B0604030504040204" pitchFamily="34" charset="0"/>
            </a:rPr>
            <a:t>1. Graag het formulier van boven naar beneden invullen. </a:t>
          </a:r>
        </a:p>
        <a:p>
          <a:r>
            <a:rPr lang="nl-NL" sz="1000" baseline="0">
              <a:latin typeface="Verdana" panose="020B0604030504040204" pitchFamily="34" charset="0"/>
              <a:ea typeface="Verdana" panose="020B0604030504040204" pitchFamily="34" charset="0"/>
              <a:cs typeface="Verdana" panose="020B0604030504040204" pitchFamily="34" charset="0"/>
            </a:rPr>
            <a:t>2. Graag de velden die zijn gemarkeerd met </a:t>
          </a:r>
          <a:r>
            <a:rPr lang="nl-NL" sz="1000" b="1" baseline="0">
              <a:latin typeface="Verdana" panose="020B0604030504040204" pitchFamily="34" charset="0"/>
              <a:ea typeface="Verdana" panose="020B0604030504040204" pitchFamily="34" charset="0"/>
              <a:cs typeface="Verdana" panose="020B0604030504040204" pitchFamily="34" charset="0"/>
            </a:rPr>
            <a:t>*</a:t>
          </a:r>
          <a:r>
            <a:rPr lang="nl-NL" sz="1000" baseline="0">
              <a:latin typeface="Verdana" panose="020B0604030504040204" pitchFamily="34" charset="0"/>
              <a:ea typeface="Verdana" panose="020B0604030504040204" pitchFamily="34" charset="0"/>
              <a:cs typeface="Verdana" panose="020B0604030504040204" pitchFamily="34" charset="0"/>
            </a:rPr>
            <a:t> invullen, de overige velden zijn optioneel.</a:t>
          </a:r>
        </a:p>
        <a:p>
          <a:r>
            <a:rPr lang="nl-NL" sz="1000" baseline="0">
              <a:latin typeface="Verdana" panose="020B0604030504040204" pitchFamily="34" charset="0"/>
              <a:ea typeface="Verdana" panose="020B0604030504040204" pitchFamily="34" charset="0"/>
              <a:cs typeface="Verdana" panose="020B0604030504040204" pitchFamily="34" charset="0"/>
            </a:rPr>
            <a:t>3. Bij een groot aantal velden is er een keuzemenu ingeregeld. Graag op het witte veld en het      rechts klikken om het keuzemenu te openen. Voor de velden die geen keuzemenu hebben kunt u de velden zelf invullen.</a:t>
          </a:r>
        </a:p>
        <a:p>
          <a:r>
            <a:rPr lang="nl-NL" sz="1000" baseline="0">
              <a:latin typeface="Verdana" panose="020B0604030504040204" pitchFamily="34" charset="0"/>
              <a:ea typeface="Verdana" panose="020B0604030504040204" pitchFamily="34" charset="0"/>
              <a:cs typeface="Verdana" panose="020B0604030504040204" pitchFamily="34" charset="0"/>
            </a:rPr>
            <a:t>4. Bij een groot aantal velden is rechtsboven een     weergeven, wanneer je hier met je muis overheen gaat verschijnt er een korte uitleg van het desbetreffende veld.</a:t>
          </a:r>
        </a:p>
        <a:p>
          <a:br>
            <a:rPr lang="nl-NL" sz="1000" baseline="0">
              <a:latin typeface="Verdana" panose="020B0604030504040204" pitchFamily="34" charset="0"/>
              <a:ea typeface="Verdana" panose="020B0604030504040204" pitchFamily="34" charset="0"/>
              <a:cs typeface="Verdana" panose="020B0604030504040204" pitchFamily="34" charset="0"/>
            </a:rPr>
          </a:b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 </a:t>
          </a:r>
          <a:r>
            <a:rPr lang="nl-NL" sz="1000" b="1" baseline="0">
              <a:solidFill>
                <a:schemeClr val="accent2"/>
              </a:solidFill>
              <a:latin typeface="Verdana" panose="020B0604030504040204" pitchFamily="34" charset="0"/>
              <a:ea typeface="Verdana" panose="020B0604030504040204" pitchFamily="34" charset="0"/>
              <a:cs typeface="Verdana" panose="020B0604030504040204" pitchFamily="34" charset="0"/>
            </a:rPr>
            <a:t>Oranje</a:t>
          </a: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velden zijn verplicht om in te vullen.</a:t>
          </a:r>
          <a:b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b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 </a:t>
          </a:r>
          <a:r>
            <a:rPr lang="nl-NL" sz="1000" b="1" baseline="0">
              <a:solidFill>
                <a:schemeClr val="bg1"/>
              </a:solidFill>
              <a:latin typeface="Verdana" panose="020B0604030504040204" pitchFamily="34" charset="0"/>
              <a:ea typeface="Verdana" panose="020B0604030504040204" pitchFamily="34" charset="0"/>
              <a:cs typeface="Verdana" panose="020B0604030504040204" pitchFamily="34" charset="0"/>
            </a:rPr>
            <a:t>Witte</a:t>
          </a: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velden zijn optioneel.</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uitgebreide informatie over de Raamovereenkomsten, percelen en functieprofielen is er een extra tabblad toegevoegd. </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een overzicht van de VOG Items is er een extra tabblad toegevoegd.</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ondersteuning met betrekking tot het invullen van de eisen, wensen en beoordeling is er een extra tabblad toegevoegd.</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Indien u nog verdere vragen heeft of hulp nodig hebt bij het invullen van het formulier kunt u contact opnemen met de inhuurdesk (Account Team 11) via </a:t>
          </a:r>
          <a:r>
            <a:rPr lang="nl-NL"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Accountteam11@rvo.nl</a:t>
          </a:r>
          <a:r>
            <a:rPr lang="nl-NL"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a:t>
          </a:r>
          <a:endParaRPr lang="nl-NL"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457200</xdr:colOff>
      <xdr:row>14</xdr:row>
      <xdr:rowOff>28575</xdr:rowOff>
    </xdr:from>
    <xdr:to>
      <xdr:col>13</xdr:col>
      <xdr:colOff>428624</xdr:colOff>
      <xdr:row>17</xdr:row>
      <xdr:rowOff>9525</xdr:rowOff>
    </xdr:to>
    <xdr:sp macro="" textlink="">
      <xdr:nvSpPr>
        <xdr:cNvPr id="11" name="Tekstvak 10">
          <a:hlinkClick xmlns:r="http://schemas.openxmlformats.org/officeDocument/2006/relationships" r:id="rId3"/>
          <a:extLst>
            <a:ext uri="{FF2B5EF4-FFF2-40B4-BE49-F238E27FC236}">
              <a16:creationId xmlns:a16="http://schemas.microsoft.com/office/drawing/2014/main" id="{5B44511D-69E1-4BD3-99D4-9F956417A3A8}"/>
            </a:ext>
          </a:extLst>
        </xdr:cNvPr>
        <xdr:cNvSpPr txBox="1"/>
      </xdr:nvSpPr>
      <xdr:spPr>
        <a:xfrm>
          <a:off x="11887200" y="3543300"/>
          <a:ext cx="2381249" cy="52387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 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meer informatie over de Raamovereenkomsten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485775</xdr:colOff>
      <xdr:row>20</xdr:row>
      <xdr:rowOff>95250</xdr:rowOff>
    </xdr:from>
    <xdr:to>
      <xdr:col>13</xdr:col>
      <xdr:colOff>423150</xdr:colOff>
      <xdr:row>23</xdr:row>
      <xdr:rowOff>9525</xdr:rowOff>
    </xdr:to>
    <xdr:sp macro="" textlink="">
      <xdr:nvSpPr>
        <xdr:cNvPr id="12" name="Tekstvak 11">
          <a:hlinkClick xmlns:r="http://schemas.openxmlformats.org/officeDocument/2006/relationships" r:id="rId4"/>
          <a:extLst>
            <a:ext uri="{FF2B5EF4-FFF2-40B4-BE49-F238E27FC236}">
              <a16:creationId xmlns:a16="http://schemas.microsoft.com/office/drawing/2014/main" id="{903022A8-C51C-4026-82E8-20A0EC5F299B}"/>
            </a:ext>
          </a:extLst>
        </xdr:cNvPr>
        <xdr:cNvSpPr txBox="1"/>
      </xdr:nvSpPr>
      <xdr:spPr>
        <a:xfrm>
          <a:off x="11915775" y="4810125"/>
          <a:ext cx="2347200" cy="98107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een overzicht van de VOG Items</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12</xdr:col>
      <xdr:colOff>171450</xdr:colOff>
      <xdr:row>4</xdr:row>
      <xdr:rowOff>61632</xdr:rowOff>
    </xdr:from>
    <xdr:to>
      <xdr:col>12</xdr:col>
      <xdr:colOff>361926</xdr:colOff>
      <xdr:row>5</xdr:row>
      <xdr:rowOff>29298</xdr:rowOff>
    </xdr:to>
    <xdr:pic>
      <xdr:nvPicPr>
        <xdr:cNvPr id="13" name="Afbeelding 12">
          <a:extLst>
            <a:ext uri="{FF2B5EF4-FFF2-40B4-BE49-F238E27FC236}">
              <a16:creationId xmlns:a16="http://schemas.microsoft.com/office/drawing/2014/main" id="{6C66ECBA-AE72-4267-9156-F0ADA7747498}"/>
            </a:ext>
          </a:extLst>
        </xdr:cNvPr>
        <xdr:cNvPicPr>
          <a:picLocks noChangeAspect="1"/>
        </xdr:cNvPicPr>
      </xdr:nvPicPr>
      <xdr:blipFill>
        <a:blip xmlns:r="http://schemas.openxmlformats.org/officeDocument/2006/relationships" r:embed="rId5"/>
        <a:stretch>
          <a:fillRect/>
        </a:stretch>
      </xdr:blipFill>
      <xdr:spPr>
        <a:xfrm>
          <a:off x="12534900" y="1547532"/>
          <a:ext cx="190476" cy="189916"/>
        </a:xfrm>
        <a:prstGeom prst="rect">
          <a:avLst/>
        </a:prstGeom>
      </xdr:spPr>
    </xdr:pic>
    <xdr:clientData/>
  </xdr:twoCellAnchor>
  <xdr:twoCellAnchor editAs="oneCell">
    <xdr:from>
      <xdr:col>14</xdr:col>
      <xdr:colOff>130104</xdr:colOff>
      <xdr:row>6</xdr:row>
      <xdr:rowOff>190590</xdr:rowOff>
    </xdr:from>
    <xdr:to>
      <xdr:col>14</xdr:col>
      <xdr:colOff>249331</xdr:colOff>
      <xdr:row>7</xdr:row>
      <xdr:rowOff>114861</xdr:rowOff>
    </xdr:to>
    <xdr:pic>
      <xdr:nvPicPr>
        <xdr:cNvPr id="14" name="Afbeelding 13">
          <a:extLst>
            <a:ext uri="{FF2B5EF4-FFF2-40B4-BE49-F238E27FC236}">
              <a16:creationId xmlns:a16="http://schemas.microsoft.com/office/drawing/2014/main" id="{53E12E18-D644-400B-9F26-89180A5EE34B}"/>
            </a:ext>
          </a:extLst>
        </xdr:cNvPr>
        <xdr:cNvPicPr>
          <a:picLocks noChangeAspect="1"/>
        </xdr:cNvPicPr>
      </xdr:nvPicPr>
      <xdr:blipFill>
        <a:blip xmlns:r="http://schemas.openxmlformats.org/officeDocument/2006/relationships" r:embed="rId6"/>
        <a:stretch>
          <a:fillRect/>
        </a:stretch>
      </xdr:blipFill>
      <xdr:spPr>
        <a:xfrm>
          <a:off x="14150904" y="2038440"/>
          <a:ext cx="119227" cy="143346"/>
        </a:xfrm>
        <a:prstGeom prst="rect">
          <a:avLst/>
        </a:prstGeom>
      </xdr:spPr>
    </xdr:pic>
    <xdr:clientData/>
  </xdr:twoCellAnchor>
  <xdr:twoCellAnchor>
    <xdr:from>
      <xdr:col>10</xdr:col>
      <xdr:colOff>485775</xdr:colOff>
      <xdr:row>23</xdr:row>
      <xdr:rowOff>723900</xdr:rowOff>
    </xdr:from>
    <xdr:to>
      <xdr:col>13</xdr:col>
      <xdr:colOff>429500</xdr:colOff>
      <xdr:row>23</xdr:row>
      <xdr:rowOff>1263650</xdr:rowOff>
    </xdr:to>
    <xdr:sp macro="" textlink="">
      <xdr:nvSpPr>
        <xdr:cNvPr id="10" name="Tekstvak 9">
          <a:hlinkClick xmlns:r="http://schemas.openxmlformats.org/officeDocument/2006/relationships" r:id="rId7"/>
          <a:extLst>
            <a:ext uri="{FF2B5EF4-FFF2-40B4-BE49-F238E27FC236}">
              <a16:creationId xmlns:a16="http://schemas.microsoft.com/office/drawing/2014/main" id="{31856676-FF23-4162-BDD6-7BA7BD44058B}"/>
            </a:ext>
          </a:extLst>
        </xdr:cNvPr>
        <xdr:cNvSpPr txBox="1"/>
      </xdr:nvSpPr>
      <xdr:spPr>
        <a:xfrm>
          <a:off x="11915775" y="6505575"/>
          <a:ext cx="2353550" cy="5397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eisen, wensen en beoordeling</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595312</xdr:colOff>
      <xdr:row>32</xdr:row>
      <xdr:rowOff>309562</xdr:rowOff>
    </xdr:from>
    <xdr:to>
      <xdr:col>13</xdr:col>
      <xdr:colOff>582460</xdr:colOff>
      <xdr:row>34</xdr:row>
      <xdr:rowOff>202873</xdr:rowOff>
    </xdr:to>
    <xdr:sp macro="" textlink="">
      <xdr:nvSpPr>
        <xdr:cNvPr id="15" name="Tekstvak 14">
          <a:hlinkClick xmlns:r="http://schemas.openxmlformats.org/officeDocument/2006/relationships" r:id="rId7"/>
          <a:extLst>
            <a:ext uri="{FF2B5EF4-FFF2-40B4-BE49-F238E27FC236}">
              <a16:creationId xmlns:a16="http://schemas.microsoft.com/office/drawing/2014/main" id="{DDE9CF56-4F9B-4856-BBE4-CF21B90A5CBE}"/>
            </a:ext>
          </a:extLst>
        </xdr:cNvPr>
        <xdr:cNvSpPr txBox="1"/>
      </xdr:nvSpPr>
      <xdr:spPr>
        <a:xfrm>
          <a:off x="12025312" y="12282487"/>
          <a:ext cx="2396973" cy="541011"/>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eisen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407194</xdr:colOff>
      <xdr:row>56</xdr:row>
      <xdr:rowOff>28575</xdr:rowOff>
    </xdr:from>
    <xdr:to>
      <xdr:col>13</xdr:col>
      <xdr:colOff>294330</xdr:colOff>
      <xdr:row>57</xdr:row>
      <xdr:rowOff>243354</xdr:rowOff>
    </xdr:to>
    <xdr:sp macro="" textlink="">
      <xdr:nvSpPr>
        <xdr:cNvPr id="16" name="Tekstvak 15">
          <a:hlinkClick xmlns:r="http://schemas.openxmlformats.org/officeDocument/2006/relationships" r:id="rId8"/>
          <a:extLst>
            <a:ext uri="{FF2B5EF4-FFF2-40B4-BE49-F238E27FC236}">
              <a16:creationId xmlns:a16="http://schemas.microsoft.com/office/drawing/2014/main" id="{C76DD283-1EAC-4EFE-B6EB-F524BB4F7227}"/>
            </a:ext>
          </a:extLst>
        </xdr:cNvPr>
        <xdr:cNvSpPr txBox="1"/>
      </xdr:nvSpPr>
      <xdr:spPr>
        <a:xfrm>
          <a:off x="11837194" y="18983325"/>
          <a:ext cx="2296961" cy="538629"/>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wensen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273844</xdr:colOff>
      <xdr:row>74</xdr:row>
      <xdr:rowOff>452438</xdr:rowOff>
    </xdr:from>
    <xdr:to>
      <xdr:col>13</xdr:col>
      <xdr:colOff>213367</xdr:colOff>
      <xdr:row>75</xdr:row>
      <xdr:rowOff>39688</xdr:rowOff>
    </xdr:to>
    <xdr:sp macro="" textlink="">
      <xdr:nvSpPr>
        <xdr:cNvPr id="17" name="Tekstvak 16">
          <a:hlinkClick xmlns:r="http://schemas.openxmlformats.org/officeDocument/2006/relationships" r:id="rId9"/>
          <a:extLst>
            <a:ext uri="{FF2B5EF4-FFF2-40B4-BE49-F238E27FC236}">
              <a16:creationId xmlns:a16="http://schemas.microsoft.com/office/drawing/2014/main" id="{DA53253A-89E9-40EF-92D5-129B603B5246}"/>
            </a:ext>
          </a:extLst>
        </xdr:cNvPr>
        <xdr:cNvSpPr txBox="1"/>
      </xdr:nvSpPr>
      <xdr:spPr>
        <a:xfrm>
          <a:off x="11703844" y="24303038"/>
          <a:ext cx="2349348" cy="5397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beoordeling</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104777</xdr:colOff>
      <xdr:row>124</xdr:row>
      <xdr:rowOff>1</xdr:rowOff>
    </xdr:from>
    <xdr:to>
      <xdr:col>17</xdr:col>
      <xdr:colOff>0</xdr:colOff>
      <xdr:row>146</xdr:row>
      <xdr:rowOff>200026</xdr:rowOff>
    </xdr:to>
    <xdr:sp macro="" textlink="">
      <xdr:nvSpPr>
        <xdr:cNvPr id="7" name="Tekstvak 6">
          <a:extLst>
            <a:ext uri="{FF2B5EF4-FFF2-40B4-BE49-F238E27FC236}">
              <a16:creationId xmlns:a16="http://schemas.microsoft.com/office/drawing/2014/main" id="{9EE42750-69AF-477F-9A78-A2F267214CA1}"/>
            </a:ext>
          </a:extLst>
        </xdr:cNvPr>
        <xdr:cNvSpPr txBox="1"/>
      </xdr:nvSpPr>
      <xdr:spPr>
        <a:xfrm>
          <a:off x="11534777" y="34871026"/>
          <a:ext cx="5619748" cy="4838700"/>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Wet DBA: Waarom moet ik dit invullen?</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a:latin typeface="Verdana" panose="020B0604030504040204" pitchFamily="34" charset="0"/>
              <a:ea typeface="Verdana" panose="020B0604030504040204" pitchFamily="34" charset="0"/>
              <a:cs typeface="Verdana" panose="020B0604030504040204" pitchFamily="34" charset="0"/>
            </a:rPr>
            <a:t>Onderstaande 3 vragen zijn ter communicatie naar de mantelpartijen, zodat zij een juiste afweging kunnen maken of zij voor de opdracht een zelfstandige (ZZP) aanbieden. Dit vanwege de risico’s m.b.t. de wet DBA. Bij opdrachten waarbij sprake is van gezag (leiding en toezicht) en persoonlijke arbeid (geen vrije vervanging) kan worden geconcludeerd dat er sprake is van loondienst en moet de werkgever loonheffingen inhouden en betalen.Wil je bij de inhuur van een ZZP’er ervoor zorgen dat er geen sprake is van loondienst? Dan zul tenminste één van de kenmerken moeten uitsluiten. Let wel, het op papier zetten is één, maar er moet ook sprake van zijn in de praktijk.Voor vragen hierover kun je het beste contact opnemen met jouw P&amp;O-adviseur.</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Opmerking bij leiding en toezicht: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u="sng">
              <a:latin typeface="Verdana" panose="020B0604030504040204" pitchFamily="34" charset="0"/>
              <a:ea typeface="Verdana" panose="020B0604030504040204" pitchFamily="34" charset="0"/>
              <a:cs typeface="Verdana" panose="020B0604030504040204" pitchFamily="34" charset="0"/>
            </a:rPr>
            <a:t>Indien Ja: </a:t>
          </a:r>
          <a:r>
            <a:rPr lang="nl-NL" sz="1000" b="0">
              <a:latin typeface="Verdana" panose="020B0604030504040204" pitchFamily="34" charset="0"/>
              <a:ea typeface="Verdana" panose="020B0604030504040204" pitchFamily="34" charset="0"/>
              <a:cs typeface="Verdana" panose="020B0604030504040204" pitchFamily="34" charset="0"/>
            </a:rPr>
            <a:t>Opdrachtgever geeft instructies over de manier waarop de opdracht moet worden uitgevoerd (dus over het ‘hoe’) en niet alleen over het resultaat (het ‘wat’).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Opmerking bij vrije vervanging:</a:t>
          </a:r>
          <a:br>
            <a:rPr lang="nl-NL" sz="1000" b="1">
              <a:latin typeface="Verdana" panose="020B0604030504040204" pitchFamily="34" charset="0"/>
              <a:ea typeface="Verdana" panose="020B0604030504040204" pitchFamily="34" charset="0"/>
              <a:cs typeface="Verdana" panose="020B0604030504040204" pitchFamily="34" charset="0"/>
            </a:rPr>
          </a:br>
          <a:r>
            <a:rPr lang="nl-NL" sz="1000" b="0" u="sng">
              <a:latin typeface="Verdana" panose="020B0604030504040204" pitchFamily="34" charset="0"/>
              <a:ea typeface="Verdana" panose="020B0604030504040204" pitchFamily="34" charset="0"/>
              <a:cs typeface="Verdana" panose="020B0604030504040204" pitchFamily="34" charset="0"/>
            </a:rPr>
            <a:t>Indien Ja:</a:t>
          </a:r>
          <a:r>
            <a:rPr lang="nl-NL" sz="1000" b="0" u="none">
              <a:latin typeface="Verdana" panose="020B0604030504040204" pitchFamily="34" charset="0"/>
              <a:ea typeface="Verdana" panose="020B0604030504040204" pitchFamily="34" charset="0"/>
              <a:cs typeface="Verdana" panose="020B0604030504040204" pitchFamily="34" charset="0"/>
            </a:rPr>
            <a:t> D</a:t>
          </a:r>
          <a:r>
            <a:rPr lang="nl-NL" sz="1000" b="0">
              <a:latin typeface="Verdana" panose="020B0604030504040204" pitchFamily="34" charset="0"/>
              <a:ea typeface="Verdana" panose="020B0604030504040204" pitchFamily="34" charset="0"/>
              <a:cs typeface="Verdana" panose="020B0604030504040204" pitchFamily="34" charset="0"/>
            </a:rPr>
            <a:t>e inhuurkracht mag tijdens de uitvoering van de opdracht vrij worden vervangen door een ander. Vanuit wet DBA: Opdrachtgever mag geen bemoeienis hebben met de vervangende kandidaat. Er mag alleen worden getoetst op basis van objectieve criteria, bijv. de aanwezigheid van diploma’s, zoals opgenomen in de oorspronkelijke opdracht.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i="0" u="sng">
              <a:latin typeface="Verdana" panose="020B0604030504040204" pitchFamily="34" charset="0"/>
              <a:ea typeface="Verdana" panose="020B0604030504040204" pitchFamily="34" charset="0"/>
              <a:cs typeface="Verdana" panose="020B0604030504040204" pitchFamily="34" charset="0"/>
            </a:rPr>
            <a:t>Indien Nee:</a:t>
          </a:r>
          <a:r>
            <a:rPr lang="nl-NL" sz="1000" b="0" i="0" u="none">
              <a:latin typeface="Verdana" panose="020B0604030504040204" pitchFamily="34" charset="0"/>
              <a:ea typeface="Verdana" panose="020B0604030504040204" pitchFamily="34" charset="0"/>
              <a:cs typeface="Verdana" panose="020B0604030504040204" pitchFamily="34" charset="0"/>
            </a:rPr>
            <a:t> </a:t>
          </a:r>
          <a:r>
            <a:rPr lang="nl-NL" sz="1000" b="0">
              <a:latin typeface="Verdana" panose="020B0604030504040204" pitchFamily="34" charset="0"/>
              <a:ea typeface="Verdana" panose="020B0604030504040204" pitchFamily="34" charset="0"/>
              <a:cs typeface="Verdana" panose="020B0604030504040204" pitchFamily="34" charset="0"/>
            </a:rPr>
            <a:t>Opdrachtnemer mag de inhuurkracht die de opdracht moet uitvoeren slechts bij uitzondering en niet zonder voorafgaande toestemming van Opdrachtgever tijdelijk of definitief vervangen. Het advies is vrije vervanging toe te passen (m.n. als de opdracht onder leiding en toezicht plaatsvindt, mits mogelijk in de uitvoering van de opdracht), gelet op risico’s vanuit de wet DBA.</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Algemene opmerking:</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a:latin typeface="Verdana" panose="020B0604030504040204" pitchFamily="34" charset="0"/>
              <a:ea typeface="Verdana" panose="020B0604030504040204" pitchFamily="34" charset="0"/>
              <a:cs typeface="Verdana" panose="020B0604030504040204" pitchFamily="34" charset="0"/>
            </a:rPr>
            <a:t>het zou kunnen dat gemaakte keuzes niet passen binnen de condities van reeds aanwezige raamovereenkomsten. In dat geval zal Accountteam 11 van het IUC EZK contact met je opnemen om tot een oplossing te komen.</a:t>
          </a:r>
          <a:endParaRPr lang="nl-NL" sz="1100" b="0">
            <a:solidFill>
              <a:schemeClr val="dk1"/>
            </a:solidFill>
            <a:effectLst/>
            <a:latin typeface="+mn-lt"/>
            <a:ea typeface="+mn-ea"/>
            <a:cs typeface="+mn-cs"/>
          </a:endParaRPr>
        </a:p>
        <a:p>
          <a:endParaRPr lang="nl-NL" sz="1000" b="0" baseline="0">
            <a:latin typeface="Verdana" panose="020B0604030504040204" pitchFamily="34" charset="0"/>
            <a:ea typeface="Verdana" panose="020B0604030504040204" pitchFamily="34" charset="0"/>
            <a:cs typeface="Verdana" panose="020B0604030504040204" pitchFamily="34" charset="0"/>
          </a:endParaRPr>
        </a:p>
        <a:p>
          <a:endParaRPr lang="nl-NL" sz="1000" b="0"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66675</xdr:colOff>
      <xdr:row>125</xdr:row>
      <xdr:rowOff>47625</xdr:rowOff>
    </xdr:from>
    <xdr:to>
      <xdr:col>10</xdr:col>
      <xdr:colOff>47625</xdr:colOff>
      <xdr:row>128</xdr:row>
      <xdr:rowOff>9525</xdr:rowOff>
    </xdr:to>
    <xdr:sp macro="" textlink="">
      <xdr:nvSpPr>
        <xdr:cNvPr id="21" name="Pijl: rechts 20">
          <a:extLst>
            <a:ext uri="{FF2B5EF4-FFF2-40B4-BE49-F238E27FC236}">
              <a16:creationId xmlns:a16="http://schemas.microsoft.com/office/drawing/2014/main" id="{DC4D59D6-B4F0-C81C-28EA-33FE159D446C}"/>
            </a:ext>
          </a:extLst>
        </xdr:cNvPr>
        <xdr:cNvSpPr/>
      </xdr:nvSpPr>
      <xdr:spPr>
        <a:xfrm>
          <a:off x="10706100" y="35166300"/>
          <a:ext cx="771525" cy="771525"/>
        </a:xfrm>
        <a:prstGeom prst="rightArrow">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914400</xdr:colOff>
      <xdr:row>0</xdr:row>
      <xdr:rowOff>0</xdr:rowOff>
    </xdr:from>
    <xdr:to>
      <xdr:col>24</xdr:col>
      <xdr:colOff>10895</xdr:colOff>
      <xdr:row>2</xdr:row>
      <xdr:rowOff>95250</xdr:rowOff>
    </xdr:to>
    <xdr:pic macro="[0]!Module3.Rij_zichtbaar">
      <xdr:nvPicPr>
        <xdr:cNvPr id="2" name="Afbeelding 1">
          <a:extLst>
            <a:ext uri="{FF2B5EF4-FFF2-40B4-BE49-F238E27FC236}">
              <a16:creationId xmlns:a16="http://schemas.microsoft.com/office/drawing/2014/main" id="{F5DBEF49-7221-4533-B1AD-EF2D570C6C5D}"/>
            </a:ext>
          </a:extLst>
        </xdr:cNvPr>
        <xdr:cNvPicPr>
          <a:picLocks noChangeAspect="1"/>
        </xdr:cNvPicPr>
      </xdr:nvPicPr>
      <xdr:blipFill rotWithShape="1">
        <a:blip xmlns:r="http://schemas.openxmlformats.org/officeDocument/2006/relationships" r:embed="rId1"/>
        <a:srcRect l="24830" r="26563"/>
        <a:stretch/>
      </xdr:blipFill>
      <xdr:spPr>
        <a:xfrm>
          <a:off x="17659350" y="0"/>
          <a:ext cx="369670" cy="733425"/>
        </a:xfrm>
        <a:prstGeom prst="rect">
          <a:avLst/>
        </a:prstGeom>
      </xdr:spPr>
    </xdr:pic>
    <xdr:clientData/>
  </xdr:twoCellAnchor>
  <xdr:twoCellAnchor>
    <xdr:from>
      <xdr:col>23</xdr:col>
      <xdr:colOff>104775</xdr:colOff>
      <xdr:row>4</xdr:row>
      <xdr:rowOff>115358</xdr:rowOff>
    </xdr:from>
    <xdr:to>
      <xdr:col>23</xdr:col>
      <xdr:colOff>1276349</xdr:colOff>
      <xdr:row>7</xdr:row>
      <xdr:rowOff>12700</xdr:rowOff>
    </xdr:to>
    <xdr:sp macro="[0]!Leveranciersdocumenten.Leveranciersdocumenten" textlink="">
      <xdr:nvSpPr>
        <xdr:cNvPr id="3" name="Afgeronde rechthoek 2">
          <a:extLst>
            <a:ext uri="{FF2B5EF4-FFF2-40B4-BE49-F238E27FC236}">
              <a16:creationId xmlns:a16="http://schemas.microsoft.com/office/drawing/2014/main" id="{F1A60906-7B15-4B96-AB5D-F32AAC9E25D8}"/>
            </a:ext>
          </a:extLst>
        </xdr:cNvPr>
        <xdr:cNvSpPr/>
      </xdr:nvSpPr>
      <xdr:spPr>
        <a:xfrm>
          <a:off x="16849725" y="972608"/>
          <a:ext cx="1171574" cy="535517"/>
        </a:xfrm>
        <a:prstGeom prst="roundRect">
          <a:avLst/>
        </a:prstGeom>
        <a:solidFill>
          <a:srgbClr val="39870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nl-NL" sz="900" b="1">
              <a:latin typeface="Verdana" panose="020B0604030504040204" pitchFamily="34" charset="0"/>
              <a:ea typeface="Verdana" panose="020B0604030504040204" pitchFamily="34" charset="0"/>
              <a:cs typeface="Verdana" panose="020B0604030504040204" pitchFamily="34" charset="0"/>
            </a:rPr>
            <a:t>Documenten opdrachtnemers</a:t>
          </a:r>
        </a:p>
      </xdr:txBody>
    </xdr:sp>
    <xdr:clientData/>
  </xdr:twoCellAnchor>
  <xdr:twoCellAnchor>
    <xdr:from>
      <xdr:col>23</xdr:col>
      <xdr:colOff>123825</xdr:colOff>
      <xdr:row>7</xdr:row>
      <xdr:rowOff>47626</xdr:rowOff>
    </xdr:from>
    <xdr:to>
      <xdr:col>24</xdr:col>
      <xdr:colOff>0</xdr:colOff>
      <xdr:row>10</xdr:row>
      <xdr:rowOff>0</xdr:rowOff>
    </xdr:to>
    <xdr:sp macro="[0]!Beoordelingsformulier.Beoordelingsformulier" textlink="">
      <xdr:nvSpPr>
        <xdr:cNvPr id="4" name="Afgeronde rechthoek 4">
          <a:extLst>
            <a:ext uri="{FF2B5EF4-FFF2-40B4-BE49-F238E27FC236}">
              <a16:creationId xmlns:a16="http://schemas.microsoft.com/office/drawing/2014/main" id="{E1A173FA-58B6-4B73-82AD-5E416240E60F}"/>
            </a:ext>
          </a:extLst>
        </xdr:cNvPr>
        <xdr:cNvSpPr/>
      </xdr:nvSpPr>
      <xdr:spPr>
        <a:xfrm>
          <a:off x="16868775" y="1543051"/>
          <a:ext cx="1152525" cy="438149"/>
        </a:xfrm>
        <a:prstGeom prst="roundRect">
          <a:avLst/>
        </a:prstGeom>
        <a:solidFill>
          <a:srgbClr val="39870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nl-NL" sz="900" b="1">
              <a:latin typeface="Verdana" panose="020B0604030504040204" pitchFamily="34" charset="0"/>
              <a:ea typeface="Verdana" panose="020B0604030504040204" pitchFamily="34" charset="0"/>
              <a:cs typeface="Verdana" panose="020B0604030504040204" pitchFamily="34" charset="0"/>
            </a:rPr>
            <a:t>Document</a:t>
          </a:r>
        </a:p>
        <a:p>
          <a:pPr algn="ctr"/>
          <a:r>
            <a:rPr lang="nl-NL" sz="900" b="1" baseline="0">
              <a:latin typeface="Verdana" panose="020B0604030504040204" pitchFamily="34" charset="0"/>
              <a:ea typeface="Verdana" panose="020B0604030504040204" pitchFamily="34" charset="0"/>
              <a:cs typeface="Verdana" panose="020B0604030504040204" pitchFamily="34" charset="0"/>
            </a:rPr>
            <a:t>Aanvrager</a:t>
          </a:r>
          <a:endParaRPr lang="nl-NL"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139700</xdr:colOff>
      <xdr:row>12</xdr:row>
      <xdr:rowOff>123825</xdr:rowOff>
    </xdr:from>
    <xdr:to>
      <xdr:col>24</xdr:col>
      <xdr:colOff>12700</xdr:colOff>
      <xdr:row>13</xdr:row>
      <xdr:rowOff>358775</xdr:rowOff>
    </xdr:to>
    <xdr:sp macro="" textlink="">
      <xdr:nvSpPr>
        <xdr:cNvPr id="5" name="Rechthoek 4">
          <a:extLst>
            <a:ext uri="{FF2B5EF4-FFF2-40B4-BE49-F238E27FC236}">
              <a16:creationId xmlns:a16="http://schemas.microsoft.com/office/drawing/2014/main" id="{8E2D324E-657B-4187-AE3F-16504C6DD7AD}"/>
            </a:ext>
          </a:extLst>
        </xdr:cNvPr>
        <xdr:cNvSpPr/>
      </xdr:nvSpPr>
      <xdr:spPr>
        <a:xfrm>
          <a:off x="15532100" y="3028950"/>
          <a:ext cx="2911475" cy="825500"/>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none">
              <a:solidFill>
                <a:schemeClr val="tx1"/>
              </a:solidFill>
              <a:effectLst/>
              <a:latin typeface="Verdana" panose="020B0604030504040204" pitchFamily="34" charset="0"/>
              <a:ea typeface="Verdana" panose="020B0604030504040204" pitchFamily="34" charset="0"/>
              <a:cs typeface="Verdana" panose="020B0604030504040204" pitchFamily="34" charset="0"/>
            </a:rPr>
            <a:t>Genereren</a:t>
          </a:r>
          <a:r>
            <a:rPr lang="nl-NL" sz="800" b="1" u="non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emails voor afwijzing/gunning</a:t>
          </a:r>
          <a:b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b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Selecteer</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een cel in de rij van de kandidaat waar een e-mail voor gegenereerd moet worden.</a:t>
          </a:r>
          <a:b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br>
          <a:endPar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800" b="1"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Afwijzings</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e-mail </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chemeClr val="tx1"/>
              </a:solidFill>
              <a:effectLst/>
              <a:latin typeface="Verdana" panose="020B0604030504040204" pitchFamily="34" charset="0"/>
              <a:ea typeface="Verdana" panose="020B0604030504040204" pitchFamily="34" charset="0"/>
              <a:cs typeface="Verdana" panose="020B0604030504040204" pitchFamily="34" charset="0"/>
            </a:rPr>
            <a:t>Ctrl-Shift-E</a:t>
          </a:r>
          <a:endPar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pPr algn="l"/>
          <a:r>
            <a:rPr lang="nl-NL" sz="800" b="1">
              <a:solidFill>
                <a:schemeClr val="tx1"/>
              </a:solidFill>
              <a:latin typeface="Verdana" panose="020B0604030504040204" pitchFamily="34" charset="0"/>
              <a:ea typeface="Verdana" panose="020B0604030504040204" pitchFamily="34" charset="0"/>
              <a:cs typeface="Verdana" panose="020B0604030504040204" pitchFamily="34" charset="0"/>
            </a:rPr>
            <a:t>Gunnings</a:t>
          </a:r>
          <a:r>
            <a:rPr lang="nl-NL" sz="800">
              <a:solidFill>
                <a:schemeClr val="tx1"/>
              </a:solidFill>
              <a:latin typeface="Verdana" panose="020B0604030504040204" pitchFamily="34" charset="0"/>
              <a:ea typeface="Verdana" panose="020B0604030504040204" pitchFamily="34" charset="0"/>
              <a:cs typeface="Verdana" panose="020B0604030504040204" pitchFamily="34" charset="0"/>
            </a:rPr>
            <a:t> e-mail	</a:t>
          </a:r>
          <a:r>
            <a:rPr lang="nl-NL" sz="800" baseline="0">
              <a:solidFill>
                <a:schemeClr val="tx1"/>
              </a:solidFill>
              <a:latin typeface="Verdana" panose="020B0604030504040204" pitchFamily="34" charset="0"/>
              <a:ea typeface="Verdana" panose="020B0604030504040204" pitchFamily="34" charset="0"/>
              <a:cs typeface="Verdana" panose="020B0604030504040204" pitchFamily="34" charset="0"/>
            </a:rPr>
            <a:t>  </a:t>
          </a:r>
          <a:r>
            <a:rPr lang="nl-NL" sz="800" baseline="0">
              <a:solidFill>
                <a:schemeClr val="tx1"/>
              </a:solidFill>
              <a:effectLst/>
              <a:latin typeface="+mn-lt"/>
              <a:ea typeface="+mn-ea"/>
              <a:cs typeface="+mn-cs"/>
              <a:sym typeface="Wingdings 3" panose="05040102010807070707" pitchFamily="18" charset="2"/>
            </a:rPr>
            <a:t></a:t>
          </a: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chemeClr val="tx1"/>
              </a:solidFill>
              <a:effectLst/>
              <a:latin typeface="Verdana" panose="020B0604030504040204" pitchFamily="34" charset="0"/>
              <a:ea typeface="Verdana" panose="020B0604030504040204" pitchFamily="34" charset="0"/>
              <a:cs typeface="Verdana" panose="020B0604030504040204" pitchFamily="34" charset="0"/>
            </a:rPr>
            <a:t>Ctrl-Shift-G</a:t>
          </a:r>
          <a:endParaRPr lang="nl-NL" sz="800">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141288</xdr:colOff>
      <xdr:row>10</xdr:row>
      <xdr:rowOff>55562</xdr:rowOff>
    </xdr:from>
    <xdr:to>
      <xdr:col>24</xdr:col>
      <xdr:colOff>14288</xdr:colOff>
      <xdr:row>12</xdr:row>
      <xdr:rowOff>144463</xdr:rowOff>
    </xdr:to>
    <xdr:sp macro="" textlink="">
      <xdr:nvSpPr>
        <xdr:cNvPr id="6" name="Rechthoek 5">
          <a:extLst>
            <a:ext uri="{FF2B5EF4-FFF2-40B4-BE49-F238E27FC236}">
              <a16:creationId xmlns:a16="http://schemas.microsoft.com/office/drawing/2014/main" id="{F6EBB63F-AB3E-48A8-8621-26BC5BF7D3C6}"/>
            </a:ext>
          </a:extLst>
        </xdr:cNvPr>
        <xdr:cNvSpPr/>
      </xdr:nvSpPr>
      <xdr:spPr>
        <a:xfrm>
          <a:off x="15540038" y="2547937"/>
          <a:ext cx="2913063" cy="533401"/>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non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Score beoordelaar zichtbaar maken in het beoordelingsformulier ingevuld door de klant. </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Ctrl-Shift-X</a:t>
          </a:r>
          <a:endPar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b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br>
          <a:endPar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104775</xdr:colOff>
      <xdr:row>0</xdr:row>
      <xdr:rowOff>0</xdr:rowOff>
    </xdr:from>
    <xdr:to>
      <xdr:col>8</xdr:col>
      <xdr:colOff>558980</xdr:colOff>
      <xdr:row>2</xdr:row>
      <xdr:rowOff>296538</xdr:rowOff>
    </xdr:to>
    <xdr:pic>
      <xdr:nvPicPr>
        <xdr:cNvPr id="2" name="Afbeelding 1">
          <a:extLst>
            <a:ext uri="{FF2B5EF4-FFF2-40B4-BE49-F238E27FC236}">
              <a16:creationId xmlns:a16="http://schemas.microsoft.com/office/drawing/2014/main" id="{7E69AC56-A2CA-4A7A-97D7-58D2297FFAE8}"/>
            </a:ext>
          </a:extLst>
        </xdr:cNvPr>
        <xdr:cNvPicPr>
          <a:picLocks noChangeAspect="1"/>
        </xdr:cNvPicPr>
      </xdr:nvPicPr>
      <xdr:blipFill rotWithShape="1">
        <a:blip xmlns:r="http://schemas.openxmlformats.org/officeDocument/2006/relationships" r:embed="rId1"/>
        <a:srcRect l="24830" r="26563"/>
        <a:stretch/>
      </xdr:blipFill>
      <xdr:spPr>
        <a:xfrm>
          <a:off x="8486775" y="0"/>
          <a:ext cx="454205" cy="944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109008</xdr:colOff>
      <xdr:row>0</xdr:row>
      <xdr:rowOff>63500</xdr:rowOff>
    </xdr:from>
    <xdr:to>
      <xdr:col>22</xdr:col>
      <xdr:colOff>583851</xdr:colOff>
      <xdr:row>3</xdr:row>
      <xdr:rowOff>130380</xdr:rowOff>
    </xdr:to>
    <xdr:pic>
      <xdr:nvPicPr>
        <xdr:cNvPr id="2" name="Afbeelding 1">
          <a:extLst>
            <a:ext uri="{FF2B5EF4-FFF2-40B4-BE49-F238E27FC236}">
              <a16:creationId xmlns:a16="http://schemas.microsoft.com/office/drawing/2014/main" id="{3B3CE0DA-6EB1-4E3D-9480-E968C1CEF38F}"/>
            </a:ext>
          </a:extLst>
        </xdr:cNvPr>
        <xdr:cNvPicPr>
          <a:picLocks noChangeAspect="1"/>
        </xdr:cNvPicPr>
      </xdr:nvPicPr>
      <xdr:blipFill rotWithShape="1">
        <a:blip xmlns:r="http://schemas.openxmlformats.org/officeDocument/2006/relationships" r:embed="rId1"/>
        <a:srcRect l="24830" r="26563"/>
        <a:stretch/>
      </xdr:blipFill>
      <xdr:spPr>
        <a:xfrm>
          <a:off x="14354175" y="63500"/>
          <a:ext cx="474843" cy="945297"/>
        </a:xfrm>
        <a:prstGeom prst="rect">
          <a:avLst/>
        </a:prstGeom>
      </xdr:spPr>
    </xdr:pic>
    <xdr:clientData/>
  </xdr:twoCellAnchor>
  <xdr:twoCellAnchor>
    <xdr:from>
      <xdr:col>11</xdr:col>
      <xdr:colOff>0</xdr:colOff>
      <xdr:row>2</xdr:row>
      <xdr:rowOff>0</xdr:rowOff>
    </xdr:from>
    <xdr:to>
      <xdr:col>12</xdr:col>
      <xdr:colOff>531098</xdr:colOff>
      <xdr:row>5</xdr:row>
      <xdr:rowOff>87980</xdr:rowOff>
    </xdr:to>
    <xdr:sp macro="" textlink="">
      <xdr:nvSpPr>
        <xdr:cNvPr id="3" name="Tekstvak 2">
          <a:hlinkClick xmlns:r="http://schemas.openxmlformats.org/officeDocument/2006/relationships" r:id="rId2"/>
          <a:extLst>
            <a:ext uri="{FF2B5EF4-FFF2-40B4-BE49-F238E27FC236}">
              <a16:creationId xmlns:a16="http://schemas.microsoft.com/office/drawing/2014/main" id="{1CF2638D-4C73-4B47-BDB0-6DDB3196C969}"/>
            </a:ext>
          </a:extLst>
        </xdr:cNvPr>
        <xdr:cNvSpPr txBox="1"/>
      </xdr:nvSpPr>
      <xdr:spPr>
        <a:xfrm>
          <a:off x="11325225" y="657225"/>
          <a:ext cx="1493123" cy="70710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100">
              <a:solidFill>
                <a:schemeClr val="bg1"/>
              </a:solidFill>
              <a:effectLst/>
              <a:latin typeface="+mn-lt"/>
              <a:ea typeface="+mn-ea"/>
              <a:cs typeface="+mn-cs"/>
            </a:rPr>
            <a:t>Klik</a:t>
          </a:r>
          <a:r>
            <a:rPr lang="nl-NL" sz="1100" baseline="0">
              <a:solidFill>
                <a:schemeClr val="bg1"/>
              </a:solidFill>
              <a:effectLst/>
              <a:latin typeface="+mn-lt"/>
              <a:ea typeface="+mn-ea"/>
              <a:cs typeface="+mn-cs"/>
            </a:rPr>
            <a:t> hier voor ondersteuning beoordeling</a:t>
          </a:r>
          <a:endParaRPr lang="nl-NL" sz="1000">
            <a:solidFill>
              <a:schemeClr val="bg1"/>
            </a:solidFill>
            <a:effectLst/>
          </a:endParaRPr>
        </a:p>
        <a:p>
          <a:pPr algn="ctr"/>
          <a:endPar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16</xdr:col>
      <xdr:colOff>100008</xdr:colOff>
      <xdr:row>0</xdr:row>
      <xdr:rowOff>0</xdr:rowOff>
    </xdr:from>
    <xdr:ext cx="483102" cy="945582"/>
    <xdr:pic>
      <xdr:nvPicPr>
        <xdr:cNvPr id="2" name="Afbeelding 1">
          <a:extLst>
            <a:ext uri="{FF2B5EF4-FFF2-40B4-BE49-F238E27FC236}">
              <a16:creationId xmlns:a16="http://schemas.microsoft.com/office/drawing/2014/main" id="{54178CDC-895E-40A7-A7E8-68A34DD5C4C4}"/>
            </a:ext>
          </a:extLst>
        </xdr:cNvPr>
        <xdr:cNvPicPr>
          <a:picLocks/>
        </xdr:cNvPicPr>
      </xdr:nvPicPr>
      <xdr:blipFill rotWithShape="1">
        <a:blip xmlns:r="http://schemas.openxmlformats.org/officeDocument/2006/relationships" r:embed="rId1"/>
        <a:srcRect l="24830" r="26563"/>
        <a:stretch/>
      </xdr:blipFill>
      <xdr:spPr>
        <a:xfrm>
          <a:off x="10615608" y="0"/>
          <a:ext cx="483102" cy="945582"/>
        </a:xfrm>
        <a:prstGeom prst="rect">
          <a:avLst/>
        </a:prstGeom>
      </xdr:spPr>
    </xdr:pic>
    <xdr:clientData/>
  </xdr:oneCellAnchor>
  <xdr:twoCellAnchor>
    <xdr:from>
      <xdr:col>13</xdr:col>
      <xdr:colOff>371474</xdr:colOff>
      <xdr:row>33</xdr:row>
      <xdr:rowOff>82550</xdr:rowOff>
    </xdr:from>
    <xdr:to>
      <xdr:col>15</xdr:col>
      <xdr:colOff>552449</xdr:colOff>
      <xdr:row>37</xdr:row>
      <xdr:rowOff>114300</xdr:rowOff>
    </xdr:to>
    <xdr:sp macro="" textlink="">
      <xdr:nvSpPr>
        <xdr:cNvPr id="3" name="Tekstvak 2">
          <a:hlinkClick xmlns:r="http://schemas.openxmlformats.org/officeDocument/2006/relationships" r:id="rId2"/>
          <a:extLst>
            <a:ext uri="{FF2B5EF4-FFF2-40B4-BE49-F238E27FC236}">
              <a16:creationId xmlns:a16="http://schemas.microsoft.com/office/drawing/2014/main" id="{D533CB0A-E101-4A53-86EF-BE3B018921FB}"/>
            </a:ext>
          </a:extLst>
        </xdr:cNvPr>
        <xdr:cNvSpPr txBox="1"/>
      </xdr:nvSpPr>
      <xdr:spPr>
        <a:xfrm>
          <a:off x="8915399" y="6683375"/>
          <a:ext cx="1495425" cy="8318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rPr>
            <a:t>Klik hier om terug te gaan</a:t>
          </a:r>
          <a:r>
            <a:rPr lang="nl-NL" sz="1000" u="none" baseline="0">
              <a:solidFill>
                <a:schemeClr val="bg1"/>
              </a:solidFill>
              <a:latin typeface="Verdana" panose="020B0604030504040204" pitchFamily="34" charset="0"/>
              <a:ea typeface="Verdana" panose="020B0604030504040204" pitchFamily="34" charset="0"/>
              <a:cs typeface="Verdana" panose="020B0604030504040204" pitchFamily="34" charset="0"/>
            </a:rPr>
            <a:t> naar het beoordelings-formulier</a:t>
          </a:r>
          <a:endPar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1</xdr:row>
      <xdr:rowOff>57150</xdr:rowOff>
    </xdr:from>
    <xdr:to>
      <xdr:col>4</xdr:col>
      <xdr:colOff>19050</xdr:colOff>
      <xdr:row>1</xdr:row>
      <xdr:rowOff>457201</xdr:rowOff>
    </xdr:to>
    <xdr:sp macro="" textlink="">
      <xdr:nvSpPr>
        <xdr:cNvPr id="2" name="Rechthoek 1">
          <a:extLst>
            <a:ext uri="{FF2B5EF4-FFF2-40B4-BE49-F238E27FC236}">
              <a16:creationId xmlns:a16="http://schemas.microsoft.com/office/drawing/2014/main" id="{3970DB35-74F3-4F0E-8D74-F7BC00926397}"/>
            </a:ext>
          </a:extLst>
        </xdr:cNvPr>
        <xdr:cNvSpPr/>
      </xdr:nvSpPr>
      <xdr:spPr>
        <a:xfrm>
          <a:off x="19050" y="257175"/>
          <a:ext cx="2743200" cy="142876"/>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Kopieren van de regels naar de NOK-generator.</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Ctrl-Shift-B</a:t>
          </a:r>
          <a:endPar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122p0620.cicwp.nl\8142-Userdata_P$\rvo\IUC\05%20MJO\13.%20Macro\inhuurformulier\Ronde%202\AV1\AV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rvo\IUC\05%20MJO\13.%20Macro\inhuurformulier\Inhuurformulier%20Alle%20ROK's%20EZK+LNV%20(Non-ICT)3.3.xlsm" TargetMode="External"/><Relationship Id="rId1" Type="http://schemas.openxmlformats.org/officeDocument/2006/relationships/externalLinkPath" Target="file:///\\c1122p0620.cicwp.nl\8142-Userdata_P$\rvo\IUC\05%20MJO\13.%20Macro\inhuurformulier\Inhuurformulier%20Alle%20ROK's%20EZK+LNV%20(Non-ICT)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vraag inhuur"/>
      <sheetName val="Informatie Raamovereenkomsten"/>
      <sheetName val="Info VOG Items"/>
      <sheetName val="Invulhulp Eisen en wensen"/>
      <sheetName val="Overzicht inhuurdesk"/>
      <sheetName val="Offerteformulier"/>
      <sheetName val="Beoordelingsformulier"/>
      <sheetName val="Invulhulp Beoordelingsformulier"/>
      <sheetName val="Brongegevens"/>
      <sheetName val="Leveranciersnamen"/>
    </sheetNames>
    <sheetDataSet>
      <sheetData sheetId="0"/>
      <sheetData sheetId="1"/>
      <sheetData sheetId="2"/>
      <sheetData sheetId="3"/>
      <sheetData sheetId="4"/>
      <sheetData sheetId="5"/>
      <sheetData sheetId="6"/>
      <sheetData sheetId="7"/>
      <sheetData sheetId="8">
        <row r="3">
          <cell r="I3">
            <v>42456</v>
          </cell>
          <cell r="J3">
            <v>42457</v>
          </cell>
          <cell r="K3">
            <v>42495</v>
          </cell>
          <cell r="L3">
            <v>42487</v>
          </cell>
          <cell r="M3">
            <v>42505</v>
          </cell>
          <cell r="N3">
            <v>42506</v>
          </cell>
          <cell r="O3">
            <v>42729</v>
          </cell>
          <cell r="P3">
            <v>42730</v>
          </cell>
          <cell r="Q3">
            <v>42370</v>
          </cell>
          <cell r="R3" t="str">
            <v>Auditdiensten</v>
          </cell>
        </row>
        <row r="4">
          <cell r="I4">
            <v>42841</v>
          </cell>
          <cell r="J4">
            <v>42842</v>
          </cell>
          <cell r="K4">
            <v>42880</v>
          </cell>
          <cell r="L4">
            <v>42852</v>
          </cell>
          <cell r="M4">
            <v>42890</v>
          </cell>
          <cell r="N4">
            <v>42891</v>
          </cell>
          <cell r="O4">
            <v>43094</v>
          </cell>
          <cell r="P4">
            <v>43095</v>
          </cell>
          <cell r="Q4">
            <v>42736</v>
          </cell>
          <cell r="R4" t="str">
            <v>Data Specialisten</v>
          </cell>
        </row>
        <row r="5">
          <cell r="I5">
            <v>43191</v>
          </cell>
          <cell r="J5">
            <v>43192</v>
          </cell>
          <cell r="K5">
            <v>43230</v>
          </cell>
          <cell r="L5">
            <v>43217</v>
          </cell>
          <cell r="M5">
            <v>43240</v>
          </cell>
          <cell r="N5">
            <v>43241</v>
          </cell>
          <cell r="O5">
            <v>43459</v>
          </cell>
          <cell r="P5">
            <v>43460</v>
          </cell>
          <cell r="Q5">
            <v>43101</v>
          </cell>
          <cell r="R5" t="str">
            <v>Dienstverlening van Boorspecialisten</v>
          </cell>
        </row>
        <row r="6">
          <cell r="A6" t="str">
            <v>Ja</v>
          </cell>
          <cell r="I6">
            <v>43576</v>
          </cell>
          <cell r="J6">
            <v>43577</v>
          </cell>
          <cell r="K6">
            <v>43615</v>
          </cell>
          <cell r="L6"/>
          <cell r="M6">
            <v>43625</v>
          </cell>
          <cell r="N6">
            <v>43626</v>
          </cell>
          <cell r="O6">
            <v>43824</v>
          </cell>
          <cell r="P6">
            <v>43825</v>
          </cell>
          <cell r="Q6">
            <v>43466</v>
          </cell>
          <cell r="R6" t="str">
            <v>Dienstverlening van Financiële Specialisten Bancaire</v>
          </cell>
        </row>
        <row r="7">
          <cell r="A7" t="str">
            <v>Nee</v>
          </cell>
          <cell r="I7">
            <v>43933</v>
          </cell>
          <cell r="J7">
            <v>43934</v>
          </cell>
          <cell r="K7">
            <v>43972</v>
          </cell>
          <cell r="L7">
            <v>43948</v>
          </cell>
          <cell r="M7">
            <v>43982</v>
          </cell>
          <cell r="N7">
            <v>43983</v>
          </cell>
          <cell r="O7">
            <v>44190</v>
          </cell>
          <cell r="P7">
            <v>44191</v>
          </cell>
          <cell r="Q7">
            <v>43831</v>
          </cell>
          <cell r="R7" t="str">
            <v>Facilitaire Dienstverlening</v>
          </cell>
        </row>
        <row r="8">
          <cell r="I8">
            <v>44290</v>
          </cell>
          <cell r="J8">
            <v>44291</v>
          </cell>
          <cell r="K8">
            <v>44329</v>
          </cell>
          <cell r="L8">
            <v>44313</v>
          </cell>
          <cell r="M8">
            <v>44339</v>
          </cell>
          <cell r="N8">
            <v>44340</v>
          </cell>
          <cell r="O8">
            <v>44555</v>
          </cell>
          <cell r="P8">
            <v>44556</v>
          </cell>
          <cell r="Q8">
            <v>44197</v>
          </cell>
          <cell r="R8" t="str">
            <v>Financiële Adviesdiensten</v>
          </cell>
        </row>
        <row r="9">
          <cell r="I9">
            <v>44668</v>
          </cell>
          <cell r="J9">
            <v>44669</v>
          </cell>
          <cell r="K9">
            <v>44707</v>
          </cell>
          <cell r="L9">
            <v>44678</v>
          </cell>
          <cell r="M9">
            <v>44717</v>
          </cell>
          <cell r="N9">
            <v>44718</v>
          </cell>
          <cell r="O9">
            <v>44920</v>
          </cell>
          <cell r="P9">
            <v>44921</v>
          </cell>
          <cell r="Q9">
            <v>44562</v>
          </cell>
          <cell r="R9" t="str">
            <v>Inkoopadviesdiensten</v>
          </cell>
        </row>
        <row r="10">
          <cell r="I10">
            <v>45025</v>
          </cell>
          <cell r="J10">
            <v>45026</v>
          </cell>
          <cell r="K10">
            <v>45064</v>
          </cell>
          <cell r="L10">
            <v>45043</v>
          </cell>
          <cell r="M10">
            <v>45074</v>
          </cell>
          <cell r="N10">
            <v>45075</v>
          </cell>
          <cell r="O10">
            <v>45285</v>
          </cell>
          <cell r="P10">
            <v>45286</v>
          </cell>
          <cell r="Q10">
            <v>44927</v>
          </cell>
          <cell r="R10" t="str">
            <v>Interim Management en Organisatieadvies IMOA</v>
          </cell>
        </row>
        <row r="11">
          <cell r="I11">
            <v>45382</v>
          </cell>
          <cell r="J11">
            <v>45383</v>
          </cell>
          <cell r="K11">
            <v>45421</v>
          </cell>
          <cell r="L11"/>
          <cell r="M11">
            <v>45431</v>
          </cell>
          <cell r="N11">
            <v>45432</v>
          </cell>
          <cell r="O11">
            <v>45651</v>
          </cell>
          <cell r="P11">
            <v>45652</v>
          </cell>
          <cell r="Q11">
            <v>45292</v>
          </cell>
          <cell r="R11" t="str">
            <v>Juridische Capaciteit</v>
          </cell>
        </row>
        <row r="12">
          <cell r="A12" t="str">
            <v>Open</v>
          </cell>
          <cell r="B12" t="str">
            <v>Open</v>
          </cell>
          <cell r="I12">
            <v>45767</v>
          </cell>
          <cell r="J12">
            <v>45768</v>
          </cell>
          <cell r="K12">
            <v>45806</v>
          </cell>
          <cell r="L12"/>
          <cell r="M12">
            <v>45816</v>
          </cell>
          <cell r="N12">
            <v>45817</v>
          </cell>
          <cell r="O12">
            <v>46016</v>
          </cell>
          <cell r="P12">
            <v>46017</v>
          </cell>
          <cell r="Q12">
            <v>45658</v>
          </cell>
          <cell r="R12" t="str">
            <v>Specialisten op het vlak van energie en duurzaamheid en innovatie</v>
          </cell>
        </row>
        <row r="13">
          <cell r="A13" t="str">
            <v>In beoordeling</v>
          </cell>
          <cell r="B13" t="str">
            <v>Beoordelen</v>
          </cell>
          <cell r="I13">
            <v>46117</v>
          </cell>
          <cell r="J13">
            <v>46118</v>
          </cell>
          <cell r="K13">
            <v>46156</v>
          </cell>
          <cell r="L13">
            <v>46139</v>
          </cell>
          <cell r="M13">
            <v>46166</v>
          </cell>
          <cell r="N13">
            <v>46167</v>
          </cell>
          <cell r="O13">
            <v>46381</v>
          </cell>
          <cell r="P13">
            <v>46382</v>
          </cell>
          <cell r="Q13">
            <v>46023</v>
          </cell>
        </row>
        <row r="14">
          <cell r="A14" t="str">
            <v>Gunnen</v>
          </cell>
          <cell r="B14" t="str">
            <v>Gesprek</v>
          </cell>
          <cell r="I14">
            <v>46474</v>
          </cell>
          <cell r="J14">
            <v>46475</v>
          </cell>
          <cell r="K14">
            <v>46513</v>
          </cell>
          <cell r="L14">
            <v>46504</v>
          </cell>
          <cell r="M14">
            <v>46523</v>
          </cell>
          <cell r="N14">
            <v>46524</v>
          </cell>
          <cell r="O14">
            <v>46746</v>
          </cell>
          <cell r="P14">
            <v>46747</v>
          </cell>
          <cell r="Q14">
            <v>46388</v>
          </cell>
        </row>
        <row r="15">
          <cell r="A15" t="str">
            <v>Geen gunning</v>
          </cell>
          <cell r="B15" t="str">
            <v>Afgewezen</v>
          </cell>
          <cell r="I15">
            <v>46859</v>
          </cell>
          <cell r="J15">
            <v>46860</v>
          </cell>
          <cell r="K15">
            <v>46898</v>
          </cell>
          <cell r="L15">
            <v>46870</v>
          </cell>
          <cell r="M15">
            <v>46908</v>
          </cell>
          <cell r="N15">
            <v>46909</v>
          </cell>
          <cell r="O15">
            <v>47112</v>
          </cell>
          <cell r="P15">
            <v>47113</v>
          </cell>
          <cell r="Q15">
            <v>46753</v>
          </cell>
        </row>
        <row r="16">
          <cell r="B16"/>
          <cell r="I16">
            <v>47209</v>
          </cell>
          <cell r="J16">
            <v>47210</v>
          </cell>
          <cell r="K16">
            <v>47248</v>
          </cell>
          <cell r="L16">
            <v>47235</v>
          </cell>
          <cell r="M16">
            <v>47258</v>
          </cell>
          <cell r="N16">
            <v>47259</v>
          </cell>
          <cell r="O16">
            <v>47477</v>
          </cell>
          <cell r="P16">
            <v>47478</v>
          </cell>
          <cell r="Q16">
            <v>47119</v>
          </cell>
        </row>
        <row r="17">
          <cell r="I17">
            <v>47594</v>
          </cell>
          <cell r="J17">
            <v>47595</v>
          </cell>
          <cell r="K17">
            <v>47633</v>
          </cell>
          <cell r="L17"/>
          <cell r="M17">
            <v>47643</v>
          </cell>
          <cell r="N17">
            <v>47644</v>
          </cell>
          <cell r="O17">
            <v>47842</v>
          </cell>
          <cell r="P17">
            <v>47843</v>
          </cell>
          <cell r="Q17">
            <v>47484</v>
          </cell>
        </row>
        <row r="18">
          <cell r="I18">
            <v>47951</v>
          </cell>
          <cell r="J18">
            <v>47952</v>
          </cell>
          <cell r="K18">
            <v>47990</v>
          </cell>
          <cell r="L18">
            <v>11440</v>
          </cell>
          <cell r="M18">
            <v>48000</v>
          </cell>
          <cell r="N18">
            <v>48001</v>
          </cell>
          <cell r="O18">
            <v>48207</v>
          </cell>
          <cell r="P18">
            <v>48208</v>
          </cell>
          <cell r="Q18">
            <v>47849</v>
          </cell>
        </row>
        <row r="19">
          <cell r="I19">
            <v>48301</v>
          </cell>
          <cell r="J19">
            <v>48302</v>
          </cell>
          <cell r="K19">
            <v>48340</v>
          </cell>
          <cell r="L19">
            <v>11806</v>
          </cell>
          <cell r="M19">
            <v>48350</v>
          </cell>
          <cell r="N19">
            <v>48351</v>
          </cell>
          <cell r="O19">
            <v>48573</v>
          </cell>
          <cell r="P19">
            <v>48574</v>
          </cell>
          <cell r="Q19">
            <v>48214</v>
          </cell>
        </row>
        <row r="20">
          <cell r="I20">
            <v>48686</v>
          </cell>
          <cell r="J20">
            <v>48687</v>
          </cell>
          <cell r="K20">
            <v>48725</v>
          </cell>
          <cell r="L20">
            <v>12171</v>
          </cell>
          <cell r="M20">
            <v>48735</v>
          </cell>
          <cell r="N20">
            <v>48736</v>
          </cell>
          <cell r="O20">
            <v>48938</v>
          </cell>
          <cell r="P20">
            <v>48939</v>
          </cell>
          <cell r="Q20">
            <v>48580</v>
          </cell>
        </row>
        <row r="21">
          <cell r="I21">
            <v>49043</v>
          </cell>
          <cell r="J21">
            <v>49044</v>
          </cell>
          <cell r="K21">
            <v>49082</v>
          </cell>
          <cell r="L21">
            <v>12536</v>
          </cell>
          <cell r="M21">
            <v>49092</v>
          </cell>
          <cell r="N21">
            <v>49093</v>
          </cell>
          <cell r="O21">
            <v>49303</v>
          </cell>
          <cell r="P21">
            <v>49304</v>
          </cell>
          <cell r="Q21">
            <v>48945</v>
          </cell>
        </row>
        <row r="22">
          <cell r="I22">
            <v>49393</v>
          </cell>
          <cell r="J22">
            <v>49394</v>
          </cell>
          <cell r="K22">
            <v>49432</v>
          </cell>
          <cell r="L22">
            <v>14362</v>
          </cell>
          <cell r="M22">
            <v>49442</v>
          </cell>
          <cell r="N22">
            <v>49443</v>
          </cell>
          <cell r="O22">
            <v>49668</v>
          </cell>
          <cell r="P22">
            <v>49669</v>
          </cell>
          <cell r="Q22">
            <v>49310</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anvraag inhuur"/>
      <sheetName val="Informatie Raamovereenkomsten"/>
      <sheetName val="Info VOG Items"/>
      <sheetName val="Invulhulp Eisen en wensen"/>
      <sheetName val="Overzicht inhuurdesk"/>
      <sheetName val="NOK-generator"/>
      <sheetName val="Offerteformulier"/>
      <sheetName val="Beoordelingsformulier"/>
      <sheetName val="Invulhulp Beoordelingsformulier"/>
      <sheetName val="Brongegevens"/>
      <sheetName val="Brongegevens tbv nokgenerator"/>
      <sheetName val="Leveranciersnamen"/>
    </sheetNames>
    <sheetDataSet>
      <sheetData sheetId="0">
        <row r="18">
          <cell r="C18"/>
        </row>
        <row r="22">
          <cell r="C22"/>
        </row>
        <row r="93">
          <cell r="G93">
            <v>0</v>
          </cell>
        </row>
        <row r="95">
          <cell r="C95"/>
        </row>
        <row r="97">
          <cell r="C97"/>
        </row>
        <row r="98">
          <cell r="C98"/>
        </row>
        <row r="110">
          <cell r="C110" t="str">
            <v/>
          </cell>
        </row>
      </sheetData>
      <sheetData sheetId="1"/>
      <sheetData sheetId="2"/>
      <sheetData sheetId="3"/>
      <sheetData sheetId="4">
        <row r="1">
          <cell r="I1">
            <v>0</v>
          </cell>
        </row>
        <row r="6">
          <cell r="C6">
            <v>0</v>
          </cell>
        </row>
        <row r="7">
          <cell r="C7">
            <v>0</v>
          </cell>
        </row>
        <row r="8">
          <cell r="T8">
            <v>0</v>
          </cell>
        </row>
        <row r="9">
          <cell r="C9">
            <v>0</v>
          </cell>
        </row>
        <row r="10">
          <cell r="C10">
            <v>0</v>
          </cell>
        </row>
        <row r="12">
          <cell r="I12"/>
          <cell r="T12">
            <v>0</v>
          </cell>
        </row>
      </sheetData>
      <sheetData sheetId="5"/>
      <sheetData sheetId="6"/>
      <sheetData sheetId="7"/>
      <sheetData sheetId="8"/>
      <sheetData sheetId="9">
        <row r="3">
          <cell r="D3" t="str">
            <v>RVO</v>
          </cell>
        </row>
      </sheetData>
      <sheetData sheetId="10">
        <row r="2">
          <cell r="C2" t="str">
            <v>Departement</v>
          </cell>
          <cell r="D2" t="str">
            <v>departement NOKgenerator</v>
          </cell>
          <cell r="E2" t="str">
            <v>Deelnemende dienst</v>
          </cell>
          <cell r="F2" t="str">
            <v>deelnemende dienst Nokgenerator</v>
          </cell>
          <cell r="H2" t="str">
            <v>Raamovereenkomsten</v>
          </cell>
          <cell r="I2" t="str">
            <v>Raamovereenkomsten Nokgenerator</v>
          </cell>
          <cell r="K2" t="str">
            <v>perceel inhuurformulier</v>
          </cell>
          <cell r="L2" t="str">
            <v>Perceel nokgenerator</v>
          </cell>
        </row>
        <row r="3">
          <cell r="C3" t="str">
            <v>Ministerie van Economische Zaken en Klimaat</v>
          </cell>
          <cell r="D3" t="str">
            <v>Ministerie van Economische Zaken en Klimaat</v>
          </cell>
          <cell r="E3" t="str">
            <v>ACM</v>
          </cell>
          <cell r="F3" t="str">
            <v>ACM</v>
          </cell>
          <cell r="H3" t="str">
            <v>Auditdiensten</v>
          </cell>
          <cell r="I3" t="str">
            <v>Audit</v>
          </cell>
          <cell r="K3" t="str">
            <v>P3 IT Audit</v>
          </cell>
          <cell r="L3" t="str">
            <v>3: IT-Audit</v>
          </cell>
        </row>
        <row r="4">
          <cell r="C4" t="str">
            <v xml:space="preserve">Ministerie van Landbouw, Natuur en Voedselkwaliteit </v>
          </cell>
          <cell r="D4" t="str">
            <v>Ministerie van Landbouw, Natuur en Voedselkwaliteit</v>
          </cell>
          <cell r="E4" t="str">
            <v>Rijksinspectie Digitale Infrastuctuur</v>
          </cell>
          <cell r="F4" t="str">
            <v>RDI</v>
          </cell>
          <cell r="H4" t="str">
            <v>Auditdiensten2022</v>
          </cell>
          <cell r="I4" t="str">
            <v>Audit2022</v>
          </cell>
          <cell r="K4" t="str">
            <v>P1 Inhuur Auditdiensten</v>
          </cell>
          <cell r="L4" t="str">
            <v>1: Auditdiensten</v>
          </cell>
        </row>
        <row r="5">
          <cell r="E5" t="str">
            <v>ATR</v>
          </cell>
          <cell r="F5"/>
          <cell r="H5" t="str">
            <v>Communicatiecapaciteit</v>
          </cell>
          <cell r="I5" t="str">
            <v>Communicatiecapaciteit</v>
          </cell>
          <cell r="K5" t="str">
            <v>P2 Inhuur IT Auditdiensten</v>
          </cell>
          <cell r="L5" t="str">
            <v>2: IT Auditdiensten</v>
          </cell>
        </row>
        <row r="6">
          <cell r="E6" t="str">
            <v>CPB</v>
          </cell>
          <cell r="F6" t="str">
            <v>CPB</v>
          </cell>
          <cell r="H6" t="str">
            <v>Data Specialisten</v>
          </cell>
          <cell r="I6" t="str">
            <v>Data_Analist</v>
          </cell>
          <cell r="K6" t="str">
            <v>N.v.t. bij data specialisten</v>
          </cell>
          <cell r="L6" t="str">
            <v>Data-Analist</v>
          </cell>
        </row>
        <row r="7">
          <cell r="E7" t="str">
            <v>DICTU</v>
          </cell>
          <cell r="F7" t="str">
            <v>Dictu</v>
          </cell>
          <cell r="H7" t="str">
            <v>Dienstverlening van Boorspecialisten</v>
          </cell>
          <cell r="I7" t="str">
            <v>Boorspecialisten</v>
          </cell>
          <cell r="K7" t="str">
            <v>N.v.t. bij dienstverlening van boorspecialisten</v>
          </cell>
          <cell r="L7" t="str">
            <v>1: Boorspecialisten</v>
          </cell>
        </row>
        <row r="8">
          <cell r="E8" t="str">
            <v>IMG</v>
          </cell>
          <cell r="F8" t="str">
            <v>RVO-IMG</v>
          </cell>
          <cell r="H8" t="str">
            <v>Digital en webanalytics</v>
          </cell>
          <cell r="I8" t="str">
            <v>Digital_en_webanalytics</v>
          </cell>
          <cell r="K8" t="str">
            <v>N.v.t. bij Digital en webanalytics</v>
          </cell>
          <cell r="L8" t="str">
            <v>N.v.t. bij Digital en webanalytics</v>
          </cell>
        </row>
        <row r="9">
          <cell r="E9" t="str">
            <v>Kernministerie EZK</v>
          </cell>
          <cell r="F9" t="str">
            <v>KD</v>
          </cell>
          <cell r="H9" t="str">
            <v>Facilitair adviseurs</v>
          </cell>
          <cell r="I9" t="str">
            <v>Facilitair</v>
          </cell>
          <cell r="K9" t="str">
            <v>N.v.t. bij Financieringsexperts</v>
          </cell>
          <cell r="L9" t="str">
            <v>N.v.t. bij Financieringsexperts</v>
          </cell>
        </row>
        <row r="10">
          <cell r="E10" t="str">
            <v>Kernministerie LNV</v>
          </cell>
          <cell r="F10" t="str">
            <v>LNV</v>
          </cell>
          <cell r="H10" t="str">
            <v>Facilitair adviseurs RVO</v>
          </cell>
          <cell r="I10" t="str">
            <v>FacilitairRVO</v>
          </cell>
          <cell r="K10" t="str">
            <v>N.v.t. bij facilitair adviseurs</v>
          </cell>
          <cell r="L10" t="str">
            <v>N.v.t. bij Facilitair adviseurs</v>
          </cell>
        </row>
        <row r="11">
          <cell r="E11" t="str">
            <v>NVWA</v>
          </cell>
          <cell r="F11" t="str">
            <v>NVWA</v>
          </cell>
          <cell r="H11" t="str">
            <v>Financiële Adviesdiensten</v>
          </cell>
          <cell r="I11" t="str">
            <v>Financieel</v>
          </cell>
          <cell r="K11" t="str">
            <v>N.v.t. bij facilitair adviseurs RVO</v>
          </cell>
          <cell r="L11" t="str">
            <v>N.v.t. bij facilitair adviseurs RVO</v>
          </cell>
        </row>
        <row r="12">
          <cell r="E12" t="str">
            <v>RVO</v>
          </cell>
          <cell r="F12" t="str">
            <v>RVO</v>
          </cell>
          <cell r="H12" t="str">
            <v>Financieringsexperts</v>
          </cell>
          <cell r="I12" t="str">
            <v>Financieringsexperts</v>
          </cell>
          <cell r="K12" t="str">
            <v>P1 Administratie en processen</v>
          </cell>
          <cell r="L12" t="str">
            <v>1: Administratie en processen</v>
          </cell>
        </row>
        <row r="13">
          <cell r="E13" t="str">
            <v>SODM</v>
          </cell>
          <cell r="F13" t="str">
            <v>SODM</v>
          </cell>
          <cell r="H13" t="str">
            <v>Inkoopadviesdiensten</v>
          </cell>
          <cell r="I13" t="str">
            <v>Inkoop2022</v>
          </cell>
          <cell r="K13" t="str">
            <v>P2 Beheer beleid planning en control</v>
          </cell>
          <cell r="L13" t="str">
            <v>2: Beheer, beleid, planning en control</v>
          </cell>
        </row>
        <row r="14">
          <cell r="E14"/>
          <cell r="F14" t="str">
            <v>RVO-NIA</v>
          </cell>
          <cell r="H14" t="str">
            <v>Interim Management en Organisatieadvies IMOA</v>
          </cell>
          <cell r="I14" t="str">
            <v>IMOA</v>
          </cell>
          <cell r="K14" t="str">
            <v>P3 Subsidieondersteuning</v>
          </cell>
          <cell r="L14" t="str">
            <v>3: Subsidieondersteuning</v>
          </cell>
        </row>
        <row r="15">
          <cell r="E15"/>
          <cell r="F15" t="str">
            <v>RVO-PIANOo</v>
          </cell>
          <cell r="H15" t="str">
            <v>Juridische Capaciteit Bestuursrecht</v>
          </cell>
          <cell r="I15" t="str">
            <v>Juridisch_bestuursrecht</v>
          </cell>
          <cell r="K15" t="str">
            <v>P4 Financiële adviesdiensten fiscaal</v>
          </cell>
          <cell r="L15" t="str">
            <v>4: Financiële adviesdiensten fiscaal</v>
          </cell>
        </row>
        <row r="16">
          <cell r="E16" t="str">
            <v>NCG</v>
          </cell>
          <cell r="F16" t="str">
            <v>NCG</v>
          </cell>
          <cell r="H16" t="str">
            <v>Onderwijskunde en Digitale Leermiddelen</v>
          </cell>
          <cell r="I16" t="str">
            <v>Onderwijskunde_en_Digitale_Leermiddelen</v>
          </cell>
          <cell r="K16" t="str">
            <v>P1 Inkoopdiensten</v>
          </cell>
          <cell r="L16" t="str">
            <v>1: Inkoopdiensten</v>
          </cell>
        </row>
        <row r="17">
          <cell r="E17"/>
          <cell r="H17" t="str">
            <v>Specialisten op het vlak van energie en duurzaamheid en innovatie</v>
          </cell>
          <cell r="I17" t="str">
            <v>Energie_Duurzaamheid_en_Innovatie</v>
          </cell>
          <cell r="K17" t="str">
            <v>P3 Contract en leveranciersmanagement</v>
          </cell>
          <cell r="L17" t="str">
            <v>3: contract en leveranciersmanagement</v>
          </cell>
        </row>
        <row r="18">
          <cell r="E18"/>
          <cell r="F18"/>
          <cell r="H18" t="str">
            <v>Vergunningverleners</v>
          </cell>
          <cell r="I18" t="str">
            <v>Technische_Vergunningverleners_Mijnbouw</v>
          </cell>
          <cell r="K18" t="str">
            <v>P1 Strategisch interim management 1</v>
          </cell>
          <cell r="L18" t="str">
            <v>1: Strategisch Interim Management</v>
          </cell>
        </row>
        <row r="19">
          <cell r="H19" t="str">
            <v>MilieuInspecteurs</v>
          </cell>
          <cell r="I19" t="str">
            <v>MilieuInspecteurs</v>
          </cell>
          <cell r="K19" t="str">
            <v>P2 Strategisch interim management 2</v>
          </cell>
          <cell r="L19" t="str">
            <v>2: Strategisch Interim Management</v>
          </cell>
        </row>
        <row r="20">
          <cell r="H20"/>
          <cell r="I20" t="str">
            <v>Arbeidsparticipatie</v>
          </cell>
          <cell r="K20" t="str">
            <v>P3 Tactisch interim management</v>
          </cell>
          <cell r="L20" t="str">
            <v>3: Tactisch Interim Management</v>
          </cell>
        </row>
        <row r="21">
          <cell r="H21"/>
          <cell r="I21" t="str">
            <v>1-3 Offertes</v>
          </cell>
          <cell r="K21" t="str">
            <v>N.v.t. bij Juridische Capaciteit</v>
          </cell>
          <cell r="L21" t="str">
            <v>N.v.t. bij Juridische Capaciteit</v>
          </cell>
        </row>
        <row r="22">
          <cell r="H22"/>
          <cell r="I22" t="str">
            <v>Communicatiepool</v>
          </cell>
          <cell r="K22" t="str">
            <v>P1 Programma en opdrachten</v>
          </cell>
          <cell r="L22" t="str">
            <v>1. Programma’s en opdrachten</v>
          </cell>
        </row>
        <row r="23">
          <cell r="H23"/>
          <cell r="I23" t="str">
            <v>Ingenieursdiensten</v>
          </cell>
          <cell r="K23" t="str">
            <v>P2 Regelingen</v>
          </cell>
          <cell r="L23" t="str">
            <v>2. Regelingen</v>
          </cell>
        </row>
        <row r="24">
          <cell r="H24"/>
          <cell r="I24" t="str">
            <v>Projectmanagement_ondersteuning</v>
          </cell>
          <cell r="K24" t="str">
            <v>P1 Technische Vergunningverleners Mijnbouw voor Kernministerie EZK</v>
          </cell>
          <cell r="L24" t="str">
            <v>1. Vergunningverleners EZK</v>
          </cell>
        </row>
        <row r="25">
          <cell r="H25"/>
          <cell r="I25"/>
          <cell r="K25" t="str">
            <v>P2 Technische Vergunningverleners Mijnbouw voor SodM</v>
          </cell>
          <cell r="L25" t="str">
            <v>2. Vergunningverleners SodM</v>
          </cell>
        </row>
        <row r="26">
          <cell r="K26" t="str">
            <v>P3 Onderwijskundige diensten</v>
          </cell>
          <cell r="L26" t="str">
            <v>P3 Onderwijskundige diensten</v>
          </cell>
        </row>
        <row r="27">
          <cell r="K27" t="str">
            <v xml:space="preserve">P4 Didactische trainingsdiensten </v>
          </cell>
          <cell r="L27" t="str">
            <v xml:space="preserve">P4 Didactische trainingsdiensten </v>
          </cell>
        </row>
        <row r="28">
          <cell r="K28" t="str">
            <v>P5 Maatwerk digitale leeractiviteiten</v>
          </cell>
          <cell r="L28" t="str">
            <v>P5 Maatwerk digitale leeractiviteiten.</v>
          </cell>
        </row>
        <row r="29">
          <cell r="K29" t="str">
            <v>P1 Communicatieprofessionals</v>
          </cell>
          <cell r="L29" t="str">
            <v>Communicatieprofessionals (perceel 1)</v>
          </cell>
        </row>
        <row r="30">
          <cell r="K30" t="str">
            <v>P2 Webredactieprofessionals</v>
          </cell>
          <cell r="L30" t="str">
            <v>(web) redactieprofessionals (perceel 2)</v>
          </cell>
        </row>
        <row r="31">
          <cell r="K31" t="str">
            <v>N.v.t. bij MilieuInspecteurs</v>
          </cell>
          <cell r="L31" t="str">
            <v>N.v.t. bij milieu inspecteurs</v>
          </cell>
        </row>
      </sheetData>
      <sheetData sheetId="11">
        <row r="1">
          <cell r="A1" t="str">
            <v>1. Sleutel (BCD)</v>
          </cell>
          <cell r="B1" t="str">
            <v>Raamovereenkomst</v>
          </cell>
          <cell r="C1" t="str">
            <v>Perceel</v>
          </cell>
          <cell r="D1" t="str">
            <v>ON_Audit</v>
          </cell>
          <cell r="E1" t="str">
            <v>Leveranciersnaam</v>
          </cell>
          <cell r="F1" t="str">
            <v>samenvoeging mailadres</v>
          </cell>
          <cell r="G1" t="str">
            <v>E-mailadres 1</v>
          </cell>
          <cell r="H1" t="str">
            <v>E-mailadres 2</v>
          </cell>
          <cell r="I1" t="str">
            <v>E-mailadres 3</v>
          </cell>
          <cell r="J1" t="str">
            <v>E-mailadres 4</v>
          </cell>
          <cell r="K1" t="str">
            <v>Leveranciersnaam NOKgenerator</v>
          </cell>
        </row>
        <row r="2">
          <cell r="A2" t="str">
            <v>AuditdienstenP1 Inhuur AuditdienstenBaker Tilly Berk N.V. (perc. 1)</v>
          </cell>
          <cell r="B2" t="str">
            <v>Auditdiensten</v>
          </cell>
          <cell r="C2" t="str">
            <v>P1 Inhuur Auditdiensten</v>
          </cell>
          <cell r="D2" t="str">
            <v>Baker Tilly Berk N.V. (perc. 1)</v>
          </cell>
          <cell r="E2" t="str">
            <v>Baker Tilly Berk N.V.</v>
          </cell>
          <cell r="F2" t="str">
            <v>auditmantelim@bakertillyberk.nl;</v>
          </cell>
          <cell r="G2" t="str">
            <v>auditmantelim@bakertillyberk.nl;</v>
          </cell>
          <cell r="H2"/>
          <cell r="I2"/>
          <cell r="J2"/>
          <cell r="K2" t="str">
            <v>Baker Tilly(P1)</v>
          </cell>
        </row>
        <row r="3">
          <cell r="A3" t="str">
            <v>AuditdienstenP1 Inhuur AuditdienstenDeloitte Accountants B.V. (perc. 1)</v>
          </cell>
          <cell r="B3" t="str">
            <v>Auditdiensten</v>
          </cell>
          <cell r="C3" t="str">
            <v>P1 Inhuur Auditdiensten</v>
          </cell>
          <cell r="D3" t="str">
            <v>Deloitte Accountants B.V. (perc. 1)</v>
          </cell>
          <cell r="E3" t="str">
            <v>Deloitte Accountants B.V.</v>
          </cell>
          <cell r="F3" t="str">
            <v>NLauditRijksoverheid@deloitte.nl;</v>
          </cell>
          <cell r="G3" t="str">
            <v>NLauditRijksoverheid@deloitte.nl;</v>
          </cell>
          <cell r="H3"/>
          <cell r="I3"/>
          <cell r="J3"/>
          <cell r="K3" t="str">
            <v>Deloitte(P1)</v>
          </cell>
        </row>
        <row r="4">
          <cell r="A4" t="str">
            <v>AuditdienstenP1 Inhuur AuditdienstenErnst &amp; Young Advisory LLP (perc. 1)</v>
          </cell>
          <cell r="B4" t="str">
            <v>Auditdiensten</v>
          </cell>
          <cell r="C4" t="str">
            <v>P1 Inhuur Auditdiensten</v>
          </cell>
          <cell r="D4" t="str">
            <v>Ernst &amp; Young Advisory LLP (perc. 1)</v>
          </cell>
          <cell r="E4" t="str">
            <v>Ernst &amp; Young Advisory LLP</v>
          </cell>
          <cell r="F4" t="str">
            <v>Raamovereenkomsten.ps@nl.ey.com;</v>
          </cell>
          <cell r="G4" t="str">
            <v>Raamovereenkomsten.ps@nl.ey.com;</v>
          </cell>
          <cell r="H4"/>
          <cell r="I4"/>
          <cell r="J4"/>
          <cell r="K4" t="str">
            <v>EY(P1)</v>
          </cell>
        </row>
        <row r="5">
          <cell r="A5" t="str">
            <v>AuditdienstenP1 Inhuur AuditdienstenKPMG Accountants N.V. (perc. 1)</v>
          </cell>
          <cell r="B5" t="str">
            <v>Auditdiensten</v>
          </cell>
          <cell r="C5" t="str">
            <v>P1 Inhuur Auditdiensten</v>
          </cell>
          <cell r="D5" t="str">
            <v>KPMG Accountants N.V. (perc. 1)</v>
          </cell>
          <cell r="E5" t="str">
            <v>KPMG Accountants N.V.</v>
          </cell>
          <cell r="F5" t="str">
            <v>offerte@kpmg.NL;</v>
          </cell>
          <cell r="G5" t="str">
            <v>offerte@kpmg.NL;</v>
          </cell>
          <cell r="H5"/>
          <cell r="I5"/>
          <cell r="J5"/>
          <cell r="K5" t="str">
            <v>KPMG(P1)</v>
          </cell>
        </row>
        <row r="6">
          <cell r="A6" t="str">
            <v>AuditdienstenP1 Inhuur AuditdienstenRA-Quel B.V. (perc. 1)</v>
          </cell>
          <cell r="B6" t="str">
            <v>Auditdiensten</v>
          </cell>
          <cell r="C6" t="str">
            <v>P1 Inhuur Auditdiensten</v>
          </cell>
          <cell r="D6" t="str">
            <v>RA-Quel B.V. (perc. 1)</v>
          </cell>
          <cell r="E6" t="str">
            <v>RA-Quel B.V.</v>
          </cell>
          <cell r="F6" t="str">
            <v>inhuurauditdiensten@ra-quel.nl;</v>
          </cell>
          <cell r="G6" t="str">
            <v>inhuurauditdiensten@ra-quel.nl;</v>
          </cell>
          <cell r="H6"/>
          <cell r="I6"/>
          <cell r="J6"/>
          <cell r="K6" t="str">
            <v>Ra-quel(P1)</v>
          </cell>
        </row>
        <row r="7">
          <cell r="A7" t="str">
            <v>AuditdienstenP1 Inhuur AuditdienstenUSG Professionals (perc. 1)</v>
          </cell>
          <cell r="B7" t="str">
            <v>Auditdiensten</v>
          </cell>
          <cell r="C7" t="str">
            <v>P1 Inhuur Auditdiensten</v>
          </cell>
          <cell r="D7" t="str">
            <v>USG Professionals (perc. 1)</v>
          </cell>
          <cell r="E7" t="str">
            <v>USG Professionals B.V.</v>
          </cell>
          <cell r="F7" t="str">
            <v>adr@usgfinance.nl;</v>
          </cell>
          <cell r="G7" t="str">
            <v>adr@usgfinance.nl;</v>
          </cell>
          <cell r="H7"/>
          <cell r="I7"/>
          <cell r="J7"/>
          <cell r="K7" t="str">
            <v>USG(P1)</v>
          </cell>
        </row>
        <row r="8">
          <cell r="A8" t="str">
            <v>AuditdienstenP1 Inhuur AuditdienstenVanberkel Professionals Holding B.V. (perc. 1)</v>
          </cell>
          <cell r="B8" t="str">
            <v>Auditdiensten</v>
          </cell>
          <cell r="C8" t="str">
            <v>P1 Inhuur Auditdiensten</v>
          </cell>
          <cell r="D8" t="str">
            <v>Vanberkel Professionals Holding B.V. (perc. 1)</v>
          </cell>
          <cell r="E8" t="str">
            <v>Vanberkel Professionals Holding B.V.</v>
          </cell>
          <cell r="F8" t="str">
            <v>vragen@vbprofs.nl;</v>
          </cell>
          <cell r="G8" t="str">
            <v>vragen@vbprofs.nl;</v>
          </cell>
          <cell r="H8"/>
          <cell r="I8"/>
          <cell r="J8"/>
          <cell r="K8" t="str">
            <v>VanBerkel(P1)</v>
          </cell>
        </row>
        <row r="9">
          <cell r="A9" t="str">
            <v>AuditdienstenP2 Inhuur IT AuditdienstenBaker Tilly (Netherlands) N.V. (perc. 2)</v>
          </cell>
          <cell r="B9" t="str">
            <v>Auditdiensten</v>
          </cell>
          <cell r="C9" t="str">
            <v>P2 Inhuur IT Auditdiensten</v>
          </cell>
          <cell r="D9" t="str">
            <v>Baker Tilly (Netherlands) N.V. (perc. 2)</v>
          </cell>
          <cell r="E9" t="str">
            <v>Baker Tilly (Netherlands) N.V.</v>
          </cell>
          <cell r="F9" t="str">
            <v>ITauditmantel@bakertilly.nl;</v>
          </cell>
          <cell r="G9" t="str">
            <v>ITauditmantel@bakertilly.nl;</v>
          </cell>
          <cell r="J9"/>
          <cell r="K9" t="str">
            <v>Baker Tilly(P2)</v>
          </cell>
        </row>
        <row r="10">
          <cell r="A10" t="str">
            <v>AuditdienstenP2 Inhuur IT AuditdienstenDeloitte Risk Advisory B.V. (perc. 2)</v>
          </cell>
          <cell r="B10" t="str">
            <v>Auditdiensten</v>
          </cell>
          <cell r="C10" t="str">
            <v>P2 Inhuur IT Auditdiensten</v>
          </cell>
          <cell r="D10" t="str">
            <v>Deloitte Risk Advisory B.V. (perc. 2)</v>
          </cell>
          <cell r="E10" t="str">
            <v>Deloitte Risk Advisory B.V.</v>
          </cell>
          <cell r="F10" t="str">
            <v>nlauditrijksoverheid@deloitte.nl;</v>
          </cell>
          <cell r="G10" t="str">
            <v>nlauditrijksoverheid@deloitte.nl;</v>
          </cell>
          <cell r="J10"/>
          <cell r="K10" t="str">
            <v>Deloitte(P2)</v>
          </cell>
        </row>
        <row r="11">
          <cell r="A11" t="str">
            <v>AuditdienstenP2 Inhuur IT AuditdienstenEY Advisory Netherlands LLP (perc. 2)</v>
          </cell>
          <cell r="B11" t="str">
            <v>Auditdiensten</v>
          </cell>
          <cell r="C11" t="str">
            <v>P2 Inhuur IT Auditdiensten</v>
          </cell>
          <cell r="D11" t="str">
            <v>EY Advisory Netherlands LLP (perc. 2)</v>
          </cell>
          <cell r="E11" t="str">
            <v>EY Advisory Netherlands LLP</v>
          </cell>
          <cell r="F11" t="str">
            <v>raamovereenkomsten.ps@nl.ey.com;</v>
          </cell>
          <cell r="G11" t="str">
            <v>raamovereenkomsten.ps@nl.ey.com;</v>
          </cell>
          <cell r="J11"/>
          <cell r="K11" t="str">
            <v>EY(P2)</v>
          </cell>
        </row>
        <row r="12">
          <cell r="A12" t="str">
            <v>AuditdienstenP2 Inhuur IT AuditdienstenKPMG Advisory N.V. (perc. 2)</v>
          </cell>
          <cell r="B12" t="str">
            <v>Auditdiensten</v>
          </cell>
          <cell r="C12" t="str">
            <v>P2 Inhuur IT Auditdiensten</v>
          </cell>
          <cell r="D12" t="str">
            <v>KPMG Advisory N.V. (perc. 2)</v>
          </cell>
          <cell r="E12" t="str">
            <v>KPMG Advisory N.V.</v>
          </cell>
          <cell r="F12" t="str">
            <v>offerte@kpmg.nl;</v>
          </cell>
          <cell r="G12" t="str">
            <v>offerte@kpmg.nl;</v>
          </cell>
          <cell r="J12"/>
          <cell r="K12" t="str">
            <v>KPMG(P2)</v>
          </cell>
        </row>
        <row r="13">
          <cell r="A13" t="str">
            <v>AuditdienstenP2 Inhuur IT AuditdienstenPricewaterhouseCoopers Advisory N.V. (perc. 2)</v>
          </cell>
          <cell r="B13" t="str">
            <v>Auditdiensten</v>
          </cell>
          <cell r="C13" t="str">
            <v>P2 Inhuur IT Auditdiensten</v>
          </cell>
          <cell r="D13" t="str">
            <v>PricewaterhouseCoopers Advisory N.V. (perc. 2)</v>
          </cell>
          <cell r="E13" t="str">
            <v>PricewaterhouseCoopers Advisory N.V.</v>
          </cell>
          <cell r="F13" t="str">
            <v>nl_rok-auditdiensten-p2@pwc.com;</v>
          </cell>
          <cell r="G13" t="str">
            <v>nl_rok-auditdiensten-p2@pwc.com;</v>
          </cell>
          <cell r="J13"/>
          <cell r="K13" t="str">
            <v>PricewaterhouseCoopers(P2)</v>
          </cell>
        </row>
        <row r="14">
          <cell r="A14" t="str">
            <v>1. Sleutel (BCD)</v>
          </cell>
          <cell r="B14" t="str">
            <v>Raamovereenkomst</v>
          </cell>
          <cell r="C14" t="str">
            <v>Perceel</v>
          </cell>
          <cell r="D14" t="str">
            <v>ON_Data_Analist</v>
          </cell>
          <cell r="E14" t="str">
            <v>Leveranciersnaam</v>
          </cell>
          <cell r="F14" t="str">
            <v>samenvoeging mailadres</v>
          </cell>
          <cell r="G14" t="str">
            <v>E-mailadres 1</v>
          </cell>
          <cell r="H14" t="str">
            <v>E-mailadres 2</v>
          </cell>
          <cell r="I14" t="str">
            <v>E-mailadres 3</v>
          </cell>
          <cell r="J14" t="str">
            <v>E-mailadres 4</v>
          </cell>
        </row>
        <row r="15">
          <cell r="A15" t="str">
            <v>Data SpecialistenN.v.t. bij data specialistenCapgemini B.V.</v>
          </cell>
          <cell r="B15" t="str">
            <v>Data Specialisten</v>
          </cell>
          <cell r="C15" t="str">
            <v>N.v.t. bij data specialisten</v>
          </cell>
          <cell r="D15" t="str">
            <v>Capgemini B.V.</v>
          </cell>
          <cell r="E15" t="str">
            <v>Capgemini B.V.</v>
          </cell>
          <cell r="F15" t="str">
            <v>Demandsupport.bnl@capgemini.com;</v>
          </cell>
          <cell r="G15" t="str">
            <v>Demandsupport.bnl@capgemini.com;</v>
          </cell>
          <cell r="H15"/>
          <cell r="I15"/>
          <cell r="J15"/>
          <cell r="K15" t="str">
            <v>Capgemini</v>
          </cell>
        </row>
        <row r="16">
          <cell r="A16" t="str">
            <v>Data SpecialistenN.v.t. bij data specialistenImproven B.V.</v>
          </cell>
          <cell r="B16" t="str">
            <v>Data Specialisten</v>
          </cell>
          <cell r="C16" t="str">
            <v>N.v.t. bij data specialisten</v>
          </cell>
          <cell r="D16" t="str">
            <v>Improven B.V.</v>
          </cell>
          <cell r="E16" t="str">
            <v>Improven B.V.</v>
          </cell>
          <cell r="F16" t="str">
            <v xml:space="preserve">astrid.van.noortwijk@improven.nl; </v>
          </cell>
          <cell r="G16" t="str">
            <v xml:space="preserve">astrid.van.noortwijk@improven.nl; </v>
          </cell>
          <cell r="J16"/>
          <cell r="K16" t="str">
            <v>Improven</v>
          </cell>
        </row>
        <row r="17">
          <cell r="A17" t="str">
            <v>Data SpecialistenN.v.t. bij data specialistenEOM Data Solutions B.V.</v>
          </cell>
          <cell r="B17" t="str">
            <v>Data Specialisten</v>
          </cell>
          <cell r="C17" t="str">
            <v>N.v.t. bij data specialisten</v>
          </cell>
          <cell r="D17" t="str">
            <v>EOM Data Solutions B.V.</v>
          </cell>
          <cell r="E17" t="str">
            <v>EOM Data Solutions B.V.</v>
          </cell>
          <cell r="F17" t="str">
            <v>allocatiedesk@eom.nl;</v>
          </cell>
          <cell r="G17" t="str">
            <v>allocatiedesk@eom.nl;</v>
          </cell>
          <cell r="J17"/>
          <cell r="K17" t="str">
            <v>EOM</v>
          </cell>
        </row>
        <row r="18">
          <cell r="A18" t="str">
            <v>Data SpecialistenN.v.t. bij data specialistenSAS Institute B.V.</v>
          </cell>
          <cell r="B18" t="str">
            <v>Data Specialisten</v>
          </cell>
          <cell r="C18" t="str">
            <v>N.v.t. bij data specialisten</v>
          </cell>
          <cell r="D18" t="str">
            <v>SAS Institute B.V.</v>
          </cell>
          <cell r="E18" t="str">
            <v>SAS Institute B.V.</v>
          </cell>
          <cell r="F18" t="str">
            <v>ezk.resourcing@sas.com;</v>
          </cell>
          <cell r="G18" t="str">
            <v>ezk.resourcing@sas.com;</v>
          </cell>
          <cell r="J18"/>
          <cell r="K18" t="str">
            <v>SAS</v>
          </cell>
        </row>
        <row r="19">
          <cell r="A19" t="str">
            <v>Data SpecialistenN.v.t. bij data specialistenSogeti Nederland B.V.</v>
          </cell>
          <cell r="B19" t="str">
            <v>Data Specialisten</v>
          </cell>
          <cell r="C19" t="str">
            <v>N.v.t. bij data specialisten</v>
          </cell>
          <cell r="D19" t="str">
            <v>Sogeti Nederland B.V.</v>
          </cell>
          <cell r="E19" t="str">
            <v>Sogeti Nederland B.V.</v>
          </cell>
          <cell r="F19" t="str">
            <v>minezk.nl@sogeti.com;</v>
          </cell>
          <cell r="G19" t="str">
            <v>minezk.nl@sogeti.com;</v>
          </cell>
          <cell r="J19"/>
          <cell r="K19" t="str">
            <v>Sogeti</v>
          </cell>
        </row>
        <row r="20">
          <cell r="A20" t="str">
            <v>Data SpecialistenN.v.t. bij data specialistenTalent&amp;Pro Nederland B.V.</v>
          </cell>
          <cell r="B20" t="str">
            <v>Data Specialisten</v>
          </cell>
          <cell r="C20" t="str">
            <v>N.v.t. bij data specialisten</v>
          </cell>
          <cell r="D20" t="str">
            <v>Talent&amp;Pro Nederland B.V.</v>
          </cell>
          <cell r="E20" t="str">
            <v>Talent&amp;Pro Nederland B.V.</v>
          </cell>
          <cell r="F20" t="str">
            <v>matching@redmore.eu;</v>
          </cell>
          <cell r="G20" t="str">
            <v>matching@redmore.eu;</v>
          </cell>
          <cell r="J20"/>
          <cell r="K20" t="str">
            <v>Talent&amp;Pro</v>
          </cell>
        </row>
        <row r="21">
          <cell r="A21" t="str">
            <v>Data SpecialistenN.v.t. bij data specialistenORTEC B.V.</v>
          </cell>
          <cell r="B21" t="str">
            <v>Data Specialisten</v>
          </cell>
          <cell r="C21" t="str">
            <v>N.v.t. bij data specialisten</v>
          </cell>
          <cell r="D21" t="str">
            <v>ORTEC B.V.</v>
          </cell>
          <cell r="E21" t="str">
            <v>ORTEC B.V.</v>
          </cell>
          <cell r="F21" t="str">
            <v>detacheringsdesk@ortec.com;bryant@onefellow.nl;</v>
          </cell>
          <cell r="G21" t="str">
            <v>detacheringsdesk@ortec.com;</v>
          </cell>
          <cell r="H21" t="str">
            <v>bryant@onefellow.nl;</v>
          </cell>
          <cell r="J21"/>
          <cell r="K21" t="str">
            <v>Ortec</v>
          </cell>
        </row>
        <row r="22">
          <cell r="A22" t="str">
            <v>Data SpecialistenN.v.t. bij data specialistenPW Consulting B.V.</v>
          </cell>
          <cell r="B22" t="str">
            <v>Data Specialisten</v>
          </cell>
          <cell r="C22" t="str">
            <v>N.v.t. bij data specialisten</v>
          </cell>
          <cell r="D22" t="str">
            <v>PW Consulting B.V.</v>
          </cell>
          <cell r="E22" t="str">
            <v>PW Consulting B.V.</v>
          </cell>
          <cell r="F22" t="str">
            <v>aanvraag@pwconsulting.nl;</v>
          </cell>
          <cell r="G22" t="str">
            <v>aanvraag@pwconsulting.nl;</v>
          </cell>
          <cell r="J22"/>
          <cell r="K22" t="str">
            <v>PW Consulting</v>
          </cell>
        </row>
        <row r="23">
          <cell r="A23" t="str">
            <v>1. Sleutel (BCD)</v>
          </cell>
          <cell r="B23" t="str">
            <v>Raamovereenkomst</v>
          </cell>
          <cell r="C23" t="str">
            <v>Perceel</v>
          </cell>
          <cell r="D23" t="str">
            <v>ON_Boorspecialisten</v>
          </cell>
          <cell r="E23" t="str">
            <v>Leveranciersnaam</v>
          </cell>
          <cell r="F23" t="str">
            <v>samenvoeging mailadres</v>
          </cell>
          <cell r="G23" t="str">
            <v>E-mailadres 1</v>
          </cell>
          <cell r="H23" t="str">
            <v>E-mailadres 2</v>
          </cell>
          <cell r="I23" t="str">
            <v>E-mailadres 3</v>
          </cell>
          <cell r="J23" t="str">
            <v>E-mailadres 4</v>
          </cell>
        </row>
        <row r="24">
          <cell r="A24" t="str">
            <v>Dienstverlening van BoorspecialistenN.v.t. bij dienstverlening van boorspecialistenWTS Energy</v>
          </cell>
          <cell r="B24" t="str">
            <v>Dienstverlening van Boorspecialisten</v>
          </cell>
          <cell r="C24" t="str">
            <v>N.v.t. bij dienstverlening van boorspecialisten</v>
          </cell>
          <cell r="D24" t="str">
            <v>WTS Energy</v>
          </cell>
          <cell r="E24" t="str">
            <v>WTS Energy</v>
          </cell>
          <cell r="F24" t="str">
            <v>alex.beij@wtsenergy.com;</v>
          </cell>
          <cell r="G24" t="str">
            <v>alex.beij@wtsenergy.com;</v>
          </cell>
          <cell r="H24"/>
          <cell r="I24"/>
          <cell r="J24"/>
          <cell r="K24" t="str">
            <v>WTS Energy</v>
          </cell>
        </row>
        <row r="25">
          <cell r="A25" t="str">
            <v>1. Sleutel (BCD)</v>
          </cell>
          <cell r="B25" t="str">
            <v>Raamovereenkomst</v>
          </cell>
          <cell r="C25" t="str">
            <v>Perceel</v>
          </cell>
          <cell r="D25" t="str">
            <v>ON_Financieringsexperts</v>
          </cell>
          <cell r="E25" t="str">
            <v>Leveranciersnaam</v>
          </cell>
          <cell r="F25" t="str">
            <v>samenvoeging mailadres</v>
          </cell>
          <cell r="G25" t="str">
            <v>E-mailadres 1</v>
          </cell>
          <cell r="H25" t="str">
            <v>E-mailadres 2</v>
          </cell>
          <cell r="I25" t="str">
            <v>E-mailadres 3</v>
          </cell>
          <cell r="J25" t="str">
            <v>E-mailadres 4</v>
          </cell>
        </row>
        <row r="26">
          <cell r="A26" t="str">
            <v>FinancieringsexpertsN.v.t. bij FinancieringsexpertsBrunel Nederland</v>
          </cell>
          <cell r="B26" t="str">
            <v>Financieringsexperts</v>
          </cell>
          <cell r="C26" t="str">
            <v>N.v.t. bij Financieringsexperts</v>
          </cell>
          <cell r="D26" t="str">
            <v>Brunel Nederland</v>
          </cell>
          <cell r="E26" t="str">
            <v>Brunel Nederland B.V.</v>
          </cell>
          <cell r="F26" t="str">
            <v>overheidfinancieel@brunel.net;</v>
          </cell>
          <cell r="G26"/>
          <cell r="H26"/>
          <cell r="I26"/>
          <cell r="J26"/>
          <cell r="K26" t="str">
            <v>Brunel Nederland</v>
          </cell>
        </row>
        <row r="27">
          <cell r="A27" t="str">
            <v>FinancieringsexpertsN.v.t. bij FinancieringsexpertsDPA Overheid</v>
          </cell>
          <cell r="B27" t="str">
            <v>Financieringsexperts</v>
          </cell>
          <cell r="C27" t="str">
            <v>N.v.t. bij Financieringsexperts</v>
          </cell>
          <cell r="D27" t="str">
            <v>DPA Overheid</v>
          </cell>
          <cell r="E27" t="str">
            <v>DPA Overheid B.V.</v>
          </cell>
          <cell r="F27" t="str">
            <v>jeroen.hoop@dpa.nl;</v>
          </cell>
          <cell r="G27" t="str">
            <v>jeroen.hoop@dpa.nl</v>
          </cell>
          <cell r="J27"/>
          <cell r="K27" t="str">
            <v>DPA Overheid</v>
          </cell>
        </row>
        <row r="28">
          <cell r="A28" t="str">
            <v>FinancieringsexpertsN.v.t. bij FinancieringsexpertsOrangeX</v>
          </cell>
          <cell r="B28" t="str">
            <v>Financieringsexperts</v>
          </cell>
          <cell r="C28" t="str">
            <v>N.v.t. bij Financieringsexperts</v>
          </cell>
          <cell r="D28" t="str">
            <v>OrangeX</v>
          </cell>
          <cell r="E28" t="str">
            <v>OrangeX B.V.</v>
          </cell>
          <cell r="F28" t="str">
            <v>alwin.schiphorst@orangex.nl; info@orangex.nl;</v>
          </cell>
          <cell r="J28"/>
          <cell r="K28" t="str">
            <v>OrangeX</v>
          </cell>
        </row>
        <row r="29">
          <cell r="A29" t="str">
            <v>FinancieringsexpertsN.v.t. bij FinancieringsexpertsTotality Recruiting Services</v>
          </cell>
          <cell r="B29" t="str">
            <v>Financieringsexperts</v>
          </cell>
          <cell r="C29" t="str">
            <v>N.v.t. bij Financieringsexperts</v>
          </cell>
          <cell r="D29" t="str">
            <v>Totality Recruiting Services</v>
          </cell>
          <cell r="E29" t="str">
            <v>Totality Recruiting Services B.V.</v>
          </cell>
          <cell r="F29" t="str">
            <v>rvo@totality.nl;</v>
          </cell>
          <cell r="G29"/>
          <cell r="H29"/>
          <cell r="I29"/>
          <cell r="J29"/>
          <cell r="K29" t="str">
            <v>Totality Recruiting Services</v>
          </cell>
        </row>
        <row r="30">
          <cell r="A30" t="str">
            <v>FinancieringsexpertsN.v.t. bij FinancieringsexpertsWelten Detachering</v>
          </cell>
          <cell r="B30" t="str">
            <v>Financieringsexperts</v>
          </cell>
          <cell r="C30" t="str">
            <v>N.v.t. bij Financieringsexperts</v>
          </cell>
          <cell r="D30" t="str">
            <v>Welten Detachering</v>
          </cell>
          <cell r="E30" t="str">
            <v>Welten Detachering B.V.</v>
          </cell>
          <cell r="F30" t="str">
            <v>matching@welten.eu; s.pickhard@welten.eu;</v>
          </cell>
          <cell r="G30"/>
          <cell r="H30"/>
          <cell r="I30"/>
          <cell r="J30"/>
          <cell r="K30" t="str">
            <v>Welten Detachering</v>
          </cell>
        </row>
        <row r="31">
          <cell r="A31" t="str">
            <v>1. Sleutel (BCD)</v>
          </cell>
          <cell r="B31" t="str">
            <v>Raamovereenkomst</v>
          </cell>
          <cell r="C31" t="str">
            <v>Perceel</v>
          </cell>
          <cell r="D31" t="str">
            <v>ON_FacilitairRVO</v>
          </cell>
          <cell r="E31" t="str">
            <v>Leveranciersnaam</v>
          </cell>
          <cell r="F31" t="str">
            <v>samenvoeging mailadres</v>
          </cell>
          <cell r="G31" t="str">
            <v>E-mailadres 1</v>
          </cell>
          <cell r="H31" t="str">
            <v>E-mailadres 2</v>
          </cell>
          <cell r="I31" t="str">
            <v>E-mailadres 3</v>
          </cell>
          <cell r="J31" t="str">
            <v>E-mailadres 4</v>
          </cell>
        </row>
        <row r="32">
          <cell r="A32" t="str">
            <v>Facilitair adviseurs RVON.v.t. bij facilitair adviseurs RVOActos</v>
          </cell>
          <cell r="B32" t="str">
            <v>Facilitair adviseurs RVO</v>
          </cell>
          <cell r="C32" t="str">
            <v>N.v.t. bij facilitair adviseurs RVO</v>
          </cell>
          <cell r="D32" t="str">
            <v>Actos</v>
          </cell>
          <cell r="E32" t="str">
            <v>Actos Groep B.V.</v>
          </cell>
          <cell r="F32" t="str">
            <v>Info@doxa.nl;</v>
          </cell>
          <cell r="G32" t="str">
            <v>Info@doxa.nl;</v>
          </cell>
          <cell r="H32"/>
          <cell r="I32"/>
          <cell r="J32"/>
          <cell r="K32" t="str">
            <v>Actos</v>
          </cell>
        </row>
        <row r="33">
          <cell r="A33" t="str">
            <v>Facilitair adviseurs RVON.v.t. bij facilitair adviseurs RVOColliers</v>
          </cell>
          <cell r="B33" t="str">
            <v>Facilitair adviseurs RVO</v>
          </cell>
          <cell r="C33" t="str">
            <v>N.v.t. bij facilitair adviseurs RVO</v>
          </cell>
          <cell r="D33" t="str">
            <v>Colliers</v>
          </cell>
          <cell r="E33" t="str">
            <v>Colliers Occupier Services B.V.</v>
          </cell>
          <cell r="F33" t="str">
            <v>NL.samenwerkingRVO@colliers.com;</v>
          </cell>
          <cell r="G33" t="str">
            <v>NL.samenwerkingRVO@colliers.com;</v>
          </cell>
          <cell r="H33"/>
          <cell r="I33"/>
          <cell r="J33"/>
          <cell r="K33" t="str">
            <v>Colliers</v>
          </cell>
        </row>
        <row r="34">
          <cell r="A34" t="str">
            <v>1. Sleutel (BCD)</v>
          </cell>
          <cell r="B34" t="str">
            <v>Raamovereenkomst</v>
          </cell>
          <cell r="C34" t="str">
            <v>Perceel</v>
          </cell>
          <cell r="D34" t="str">
            <v>ON_Facilitair</v>
          </cell>
          <cell r="E34" t="str">
            <v>Leveranciersnaam</v>
          </cell>
          <cell r="F34" t="str">
            <v>samenvoeging mailadres</v>
          </cell>
          <cell r="G34" t="str">
            <v>E-mailadres 1</v>
          </cell>
          <cell r="H34" t="str">
            <v>E-mailadres 2</v>
          </cell>
          <cell r="I34" t="str">
            <v>E-mailadres 3</v>
          </cell>
          <cell r="J34" t="str">
            <v>E-mailadres 4</v>
          </cell>
        </row>
        <row r="35">
          <cell r="A35" t="str">
            <v>Facilitair adviseursN.v.t. bij facilitair adviseursColliers International Occupier Services B.V. </v>
          </cell>
          <cell r="B35" t="str">
            <v>Facilitair adviseurs</v>
          </cell>
          <cell r="C35" t="str">
            <v>N.v.t. bij facilitair adviseurs</v>
          </cell>
          <cell r="D35" t="str">
            <v>Colliers International Occupier Services B.V. </v>
          </cell>
          <cell r="E35" t="str">
            <v>Colliers International Occupier Services B.V. </v>
          </cell>
          <cell r="F35" t="str">
            <v>nl.samenwerkingEZK@colliers.com;</v>
          </cell>
          <cell r="G35" t="str">
            <v>nl.samenwerkingEZK@colliers.com</v>
          </cell>
          <cell r="H35"/>
          <cell r="I35"/>
          <cell r="J35"/>
          <cell r="K35" t="str">
            <v>Colliers</v>
          </cell>
        </row>
        <row r="36">
          <cell r="A36" t="str">
            <v>Facilitair adviseursN.v.t. bij facilitair adviseursHEYDAY Consultancy &amp; Detachering B.V.</v>
          </cell>
          <cell r="B36" t="str">
            <v>Facilitair adviseurs</v>
          </cell>
          <cell r="C36" t="str">
            <v>N.v.t. bij facilitair adviseurs</v>
          </cell>
          <cell r="D36" t="str">
            <v>HEYDAY Consultancy &amp; Detachering B.V.</v>
          </cell>
          <cell r="E36" t="str">
            <v>HEYDAY Consultancy &amp; Detachering B.V.</v>
          </cell>
          <cell r="F36" t="str">
            <v>eric.dewit@heydayfm.nl;</v>
          </cell>
          <cell r="G36" t="str">
            <v xml:space="preserve">eric.dewit@heydayfm.nl </v>
          </cell>
          <cell r="J36"/>
          <cell r="K36" t="str">
            <v>Heyday</v>
          </cell>
        </row>
        <row r="37">
          <cell r="A37" t="str">
            <v>Facilitair adviseursN.v.t. bij facilitair adviseursHospitality Interim B.V.</v>
          </cell>
          <cell r="B37" t="str">
            <v>Facilitair adviseurs</v>
          </cell>
          <cell r="C37" t="str">
            <v>N.v.t. bij facilitair adviseurs</v>
          </cell>
          <cell r="D37" t="str">
            <v>Hospitality Interim B.V.</v>
          </cell>
          <cell r="E37" t="str">
            <v>Hospitality Interim B.V.</v>
          </cell>
          <cell r="F37" t="str">
            <v>backofficeIR@hospitality-group.nl;</v>
          </cell>
          <cell r="G37" t="str">
            <v>backofficeIR@hospitality-group.nl</v>
          </cell>
          <cell r="J37"/>
          <cell r="K37" t="str">
            <v>Hospitality</v>
          </cell>
        </row>
        <row r="38">
          <cell r="A38" t="str">
            <v>1. Sleutel (BCD)</v>
          </cell>
          <cell r="B38" t="str">
            <v>Raamovereenkomst</v>
          </cell>
          <cell r="C38" t="str">
            <v>Perceel</v>
          </cell>
          <cell r="D38" t="str">
            <v>ON_Financieel</v>
          </cell>
          <cell r="E38" t="str">
            <v>Leveranciersnaam</v>
          </cell>
          <cell r="F38" t="str">
            <v>samenvoeging mailadres</v>
          </cell>
          <cell r="G38" t="str">
            <v>E-mailadres 1</v>
          </cell>
          <cell r="H38" t="str">
            <v>E-mailadres 2</v>
          </cell>
          <cell r="I38" t="str">
            <v>E-mailadres 3</v>
          </cell>
          <cell r="J38" t="str">
            <v>E-mailadres 4</v>
          </cell>
        </row>
        <row r="39">
          <cell r="A39" t="str">
            <v>Financiële AdviesdienstenP1 Administratie en processenDeloitte Consulting B.V. (P1)</v>
          </cell>
          <cell r="B39" t="str">
            <v>Financiële Adviesdiensten</v>
          </cell>
          <cell r="C39" t="str">
            <v>P1 Administratie en processen</v>
          </cell>
          <cell r="D39" t="str">
            <v>Deloitte Consulting B.V. (P1)</v>
          </cell>
          <cell r="E39" t="str">
            <v>Deloitte Consulting B.V.</v>
          </cell>
          <cell r="F39" t="str">
            <v>nlconsultingfadrijksoverheid@deloitte.nl;</v>
          </cell>
          <cell r="G39" t="str">
            <v>nlconsultingfadrijksoverheid@deloitte.nl;</v>
          </cell>
          <cell r="H39"/>
          <cell r="I39"/>
          <cell r="J39"/>
          <cell r="K39" t="str">
            <v>Deloitte(P1)</v>
          </cell>
        </row>
        <row r="40">
          <cell r="A40" t="str">
            <v>Financiële AdviesdienstenP1 Administratie en processenEY Advisory Netherlands LLP (P1)</v>
          </cell>
          <cell r="B40" t="str">
            <v>Financiële Adviesdiensten</v>
          </cell>
          <cell r="C40" t="str">
            <v>P1 Administratie en processen</v>
          </cell>
          <cell r="D40" t="str">
            <v>EY Advisory Netherlands LLP (P1)</v>
          </cell>
          <cell r="E40" t="str">
            <v>EY Advisory Netherlands LLP</v>
          </cell>
          <cell r="F40" t="str">
            <v>financieeladvies@nl.ey.com;</v>
          </cell>
          <cell r="G40" t="str">
            <v>financieeladvies@nl.ey.com;</v>
          </cell>
          <cell r="H40"/>
          <cell r="I40"/>
          <cell r="J40"/>
          <cell r="K40" t="str">
            <v>EY(P1)</v>
          </cell>
        </row>
        <row r="41">
          <cell r="A41" t="str">
            <v>Financiële AdviesdienstenP1 Administratie en processenProfource B.V. (P1)</v>
          </cell>
          <cell r="B41" t="str">
            <v>Financiële Adviesdiensten</v>
          </cell>
          <cell r="C41" t="str">
            <v>P1 Administratie en processen</v>
          </cell>
          <cell r="D41" t="str">
            <v>Profource B.V. (P1)</v>
          </cell>
          <cell r="E41" t="str">
            <v>Profource B.V.</v>
          </cell>
          <cell r="F41" t="str">
            <v>allocaties@profource.com;</v>
          </cell>
          <cell r="G41" t="str">
            <v>allocaties@profource.com;</v>
          </cell>
          <cell r="H41"/>
          <cell r="I41"/>
          <cell r="J41"/>
          <cell r="K41" t="str">
            <v>Profource(P1)</v>
          </cell>
        </row>
        <row r="42">
          <cell r="A42" t="str">
            <v>Financiële AdviesdienstenP1 Administratie en processenUSG Professionals(P1)</v>
          </cell>
          <cell r="B42" t="str">
            <v>Financiële Adviesdiensten</v>
          </cell>
          <cell r="C42" t="str">
            <v>P1 Administratie en processen</v>
          </cell>
          <cell r="D42" t="str">
            <v>USG Professionals(P1)</v>
          </cell>
          <cell r="E42" t="str">
            <v>USG Professionals B.V.</v>
          </cell>
          <cell r="F42" t="str">
            <v>fad@usgfinance.nl;</v>
          </cell>
          <cell r="G42" t="str">
            <v>fad@usgfinance.nl;</v>
          </cell>
          <cell r="H42"/>
          <cell r="I42"/>
          <cell r="J42"/>
          <cell r="K42" t="str">
            <v>USG(P1)</v>
          </cell>
        </row>
        <row r="43">
          <cell r="A43" t="str">
            <v>Financiële AdviesdienstenP1 Administratie en processenYacht B.V. (P1)</v>
          </cell>
          <cell r="B43" t="str">
            <v>Financiële Adviesdiensten</v>
          </cell>
          <cell r="C43" t="str">
            <v>P1 Administratie en processen</v>
          </cell>
          <cell r="D43" t="str">
            <v>Yacht B.V. (P1)</v>
          </cell>
          <cell r="E43" t="str">
            <v>Yacht B.V.</v>
          </cell>
          <cell r="F43" t="str">
            <v>financerijksoverheid@yacht.nl;</v>
          </cell>
          <cell r="G43" t="str">
            <v>financerijksoverheid@yacht.nl;</v>
          </cell>
          <cell r="H43"/>
          <cell r="I43"/>
          <cell r="J43"/>
          <cell r="K43" t="str">
            <v>Yacht(P1)</v>
          </cell>
        </row>
        <row r="44">
          <cell r="A44" t="str">
            <v>Financiële AdviesdienstenP2 Beheer beleid planning en controlDeloitte Consulting B.V. (P2)</v>
          </cell>
          <cell r="B44" t="str">
            <v>Financiële Adviesdiensten</v>
          </cell>
          <cell r="C44" t="str">
            <v>P2 Beheer beleid planning en control</v>
          </cell>
          <cell r="D44" t="str">
            <v>Deloitte Consulting B.V. (P2)</v>
          </cell>
          <cell r="E44" t="str">
            <v>Deloitte Consulting B.V.</v>
          </cell>
          <cell r="F44" t="str">
            <v>nlconsultingfadrijksoverheid@deloitte.nl;</v>
          </cell>
          <cell r="G44" t="str">
            <v>nlconsultingfadrijksoverheid@deloitte.nl;</v>
          </cell>
          <cell r="H44"/>
          <cell r="J44"/>
          <cell r="K44" t="str">
            <v>Deloitte(P2)</v>
          </cell>
        </row>
        <row r="45">
          <cell r="A45" t="str">
            <v>Financiële AdviesdienstenP2 Beheer beleid planning en controlEY Advisory Netherlands LLP (P2)</v>
          </cell>
          <cell r="B45" t="str">
            <v>Financiële Adviesdiensten</v>
          </cell>
          <cell r="C45" t="str">
            <v>P2 Beheer beleid planning en control</v>
          </cell>
          <cell r="D45" t="str">
            <v>EY Advisory Netherlands LLP (P2)</v>
          </cell>
          <cell r="E45" t="str">
            <v>EY Advisory Netherlands LLP</v>
          </cell>
          <cell r="F45" t="str">
            <v>financieeladvies@nl.ey.com;</v>
          </cell>
          <cell r="G45" t="str">
            <v>financieeladvies@nl.ey.com;</v>
          </cell>
          <cell r="H45"/>
          <cell r="J45"/>
          <cell r="K45" t="str">
            <v>EY(P2)</v>
          </cell>
        </row>
        <row r="46">
          <cell r="A46" t="str">
            <v>Financiële AdviesdienstenP2 Beheer beleid planning en controlProfource B.V. (P2)</v>
          </cell>
          <cell r="B46" t="str">
            <v>Financiële Adviesdiensten</v>
          </cell>
          <cell r="C46" t="str">
            <v>P2 Beheer beleid planning en control</v>
          </cell>
          <cell r="D46" t="str">
            <v>Profource B.V. (P2)</v>
          </cell>
          <cell r="E46" t="str">
            <v>Profource B.V.</v>
          </cell>
          <cell r="F46" t="str">
            <v>allocaties@profource.com;</v>
          </cell>
          <cell r="G46" t="str">
            <v>allocaties@profource.com;</v>
          </cell>
          <cell r="H46"/>
          <cell r="J46"/>
          <cell r="K46" t="str">
            <v>Profource(P2)</v>
          </cell>
        </row>
        <row r="47">
          <cell r="A47" t="str">
            <v>Financiële AdviesdienstenP2 Beheer beleid planning en controlJS Consultancy detachering B.V. (P2)</v>
          </cell>
          <cell r="B47" t="str">
            <v>Financiële Adviesdiensten</v>
          </cell>
          <cell r="C47" t="str">
            <v>P2 Beheer beleid planning en control</v>
          </cell>
          <cell r="D47" t="str">
            <v>JS Consultancy detachering B.V. (P2)</v>
          </cell>
          <cell r="E47" t="str">
            <v>JS Consultancy detachering B.V.</v>
          </cell>
          <cell r="F47" t="str">
            <v>rijksoverheid@jsconsultancy.nl;</v>
          </cell>
          <cell r="G47" t="str">
            <v>rijksoverheid@jsconsultancy.nl;</v>
          </cell>
          <cell r="H47"/>
          <cell r="J47"/>
          <cell r="K47" t="str">
            <v>JSConsultancy(P2)</v>
          </cell>
        </row>
        <row r="48">
          <cell r="A48" t="str">
            <v>Financiële AdviesdienstenP2 Beheer beleid planning en controlYacht B.V. (P2)</v>
          </cell>
          <cell r="B48" t="str">
            <v>Financiële Adviesdiensten</v>
          </cell>
          <cell r="C48" t="str">
            <v>P2 Beheer beleid planning en control</v>
          </cell>
          <cell r="D48" t="str">
            <v>Yacht B.V. (P2)</v>
          </cell>
          <cell r="E48" t="str">
            <v>Yacht B.V.</v>
          </cell>
          <cell r="F48" t="str">
            <v>financerijksoverheid@yacht.nl;</v>
          </cell>
          <cell r="G48" t="str">
            <v>financerijksoverheid@yacht.nl;</v>
          </cell>
          <cell r="H48"/>
          <cell r="J48"/>
          <cell r="K48" t="str">
            <v>Yacht(P2)</v>
          </cell>
        </row>
        <row r="49">
          <cell r="A49" t="str">
            <v>Financiële AdviesdienstenP3 SubsidieondersteuningFagro Consultantcy B.V. (P3)</v>
          </cell>
          <cell r="B49" t="str">
            <v>Financiële Adviesdiensten</v>
          </cell>
          <cell r="C49" t="str">
            <v>P3 Subsidieondersteuning</v>
          </cell>
          <cell r="D49" t="str">
            <v>Fagro Consultantcy B.V. (P3)</v>
          </cell>
          <cell r="E49" t="str">
            <v>Fagro Consultantcy B.V.</v>
          </cell>
          <cell r="F49" t="str">
            <v>financieleadviesdiensten@dpa.nl;</v>
          </cell>
          <cell r="G49" t="str">
            <v>financieleadviesdiensten@dpa.nl;</v>
          </cell>
          <cell r="H49"/>
          <cell r="I49"/>
          <cell r="J49"/>
          <cell r="K49" t="str">
            <v>Fagro(P3)</v>
          </cell>
        </row>
        <row r="50">
          <cell r="A50" t="str">
            <v>Financiële AdviesdienstenP3 SubsidieondersteuningEY Advisory Netherlands LLP (P3)</v>
          </cell>
          <cell r="B50" t="str">
            <v>Financiële Adviesdiensten</v>
          </cell>
          <cell r="C50" t="str">
            <v>P3 Subsidieondersteuning</v>
          </cell>
          <cell r="D50" t="str">
            <v>EY Advisory Netherlands LLP (P3)</v>
          </cell>
          <cell r="E50" t="str">
            <v>EY Advisory Netherlands LLP</v>
          </cell>
          <cell r="F50" t="str">
            <v>financieeladvies@nl.ey.com;</v>
          </cell>
          <cell r="G50" t="str">
            <v>financieeladvies@nl.ey.com;</v>
          </cell>
          <cell r="H50"/>
          <cell r="I50"/>
          <cell r="J50"/>
          <cell r="K50" t="str">
            <v>EY(P3)</v>
          </cell>
        </row>
        <row r="51">
          <cell r="A51" t="str">
            <v>Financiële AdviesdienstenP3 SubsidieondersteuningImproven B.V. (P3)</v>
          </cell>
          <cell r="B51" t="str">
            <v>Financiële Adviesdiensten</v>
          </cell>
          <cell r="C51" t="str">
            <v>P3 Subsidieondersteuning</v>
          </cell>
          <cell r="D51" t="str">
            <v>Improven B.V. (P3)</v>
          </cell>
          <cell r="E51" t="str">
            <v>Improven B.V.</v>
          </cell>
          <cell r="F51" t="str">
            <v>Info@improven.nl;</v>
          </cell>
          <cell r="G51" t="str">
            <v>Info@improven.nl;</v>
          </cell>
          <cell r="H51"/>
          <cell r="I51"/>
          <cell r="J51"/>
          <cell r="K51" t="str">
            <v>Improven(P3)</v>
          </cell>
        </row>
        <row r="52">
          <cell r="A52" t="str">
            <v>Financiële AdviesdienstenP3 SubsidieondersteuningProfource B.V. (P3)</v>
          </cell>
          <cell r="B52" t="str">
            <v>Financiële Adviesdiensten</v>
          </cell>
          <cell r="C52" t="str">
            <v>P3 Subsidieondersteuning</v>
          </cell>
          <cell r="D52" t="str">
            <v>Profource B.V. (P3)</v>
          </cell>
          <cell r="E52" t="str">
            <v>Profource B.V.</v>
          </cell>
          <cell r="F52" t="str">
            <v>allocaties@profource.com;</v>
          </cell>
          <cell r="G52" t="str">
            <v>allocaties@profource.com;</v>
          </cell>
          <cell r="H52"/>
          <cell r="I52"/>
          <cell r="J52"/>
          <cell r="K52" t="str">
            <v>Profource(P3)</v>
          </cell>
        </row>
        <row r="53">
          <cell r="A53" t="str">
            <v>Financiële AdviesdienstenP3 SubsidieondersteuningVanberkel Professionals B.V. (P3)</v>
          </cell>
          <cell r="B53" t="str">
            <v>Financiële Adviesdiensten</v>
          </cell>
          <cell r="C53" t="str">
            <v>P3 Subsidieondersteuning</v>
          </cell>
          <cell r="D53" t="str">
            <v>Vanberkel Professionals B.V. (P3)</v>
          </cell>
          <cell r="E53" t="str">
            <v>Vanberkel Professionals B.V.</v>
          </cell>
          <cell r="F53" t="str">
            <v>vragen@vbprofs.nl;</v>
          </cell>
          <cell r="G53" t="str">
            <v>vragen@vbprofs.nl;</v>
          </cell>
          <cell r="H53"/>
          <cell r="I53"/>
          <cell r="J53"/>
          <cell r="K53" t="str">
            <v>VanBerkel(P3)</v>
          </cell>
        </row>
        <row r="54">
          <cell r="A54" t="str">
            <v>Financiële AdviesdienstenP4 Financiële adviesdiensten fiscaalBDO Accountants &amp; belastingadviseurs (P4)</v>
          </cell>
          <cell r="B54" t="str">
            <v>Financiële Adviesdiensten</v>
          </cell>
          <cell r="C54" t="str">
            <v>P4 Financiële adviesdiensten fiscaal</v>
          </cell>
          <cell r="D54" t="str">
            <v>BDO Accountants &amp; belastingadviseurs (P4)</v>
          </cell>
          <cell r="E54" t="str">
            <v>BDO Accountants &amp; belastingadviseurs</v>
          </cell>
          <cell r="F54" t="str">
            <v>aanvraagrd@bdo.nl;</v>
          </cell>
          <cell r="G54" t="str">
            <v>aanvraagrd@bdo.nl;</v>
          </cell>
          <cell r="H54"/>
          <cell r="J54"/>
          <cell r="K54" t="str">
            <v>BDO(P4)</v>
          </cell>
        </row>
        <row r="55">
          <cell r="A55" t="str">
            <v>Financiële AdviesdienstenP4 Financiële adviesdiensten fiscaalDeloitte Conulsting B.V. (P4)</v>
          </cell>
          <cell r="B55" t="str">
            <v>Financiële Adviesdiensten</v>
          </cell>
          <cell r="C55" t="str">
            <v>P4 Financiële adviesdiensten fiscaal</v>
          </cell>
          <cell r="D55" t="str">
            <v>Deloitte Conulsting B.V. (P4)</v>
          </cell>
          <cell r="E55" t="str">
            <v>Deloitte Conulsting B.V.</v>
          </cell>
          <cell r="F55" t="str">
            <v>nlconsultingfadrijksoverheid@deloitte.nl;</v>
          </cell>
          <cell r="G55" t="str">
            <v>nlconsultingfadrijksoverheid@deloitte.nl;</v>
          </cell>
          <cell r="H55"/>
          <cell r="J55"/>
          <cell r="K55" t="str">
            <v>Deloitte(P4)</v>
          </cell>
        </row>
        <row r="56">
          <cell r="A56" t="str">
            <v>Financiële AdviesdienstenP4 Financiële adviesdiensten fiscaalErnst &amp; Young Belastingsadviseurs LLP (P4)</v>
          </cell>
          <cell r="B56" t="str">
            <v>Financiële Adviesdiensten</v>
          </cell>
          <cell r="C56" t="str">
            <v>P4 Financiële adviesdiensten fiscaal</v>
          </cell>
          <cell r="D56" t="str">
            <v>Ernst &amp; Young Belastingsadviseurs LLP (P4)</v>
          </cell>
          <cell r="E56" t="str">
            <v>Ernst &amp; Young Belastingsadviseurs LLP</v>
          </cell>
          <cell r="F56" t="str">
            <v>financieeladvies@nl.ey.com;</v>
          </cell>
          <cell r="G56" t="str">
            <v>financieeladvies@nl.ey.com;</v>
          </cell>
          <cell r="H56"/>
          <cell r="J56"/>
          <cell r="K56" t="str">
            <v>EY(P4)</v>
          </cell>
        </row>
        <row r="57">
          <cell r="A57" t="str">
            <v>Financiële AdviesdienstenP4 Financiële adviesdiensten fiscaalPricewaterhousecoopers Belastingsadviseurs N.V. (P4)</v>
          </cell>
          <cell r="B57" t="str">
            <v>Financiële Adviesdiensten</v>
          </cell>
          <cell r="C57" t="str">
            <v>P4 Financiële adviesdiensten fiscaal</v>
          </cell>
          <cell r="D57" t="str">
            <v>Pricewaterhousecoopers Belastingsadviseurs N.V. (P4)</v>
          </cell>
          <cell r="E57" t="str">
            <v>Pricewaterhousecoopers Belastingsadviseurs N.V.</v>
          </cell>
          <cell r="F57" t="str">
            <v>financieeladvies@nl.pwc.com;</v>
          </cell>
          <cell r="G57" t="str">
            <v>financieeladvies@nl.pwc.com;</v>
          </cell>
          <cell r="H57"/>
          <cell r="J57"/>
          <cell r="K57" t="str">
            <v>PWC(P4)</v>
          </cell>
        </row>
        <row r="58">
          <cell r="A58" t="str">
            <v>1. Sleutel (BCD)</v>
          </cell>
          <cell r="B58" t="str">
            <v>Raamovereenkomst</v>
          </cell>
          <cell r="C58" t="str">
            <v>Perceel</v>
          </cell>
          <cell r="D58" t="str">
            <v>ON_Inkoop</v>
          </cell>
          <cell r="E58" t="str">
            <v>Leveranciersnaam</v>
          </cell>
          <cell r="F58" t="str">
            <v>samenvoeging mailadres</v>
          </cell>
          <cell r="G58" t="str">
            <v>E-mailadres 1</v>
          </cell>
          <cell r="H58" t="str">
            <v>E-mailadres 2</v>
          </cell>
          <cell r="I58" t="str">
            <v>E-mailadres 3</v>
          </cell>
          <cell r="J58" t="str">
            <v>E-mailadres 4</v>
          </cell>
        </row>
        <row r="59">
          <cell r="A59" t="str">
            <v>InkoopadviesdienstenP1 InkoopdienstenActos (perc. 1)</v>
          </cell>
          <cell r="B59" t="str">
            <v>Inkoopadviesdiensten</v>
          </cell>
          <cell r="C59" t="str">
            <v>P1 Inkoopdiensten</v>
          </cell>
          <cell r="D59" t="str">
            <v>Actos (perc. 1)</v>
          </cell>
          <cell r="E59" t="str">
            <v>Actos</v>
          </cell>
          <cell r="F59" t="str">
            <v>aanvragenrijk@actosgroep.nl;</v>
          </cell>
          <cell r="G59" t="str">
            <v>aanvragenrijk@actosgroep.nl;</v>
          </cell>
          <cell r="H59"/>
          <cell r="I59"/>
          <cell r="J59"/>
          <cell r="K59" t="str">
            <v>Actos (perc. 1)</v>
          </cell>
        </row>
        <row r="60">
          <cell r="A60" t="str">
            <v>InkoopadviesdienstenP1 InkoopdienstenAeves B.V. (perc. 1)</v>
          </cell>
          <cell r="B60" t="str">
            <v>Inkoopadviesdiensten</v>
          </cell>
          <cell r="C60" t="str">
            <v>P1 Inkoopdiensten</v>
          </cell>
          <cell r="D60" t="str">
            <v>Aeves B.V. (perc. 1)</v>
          </cell>
          <cell r="E60" t="str">
            <v>Aeves B.V.</v>
          </cell>
          <cell r="F60" t="str">
            <v>resource@aevesgroep.com;</v>
          </cell>
          <cell r="G60" t="str">
            <v>resource@aevesgroep.com;</v>
          </cell>
          <cell r="H60"/>
          <cell r="I60"/>
          <cell r="J60"/>
          <cell r="K60" t="str">
            <v>Aeves B.V. (perc. 1)</v>
          </cell>
        </row>
        <row r="61">
          <cell r="A61" t="str">
            <v>InkoopadviesdienstenP1 InkoopdienstenDPA (perc. 1)</v>
          </cell>
          <cell r="B61" t="str">
            <v>Inkoopadviesdiensten</v>
          </cell>
          <cell r="C61" t="str">
            <v>P1 Inkoopdiensten</v>
          </cell>
          <cell r="D61" t="str">
            <v>DPA (perc. 1)</v>
          </cell>
          <cell r="E61" t="str">
            <v>DPA</v>
          </cell>
          <cell r="F61" t="str">
            <v>Manon.bossewinkel@dpa.nl;das@dpapeoplegroup.nl;</v>
          </cell>
          <cell r="G61" t="str">
            <v>Manon.bossewinkel@dpa.nl;</v>
          </cell>
          <cell r="H61" t="str">
            <v>das@dpapeoplegroup.nl;</v>
          </cell>
          <cell r="I61"/>
          <cell r="J61"/>
          <cell r="K61" t="str">
            <v>DPA (perc. 1)</v>
          </cell>
        </row>
        <row r="62">
          <cell r="A62" t="str">
            <v>InkoopadviesdienstenP1 InkoopdienstenGoedemensen (perc. 1)</v>
          </cell>
          <cell r="B62" t="str">
            <v>Inkoopadviesdiensten</v>
          </cell>
          <cell r="C62" t="str">
            <v>P1 Inkoopdiensten</v>
          </cell>
          <cell r="D62" t="str">
            <v>Goedemensen (perc. 1)</v>
          </cell>
          <cell r="E62" t="str">
            <v>Goedemensen Project Professionals</v>
          </cell>
          <cell r="F62" t="str">
            <v>n.volmer@goedemensen.nu;rijksoverheid@goedemensen.nu;</v>
          </cell>
          <cell r="G62" t="str">
            <v>n.volmer@goedemensen.nu;</v>
          </cell>
          <cell r="H62" t="str">
            <v>rijksoverheid@goedemensen.nu;</v>
          </cell>
          <cell r="K62" t="str">
            <v>Goedemensen (perc. 1)</v>
          </cell>
        </row>
        <row r="63">
          <cell r="A63" t="str">
            <v>InkoopadviesdienstenP1 InkoopdienstenPro 10 (perc. 1)</v>
          </cell>
          <cell r="B63" t="str">
            <v>Inkoopadviesdiensten</v>
          </cell>
          <cell r="C63" t="str">
            <v>P1 Inkoopdiensten</v>
          </cell>
          <cell r="D63" t="str">
            <v>Pro 10 (perc. 1)</v>
          </cell>
          <cell r="E63" t="str">
            <v>Pro 10</v>
          </cell>
          <cell r="F63" t="str">
            <v>inkooprijksoverheid@pro10.nl;</v>
          </cell>
          <cell r="G63" t="str">
            <v>inkooprijksoverheid@pro10.nl;</v>
          </cell>
          <cell r="H63"/>
          <cell r="K63" t="str">
            <v>Pro 10 (perc. 1)</v>
          </cell>
        </row>
        <row r="64">
          <cell r="A64" t="str">
            <v>InkoopadviesdienstenP1 InkoopdienstenSupply Value (perc. 1)</v>
          </cell>
          <cell r="B64" t="str">
            <v>Inkoopadviesdiensten</v>
          </cell>
          <cell r="C64" t="str">
            <v>P1 Inkoopdiensten</v>
          </cell>
          <cell r="D64" t="str">
            <v>Supply Value (perc. 1)</v>
          </cell>
          <cell r="E64" t="str">
            <v>Supply Value</v>
          </cell>
          <cell r="F64" t="str">
            <v>office@supplyvalue.nl;</v>
          </cell>
          <cell r="G64" t="str">
            <v>office@supplyvalue.nl;</v>
          </cell>
          <cell r="H64"/>
          <cell r="K64" t="str">
            <v>Supply Value (perc. 1)</v>
          </cell>
        </row>
        <row r="65">
          <cell r="A65" t="str">
            <v>InkoopadviesdienstenP1 InkoopdienstenYacht B.V. (perc. 1)</v>
          </cell>
          <cell r="B65" t="str">
            <v>Inkoopadviesdiensten</v>
          </cell>
          <cell r="C65" t="str">
            <v>P1 Inkoopdiensten</v>
          </cell>
          <cell r="D65" t="str">
            <v>Yacht B.V. (perc. 1)</v>
          </cell>
          <cell r="E65" t="str">
            <v>Yacht B.V.</v>
          </cell>
          <cell r="F65" t="str">
            <v>Inkooprijksoverheid@yacht.nl;</v>
          </cell>
          <cell r="G65" t="str">
            <v>Inkooprijksoverheid@yacht.nl;</v>
          </cell>
          <cell r="H65"/>
          <cell r="K65" t="str">
            <v>Yacht B.V. (perc. 1)</v>
          </cell>
        </row>
        <row r="66">
          <cell r="A66" t="str">
            <v>InkoopadviesdienstenP3 Contract en leveranciersmanagementActos (perc. 3)</v>
          </cell>
          <cell r="B66" t="str">
            <v>Inkoopadviesdiensten</v>
          </cell>
          <cell r="C66" t="str">
            <v>P3 Contract en leveranciersmanagement</v>
          </cell>
          <cell r="D66" t="str">
            <v>Actos (perc. 3)</v>
          </cell>
          <cell r="E66" t="str">
            <v>Actos</v>
          </cell>
          <cell r="F66" t="str">
            <v>aanvragenrijk@actosgroep.nl;</v>
          </cell>
          <cell r="G66" t="str">
            <v>aanvragenrijk@actosgroep.nl;</v>
          </cell>
          <cell r="H66"/>
          <cell r="I66"/>
          <cell r="J66"/>
          <cell r="K66" t="str">
            <v>Actos (perc. 3)</v>
          </cell>
        </row>
        <row r="67">
          <cell r="A67" t="str">
            <v>InkoopadviesdienstenP3 Contract en leveranciersmanagementAeves B.V. (perc. 3)</v>
          </cell>
          <cell r="B67" t="str">
            <v>Inkoopadviesdiensten</v>
          </cell>
          <cell r="C67" t="str">
            <v>P3 Contract en leveranciersmanagement</v>
          </cell>
          <cell r="D67" t="str">
            <v>Aeves B.V. (perc. 3)</v>
          </cell>
          <cell r="E67" t="str">
            <v>Aeves B.V.</v>
          </cell>
          <cell r="F67" t="str">
            <v>resource@aevesgroep.com;</v>
          </cell>
          <cell r="G67" t="str">
            <v>resource@aevesgroep.com;</v>
          </cell>
          <cell r="H67"/>
          <cell r="I67"/>
          <cell r="J67"/>
          <cell r="K67" t="str">
            <v>Aeves B.V. (perc. 3)</v>
          </cell>
        </row>
        <row r="68">
          <cell r="A68" t="str">
            <v>InkoopadviesdienstenP3 Contract en leveranciersmanagementSignificant (perc. 3)</v>
          </cell>
          <cell r="B68" t="str">
            <v>Inkoopadviesdiensten</v>
          </cell>
          <cell r="C68" t="str">
            <v>P3 Contract en leveranciersmanagement</v>
          </cell>
          <cell r="D68" t="str">
            <v>Significant (perc. 3)</v>
          </cell>
          <cell r="E68" t="str">
            <v>Significant synergy</v>
          </cell>
          <cell r="F68" t="str">
            <v>offertes@significant.nl;</v>
          </cell>
          <cell r="G68" t="str">
            <v>offertes@significant.nl;</v>
          </cell>
          <cell r="H68"/>
          <cell r="I68"/>
          <cell r="J68"/>
          <cell r="K68" t="str">
            <v>Significant (perc. 3)</v>
          </cell>
        </row>
        <row r="69">
          <cell r="A69" t="str">
            <v>InkoopadviesdienstenP3 Contract en leveranciersmanagementSupply Value (perc. 3)</v>
          </cell>
          <cell r="B69" t="str">
            <v>Inkoopadviesdiensten</v>
          </cell>
          <cell r="C69" t="str">
            <v>P3 Contract en leveranciersmanagement</v>
          </cell>
          <cell r="D69" t="str">
            <v>Supply Value (perc. 3)</v>
          </cell>
          <cell r="E69" t="str">
            <v>Supply Value</v>
          </cell>
          <cell r="F69" t="str">
            <v>office@supplyvalue.nl;</v>
          </cell>
          <cell r="G69" t="str">
            <v>office@supplyvalue.nl;</v>
          </cell>
          <cell r="H69"/>
          <cell r="I69"/>
          <cell r="J69"/>
          <cell r="K69" t="str">
            <v>Supply Value (perc. 3)</v>
          </cell>
        </row>
        <row r="70">
          <cell r="A70" t="str">
            <v>1. Sleutel (BCD)</v>
          </cell>
          <cell r="B70" t="str">
            <v>Raamovereenkomst</v>
          </cell>
          <cell r="C70" t="str">
            <v>Perceel</v>
          </cell>
          <cell r="D70" t="str">
            <v>ON_IMOA</v>
          </cell>
          <cell r="E70" t="str">
            <v>Leveranciersnaam</v>
          </cell>
          <cell r="F70" t="str">
            <v>samenvoeging mailadres</v>
          </cell>
          <cell r="G70" t="str">
            <v>E-mailadres 1</v>
          </cell>
          <cell r="H70" t="str">
            <v>E-mailadres 2</v>
          </cell>
          <cell r="I70" t="str">
            <v>E-mailadres 3</v>
          </cell>
          <cell r="J70" t="str">
            <v>E-mailadres 4</v>
          </cell>
        </row>
        <row r="71">
          <cell r="A71" t="str">
            <v>Interim Management TussenovereenkomstP1 Strategisch Interim ManagementBerenschot Groep B.V. (perc. 1)</v>
          </cell>
          <cell r="B71" t="str">
            <v>Interim Management Tussenovereenkomst</v>
          </cell>
          <cell r="C71" t="str">
            <v>P1 Strategisch Interim Management</v>
          </cell>
          <cell r="D71" t="str">
            <v>Berenschot Groep B.V. (perc. 1)</v>
          </cell>
          <cell r="E71" t="str">
            <v>Berenschot Groep B.V.</v>
          </cell>
          <cell r="F71" t="str">
            <v>g.jansen@berenschot.nl;</v>
          </cell>
          <cell r="G71" t="str">
            <v>g.jansen@berenschot.nl</v>
          </cell>
          <cell r="I71"/>
          <cell r="J71"/>
          <cell r="K71" t="str">
            <v>Berenschot(perc. 1)</v>
          </cell>
        </row>
        <row r="72">
          <cell r="A72" t="str">
            <v>Interim Management TussenovereenkomstP1 Strategisch Interim ManagementBMC Implementatie B.V. (perc. 1)</v>
          </cell>
          <cell r="B72" t="str">
            <v>Interim Management Tussenovereenkomst</v>
          </cell>
          <cell r="C72" t="str">
            <v>P1 Strategisch Interim Management</v>
          </cell>
          <cell r="D72" t="str">
            <v>BMC Implementatie B.V. (perc. 1)</v>
          </cell>
          <cell r="E72" t="str">
            <v>BMC Implementatie B.V.</v>
          </cell>
          <cell r="F72" t="str">
            <v>binnendienst@bmc.nl;</v>
          </cell>
          <cell r="G72" t="str">
            <v>binnendienst@bmc.nl</v>
          </cell>
          <cell r="J72"/>
          <cell r="K72" t="str">
            <v>BMC(perc. 1)</v>
          </cell>
        </row>
        <row r="73">
          <cell r="A73" t="str">
            <v>Interim Management TussenovereenkomstP1 Strategisch Interim ManagementBoer &amp; Croon Executive Management B.V. (perc. 1)</v>
          </cell>
          <cell r="B73" t="str">
            <v>Interim Management Tussenovereenkomst</v>
          </cell>
          <cell r="C73" t="str">
            <v>P1 Strategisch Interim Management</v>
          </cell>
          <cell r="D73" t="str">
            <v>Boer &amp; Croon Executive Management B.V. (perc. 1)</v>
          </cell>
          <cell r="E73" t="str">
            <v>Boer &amp; Croon Executive Management B.V.</v>
          </cell>
          <cell r="F73" t="str">
            <v>imoa.p1@boercroon.nl;</v>
          </cell>
          <cell r="G73" t="str">
            <v>imoa.p1@boercroon.nl</v>
          </cell>
          <cell r="J73"/>
          <cell r="K73" t="str">
            <v>Boer &amp; Croon(perc. 1)</v>
          </cell>
        </row>
        <row r="74">
          <cell r="A74" t="str">
            <v>Interim Management TussenovereenkomstP1 Strategisch Interim ManagementDeloitte Consulting B.V. (perc. 1)</v>
          </cell>
          <cell r="B74" t="str">
            <v>Interim Management Tussenovereenkomst</v>
          </cell>
          <cell r="C74" t="str">
            <v>P1 Strategisch Interim Management</v>
          </cell>
          <cell r="D74" t="str">
            <v>Deloitte Consulting B.V. (perc. 1)</v>
          </cell>
          <cell r="E74" t="str">
            <v>Deloitte Consulting B.V.</v>
          </cell>
          <cell r="F74" t="str">
            <v>NLPublicSectorIMOA@deloitte.nl;</v>
          </cell>
          <cell r="G74" t="str">
            <v>NLPublicSectorIMOA@deloitte.nl</v>
          </cell>
          <cell r="J74"/>
          <cell r="K74" t="str">
            <v>Deloitte(perc. 1)</v>
          </cell>
        </row>
        <row r="75">
          <cell r="A75" t="str">
            <v>Interim Management TussenovereenkomstP1 Strategisch Interim ManagementEY Advisory Netherlands LLP (perc. 1)</v>
          </cell>
          <cell r="B75" t="str">
            <v>Interim Management Tussenovereenkomst</v>
          </cell>
          <cell r="C75" t="str">
            <v>P1 Strategisch Interim Management</v>
          </cell>
          <cell r="D75" t="str">
            <v>EY Advisory Netherlands LLP (perc. 1)</v>
          </cell>
          <cell r="E75" t="str">
            <v>EY Advisory Netherlands LLP</v>
          </cell>
          <cell r="F75" t="str">
            <v>imoa@nl.ey.com;</v>
          </cell>
          <cell r="G75" t="str">
            <v>imoa@nl.ey.com</v>
          </cell>
          <cell r="J75"/>
          <cell r="K75" t="str">
            <v>EY Advisory (perc. 1)</v>
          </cell>
        </row>
        <row r="76">
          <cell r="A76" t="str">
            <v>Interim Management TussenovereenkomstP1 Strategisch Interim ManagementGalan Groep B.V. (perc. 1)</v>
          </cell>
          <cell r="B76" t="str">
            <v>Interim Management Tussenovereenkomst</v>
          </cell>
          <cell r="C76" t="str">
            <v>P1 Strategisch Interim Management</v>
          </cell>
          <cell r="D76" t="str">
            <v>Galan Groep B.V. (perc. 1)</v>
          </cell>
          <cell r="E76" t="str">
            <v>Galan Groep B.V.</v>
          </cell>
          <cell r="F76" t="str">
            <v>interim@galangroep.nl;</v>
          </cell>
          <cell r="G76" t="str">
            <v>interim@galangroep.nl</v>
          </cell>
          <cell r="J76"/>
          <cell r="K76" t="str">
            <v>Galan (perc. 1)</v>
          </cell>
        </row>
        <row r="77">
          <cell r="A77" t="str">
            <v>Interim Management TussenovereenkomstP1 Strategisch Interim ManagementItaQ B.V. (perc. 1)</v>
          </cell>
          <cell r="B77" t="str">
            <v>Interim Management Tussenovereenkomst</v>
          </cell>
          <cell r="C77" t="str">
            <v>P1 Strategisch Interim Management</v>
          </cell>
          <cell r="D77" t="str">
            <v>ItaQ B.V. (perc. 1)</v>
          </cell>
          <cell r="E77" t="str">
            <v>ItaQ B.V.</v>
          </cell>
          <cell r="F77" t="str">
            <v>aanvragen@itaq.nl;</v>
          </cell>
          <cell r="G77" t="str">
            <v>aanvragen@itaq.nl</v>
          </cell>
          <cell r="J77"/>
          <cell r="K77" t="str">
            <v>ItaQ(perc. 1)</v>
          </cell>
        </row>
        <row r="78">
          <cell r="A78" t="str">
            <v>Interim Management TussenovereenkomstP1 Strategisch Interim ManagementJS Consultancy Detachering B.V. (perc. 1)</v>
          </cell>
          <cell r="B78" t="str">
            <v>Interim Management Tussenovereenkomst</v>
          </cell>
          <cell r="C78" t="str">
            <v>P1 Strategisch Interim Management</v>
          </cell>
          <cell r="D78" t="str">
            <v>JS Consultancy Detachering B.V. (perc. 1)</v>
          </cell>
          <cell r="E78" t="str">
            <v>JS Consultancy Detachering B.V.</v>
          </cell>
          <cell r="F78" t="str">
            <v>rijksoverheid@jsconsultancy.nl;</v>
          </cell>
          <cell r="G78" t="str">
            <v>rijksoverheid@jsconsultancy.nl</v>
          </cell>
          <cell r="J78"/>
          <cell r="K78" t="str">
            <v>JS Consultancy (perc. 1)</v>
          </cell>
        </row>
        <row r="79">
          <cell r="A79" t="str">
            <v>Interim Management TussenovereenkomstP1 Strategisch Interim ManagementKPMG Advisory N.V. (perc. 1)</v>
          </cell>
          <cell r="B79" t="str">
            <v>Interim Management Tussenovereenkomst</v>
          </cell>
          <cell r="C79" t="str">
            <v>P1 Strategisch Interim Management</v>
          </cell>
          <cell r="D79" t="str">
            <v>KPMG Advisory N.V. (perc. 1)</v>
          </cell>
          <cell r="E79" t="str">
            <v>KPMG Advisory N.V.</v>
          </cell>
          <cell r="F79" t="str">
            <v>offerte@kpmg.nl;</v>
          </cell>
          <cell r="G79" t="str">
            <v>offerte@kpmg.nl</v>
          </cell>
          <cell r="J79"/>
          <cell r="K79" t="str">
            <v>KPMG(perc. 1)</v>
          </cell>
        </row>
        <row r="80">
          <cell r="A80" t="str">
            <v>Interim Management TussenovereenkomstP1 Strategisch Interim ManagementPubliek Netwerk B.V. (perc. 1)</v>
          </cell>
          <cell r="B80" t="str">
            <v>Interim Management Tussenovereenkomst</v>
          </cell>
          <cell r="C80" t="str">
            <v>P1 Strategisch Interim Management</v>
          </cell>
          <cell r="D80" t="str">
            <v>Publiek Netwerk B.V. (perc. 1)</v>
          </cell>
          <cell r="E80" t="str">
            <v>Publiek Netwerk B.V.</v>
          </cell>
          <cell r="F80" t="str">
            <v>info@publieknetwerk.nl;</v>
          </cell>
          <cell r="G80" t="str">
            <v>info@publieknetwerk.nl</v>
          </cell>
          <cell r="J80"/>
          <cell r="K80" t="str">
            <v>Publiek Netwerk(perc. 1)</v>
          </cell>
        </row>
        <row r="81">
          <cell r="A81" t="str">
            <v>Interim Management TussenovereenkomstP1 Strategisch Interim ManagementSupply Value B.V. (perc. 1)</v>
          </cell>
          <cell r="B81" t="str">
            <v>Interim Management Tussenovereenkomst</v>
          </cell>
          <cell r="C81" t="str">
            <v>P1 Strategisch Interim Management</v>
          </cell>
          <cell r="D81" t="str">
            <v>Supply Value B.V. (perc. 1)</v>
          </cell>
          <cell r="E81" t="str">
            <v>Supply Value B.V.</v>
          </cell>
          <cell r="F81" t="str">
            <v>office@supplyvalue.nl;</v>
          </cell>
          <cell r="G81" t="str">
            <v>office@supplyvalue.nl</v>
          </cell>
          <cell r="J81"/>
          <cell r="K81" t="str">
            <v>Supply Value(perc. 1)</v>
          </cell>
        </row>
        <row r="82">
          <cell r="A82" t="str">
            <v>Interim Management TussenovereenkomstP1 Strategisch Interim ManagementTwynstraGudde Holding B.V. (perc. 1)</v>
          </cell>
          <cell r="B82" t="str">
            <v>Interim Management Tussenovereenkomst</v>
          </cell>
          <cell r="C82" t="str">
            <v>P1 Strategisch Interim Management</v>
          </cell>
          <cell r="D82" t="str">
            <v>TwynstraGudde Holding B.V. (perc. 1)</v>
          </cell>
          <cell r="E82" t="str">
            <v>TwynstraGudde Holding B.V.</v>
          </cell>
          <cell r="F82" t="str">
            <v>imoa@twynstragudde.nl;</v>
          </cell>
          <cell r="G82" t="str">
            <v>imoa@twynstragudde.nl</v>
          </cell>
          <cell r="J82"/>
          <cell r="K82" t="str">
            <v>TwynstraGudde (perc. 1)</v>
          </cell>
        </row>
        <row r="83">
          <cell r="A83" t="str">
            <v>Interim Management TussenovereenkomstP1 Strategisch Interim ManagementVanberkel Professionals B.V. (perc. 1)</v>
          </cell>
          <cell r="B83" t="str">
            <v>Interim Management Tussenovereenkomst</v>
          </cell>
          <cell r="C83" t="str">
            <v>P1 Strategisch Interim Management</v>
          </cell>
          <cell r="D83" t="str">
            <v>Vanberkel Professionals B.V. (perc. 1)</v>
          </cell>
          <cell r="E83" t="str">
            <v>Vanberkel Professionals B.V.</v>
          </cell>
          <cell r="F83" t="str">
            <v>vragen@vbprofs.nl;</v>
          </cell>
          <cell r="G83" t="str">
            <v>vragen@vbprofs.nl</v>
          </cell>
          <cell r="J83"/>
          <cell r="K83" t="str">
            <v>Vanberkel Professionals(perc. 1)</v>
          </cell>
        </row>
        <row r="84">
          <cell r="A84" t="str">
            <v>Interim Management TussenovereenkomstP1 Strategisch Interim ManagementVerdonck Klooster &amp; Associates B.V. (perc. 1)</v>
          </cell>
          <cell r="B84" t="str">
            <v>Interim Management Tussenovereenkomst</v>
          </cell>
          <cell r="C84" t="str">
            <v>P1 Strategisch Interim Management</v>
          </cell>
          <cell r="D84" t="str">
            <v>Verdonck Klooster &amp; Associates B.V. (perc. 1)</v>
          </cell>
          <cell r="E84" t="str">
            <v>Verdonck Klooster &amp; Associates B.V.</v>
          </cell>
          <cell r="F84" t="str">
            <v>officesupport@vka.nl;</v>
          </cell>
          <cell r="G84" t="str">
            <v>officesupport@vka.nl</v>
          </cell>
          <cell r="J84"/>
          <cell r="K84" t="str">
            <v>Verdonck Klooster &amp; Associates(perc. 1)</v>
          </cell>
        </row>
        <row r="85">
          <cell r="A85" t="str">
            <v>Interim Management TussenovereenkomstP2 Tactisch Interim Management AB&amp;C Groep B.V. (perc. 2)</v>
          </cell>
          <cell r="B85" t="str">
            <v>Interim Management Tussenovereenkomst</v>
          </cell>
          <cell r="C85" t="str">
            <v xml:space="preserve">P2 Tactisch Interim Management </v>
          </cell>
          <cell r="D85" t="str">
            <v>AB&amp;C Groep B.V. (perc. 2)</v>
          </cell>
          <cell r="E85" t="str">
            <v>AB&amp;C Groep B.V.</v>
          </cell>
          <cell r="F85" t="str">
            <v>resource@aevesbenefit.com;</v>
          </cell>
          <cell r="G85" t="str">
            <v>resource@aevesbenefit.com</v>
          </cell>
          <cell r="J85"/>
          <cell r="K85" t="str">
            <v>AB&amp;C Groep (perc. 2)</v>
          </cell>
        </row>
        <row r="86">
          <cell r="A86" t="str">
            <v>Interim Management TussenovereenkomstP2 Tactisch Interim Management BMC Implementatie B.V. (perc. 2)</v>
          </cell>
          <cell r="B86" t="str">
            <v>Interim Management Tussenovereenkomst</v>
          </cell>
          <cell r="C86" t="str">
            <v xml:space="preserve">P2 Tactisch Interim Management </v>
          </cell>
          <cell r="D86" t="str">
            <v>BMC Implementatie B.V. (perc. 2)</v>
          </cell>
          <cell r="E86" t="str">
            <v>BMC Implementatie B.V.</v>
          </cell>
          <cell r="F86" t="str">
            <v>binnendienst@bmc.nl;</v>
          </cell>
          <cell r="G86" t="str">
            <v>binnendienst@bmc.nl</v>
          </cell>
          <cell r="J86"/>
          <cell r="K86" t="str">
            <v>BMC (perc. 2)</v>
          </cell>
        </row>
        <row r="87">
          <cell r="A87" t="str">
            <v>Interim Management TussenovereenkomstP2 Tactisch Interim Management Boer &amp; Croon Management Solutions B.V. (perc. 2)</v>
          </cell>
          <cell r="B87" t="str">
            <v>Interim Management Tussenovereenkomst</v>
          </cell>
          <cell r="C87" t="str">
            <v xml:space="preserve">P2 Tactisch Interim Management </v>
          </cell>
          <cell r="D87" t="str">
            <v>Boer &amp; Croon Management Solutions B.V. (perc. 2)</v>
          </cell>
          <cell r="E87" t="str">
            <v>Boer &amp; Croon Management Solutions B.V.</v>
          </cell>
          <cell r="F87" t="str">
            <v>imoa.p2@boercroon.nl;</v>
          </cell>
          <cell r="G87" t="str">
            <v>imoa.p2@boercroon.nl</v>
          </cell>
          <cell r="J87"/>
          <cell r="K87" t="str">
            <v>Boer &amp; Croon (perc. 2)</v>
          </cell>
        </row>
        <row r="88">
          <cell r="A88" t="str">
            <v>Interim Management TussenovereenkomstP2 Tactisch Interim Management Conclusion B.V. (perc. 2)</v>
          </cell>
          <cell r="B88" t="str">
            <v>Interim Management Tussenovereenkomst</v>
          </cell>
          <cell r="C88" t="str">
            <v xml:space="preserve">P2 Tactisch Interim Management </v>
          </cell>
          <cell r="D88" t="str">
            <v>Conclusion B.V. (perc. 2)</v>
          </cell>
          <cell r="E88" t="str">
            <v>Conclusion B.V.</v>
          </cell>
          <cell r="F88" t="str">
            <v>aanvragen@conclusion.nl;</v>
          </cell>
          <cell r="G88" t="str">
            <v>aanvragen@conclusion.nl</v>
          </cell>
          <cell r="J88"/>
          <cell r="K88" t="str">
            <v>Conclusion (perc. 2)</v>
          </cell>
        </row>
        <row r="89">
          <cell r="A89" t="str">
            <v>Interim Management TussenovereenkomstP2 Tactisch Interim Management Eiffel B.V. (perc. 2)</v>
          </cell>
          <cell r="B89" t="str">
            <v>Interim Management Tussenovereenkomst</v>
          </cell>
          <cell r="C89" t="str">
            <v xml:space="preserve">P2 Tactisch Interim Management </v>
          </cell>
          <cell r="D89" t="str">
            <v>Eiffel B.V. (perc. 2)</v>
          </cell>
          <cell r="E89" t="str">
            <v>Eiffel B.V.</v>
          </cell>
          <cell r="F89" t="str">
            <v>overheid@eiffel.nl;</v>
          </cell>
          <cell r="G89" t="str">
            <v>overheid@eiffel.nl</v>
          </cell>
          <cell r="J89"/>
          <cell r="K89" t="str">
            <v>Eiffel (perc. 2)</v>
          </cell>
        </row>
        <row r="90">
          <cell r="A90" t="str">
            <v>Interim Management TussenovereenkomstP2 Tactisch Interim Management EY Advisory Netherlands LLP (perc. 2)</v>
          </cell>
          <cell r="B90" t="str">
            <v>Interim Management Tussenovereenkomst</v>
          </cell>
          <cell r="C90" t="str">
            <v xml:space="preserve">P2 Tactisch Interim Management </v>
          </cell>
          <cell r="D90" t="str">
            <v>EY Advisory Netherlands LLP (perc. 2)</v>
          </cell>
          <cell r="E90" t="str">
            <v>EY Advisory Netherlands LLP</v>
          </cell>
          <cell r="F90" t="str">
            <v>imoa@nl.ey.com;</v>
          </cell>
          <cell r="G90" t="str">
            <v>imoa@nl.ey.com</v>
          </cell>
          <cell r="J90"/>
          <cell r="K90" t="str">
            <v>EY Advisory (perc. 2)</v>
          </cell>
        </row>
        <row r="91">
          <cell r="A91" t="str">
            <v>Interim Management TussenovereenkomstP2 Tactisch Interim Management Galan Groep B.V. (perc. 2)</v>
          </cell>
          <cell r="B91" t="str">
            <v>Interim Management Tussenovereenkomst</v>
          </cell>
          <cell r="C91" t="str">
            <v xml:space="preserve">P2 Tactisch Interim Management </v>
          </cell>
          <cell r="D91" t="str">
            <v>Galan Groep B.V. (perc. 2)</v>
          </cell>
          <cell r="E91" t="str">
            <v>Galan Groep B.V.</v>
          </cell>
          <cell r="F91" t="str">
            <v>interim@galangroep.nl;</v>
          </cell>
          <cell r="G91" t="str">
            <v>interim@galangroep.nl</v>
          </cell>
          <cell r="J91"/>
          <cell r="K91" t="str">
            <v>Galan Groep (perc. 2)</v>
          </cell>
        </row>
        <row r="92">
          <cell r="A92" t="str">
            <v>Interim Management TussenovereenkomstP2 Tactisch Interim Management ItaQ B.V. (perc. 2)</v>
          </cell>
          <cell r="B92" t="str">
            <v>Interim Management Tussenovereenkomst</v>
          </cell>
          <cell r="C92" t="str">
            <v xml:space="preserve">P2 Tactisch Interim Management </v>
          </cell>
          <cell r="D92" t="str">
            <v>ItaQ B.V. (perc. 2)</v>
          </cell>
          <cell r="E92" t="str">
            <v>ItaQ B.V.</v>
          </cell>
          <cell r="F92" t="str">
            <v>aanvragen@itaq.nl;</v>
          </cell>
          <cell r="G92" t="str">
            <v>aanvragen@itaq.nl</v>
          </cell>
          <cell r="J92"/>
          <cell r="K92" t="str">
            <v>ItaQ (perc. 2)</v>
          </cell>
        </row>
        <row r="93">
          <cell r="A93" t="str">
            <v>Interim Management TussenovereenkomstP2 Tactisch Interim Management JS Consultancy Detachering B.V. (perc. 2)</v>
          </cell>
          <cell r="B93" t="str">
            <v>Interim Management Tussenovereenkomst</v>
          </cell>
          <cell r="C93" t="str">
            <v xml:space="preserve">P2 Tactisch Interim Management </v>
          </cell>
          <cell r="D93" t="str">
            <v>JS Consultancy Detachering B.V. (perc. 2)</v>
          </cell>
          <cell r="E93" t="str">
            <v>JS Consultancy Detachering B.V.</v>
          </cell>
          <cell r="F93" t="str">
            <v>rijksoverheid@jsconsultancy.nl;</v>
          </cell>
          <cell r="G93" t="str">
            <v>rijksoverheid@jsconsultancy.nl</v>
          </cell>
          <cell r="J93"/>
          <cell r="K93" t="str">
            <v>JS Consultancy (perc. 2)</v>
          </cell>
        </row>
        <row r="94">
          <cell r="A94" t="str">
            <v>Interim Management TussenovereenkomstP2 Tactisch Interim Management Profource B.V. (perc. 2)</v>
          </cell>
          <cell r="B94" t="str">
            <v>Interim Management Tussenovereenkomst</v>
          </cell>
          <cell r="C94" t="str">
            <v xml:space="preserve">P2 Tactisch Interim Management </v>
          </cell>
          <cell r="D94" t="str">
            <v>Profource B.V. (perc. 2)</v>
          </cell>
          <cell r="E94" t="str">
            <v>Profource B.V.</v>
          </cell>
          <cell r="F94" t="str">
            <v>allocaties@profource.com;</v>
          </cell>
          <cell r="G94" t="str">
            <v>allocaties@profource.com</v>
          </cell>
          <cell r="H94"/>
          <cell r="I94"/>
          <cell r="J94"/>
          <cell r="K94" t="str">
            <v>Profource (perc. 2)</v>
          </cell>
        </row>
        <row r="95">
          <cell r="A95" t="str">
            <v>Interim Management TussenovereenkomstP2 Tactisch Interim Management Publiek Netwerk B.V. (perc. 2)</v>
          </cell>
          <cell r="B95" t="str">
            <v>Interim Management Tussenovereenkomst</v>
          </cell>
          <cell r="C95" t="str">
            <v xml:space="preserve">P2 Tactisch Interim Management </v>
          </cell>
          <cell r="D95" t="str">
            <v>Publiek Netwerk B.V. (perc. 2)</v>
          </cell>
          <cell r="E95" t="str">
            <v>Publiek Netwerk B.V.</v>
          </cell>
          <cell r="F95" t="str">
            <v>info@publieknetwerk.nl;</v>
          </cell>
          <cell r="G95" t="str">
            <v>info@publieknetwerk.nl</v>
          </cell>
          <cell r="H95"/>
          <cell r="I95"/>
          <cell r="J95"/>
          <cell r="K95" t="str">
            <v>Publiek Netwerk (perc. 2)</v>
          </cell>
        </row>
        <row r="96">
          <cell r="A96" t="str">
            <v>Interim Management TussenovereenkomstP2 Tactisch Interim Management Seederdeboer (perc. 2)</v>
          </cell>
          <cell r="B96" t="str">
            <v>Interim Management Tussenovereenkomst</v>
          </cell>
          <cell r="C96" t="str">
            <v xml:space="preserve">P2 Tactisch Interim Management </v>
          </cell>
          <cell r="D96" t="str">
            <v>Seederdeboer (perc. 2)</v>
          </cell>
          <cell r="E96" t="str">
            <v>Seederdeboer</v>
          </cell>
          <cell r="F96" t="str">
            <v>imoa@seederdeboer.nl;</v>
          </cell>
          <cell r="G96" t="str">
            <v>imoa@seederdeboer.nl</v>
          </cell>
          <cell r="H96"/>
          <cell r="I96"/>
          <cell r="J96"/>
          <cell r="K96" t="str">
            <v>Seederdeboer (perc. 2)</v>
          </cell>
        </row>
        <row r="97">
          <cell r="A97" t="str">
            <v>Interim Management TussenovereenkomstP2 Tactisch Interim Management Supply Value B.V. (perc. 2)</v>
          </cell>
          <cell r="B97" t="str">
            <v>Interim Management Tussenovereenkomst</v>
          </cell>
          <cell r="C97" t="str">
            <v xml:space="preserve">P2 Tactisch Interim Management </v>
          </cell>
          <cell r="D97" t="str">
            <v>Supply Value B.V. (perc. 2)</v>
          </cell>
          <cell r="E97" t="str">
            <v>Supply Value B.V.</v>
          </cell>
          <cell r="F97" t="str">
            <v>office@supplyvalue.nl;</v>
          </cell>
          <cell r="G97" t="str">
            <v>office@supplyvalue.nl</v>
          </cell>
          <cell r="J97"/>
          <cell r="K97" t="str">
            <v>Supply Value (perc. 2)</v>
          </cell>
        </row>
        <row r="98">
          <cell r="A98" t="str">
            <v>Interim Management TussenovereenkomstP2 Tactisch Interim Management TwynstraGudde Holding B.V. (perc. 2)</v>
          </cell>
          <cell r="B98" t="str">
            <v>Interim Management Tussenovereenkomst</v>
          </cell>
          <cell r="C98" t="str">
            <v xml:space="preserve">P2 Tactisch Interim Management </v>
          </cell>
          <cell r="D98" t="str">
            <v>TwynstraGudde Holding B.V. (perc. 2)</v>
          </cell>
          <cell r="E98" t="str">
            <v>TwynstraGudde Holding B.V.</v>
          </cell>
          <cell r="F98" t="str">
            <v>imoa@twynstragudde.nl;</v>
          </cell>
          <cell r="G98" t="str">
            <v>imoa@twynstragudde.nl</v>
          </cell>
          <cell r="J98"/>
          <cell r="K98" t="str">
            <v>TwynstraGudde(perc. 2)</v>
          </cell>
        </row>
        <row r="99">
          <cell r="A99" t="str">
            <v>Interim Management TussenovereenkomstP2 Tactisch Interim Management Vanberkel Professionals B.V. (perc. 2)</v>
          </cell>
          <cell r="B99" t="str">
            <v>Interim Management Tussenovereenkomst</v>
          </cell>
          <cell r="C99" t="str">
            <v xml:space="preserve">P2 Tactisch Interim Management </v>
          </cell>
          <cell r="D99" t="str">
            <v>Vanberkel Professionals B.V. (perc. 2)</v>
          </cell>
          <cell r="E99" t="str">
            <v>Vanberkel Professionals B.V.</v>
          </cell>
          <cell r="F99" t="str">
            <v>vragen@vbprofs.nl;</v>
          </cell>
          <cell r="G99" t="str">
            <v>vragen@vbprofs.nl</v>
          </cell>
          <cell r="J99"/>
          <cell r="K99" t="str">
            <v>Vanberkel Professionals (perc. 2)</v>
          </cell>
        </row>
        <row r="100">
          <cell r="A100" t="str">
            <v>1. Sleutel (BCD)</v>
          </cell>
          <cell r="B100" t="str">
            <v>Raamovereenkomst</v>
          </cell>
          <cell r="C100" t="str">
            <v>Perceel</v>
          </cell>
          <cell r="D100" t="str">
            <v>ON_Juridische_Bestuursrecht</v>
          </cell>
          <cell r="E100" t="str">
            <v>Leveranciersnaam</v>
          </cell>
          <cell r="F100" t="str">
            <v>samenvoeging mailadres</v>
          </cell>
          <cell r="G100" t="str">
            <v>E-mailadres 1</v>
          </cell>
          <cell r="H100" t="str">
            <v>E-mailadres 2</v>
          </cell>
          <cell r="I100" t="str">
            <v>E-mailadres 3</v>
          </cell>
          <cell r="J100" t="str">
            <v>E-mailadres 4</v>
          </cell>
        </row>
        <row r="101">
          <cell r="A101" t="str">
            <v>Juridische Capaciteit BestuursrechtN.v.t. bij BestuursrechtBrunel Nederland B.V.</v>
          </cell>
          <cell r="B101" t="str">
            <v>Juridische Capaciteit Bestuursrecht</v>
          </cell>
          <cell r="C101" t="str">
            <v>N.v.t. bij Bestuursrecht</v>
          </cell>
          <cell r="D101" t="str">
            <v>Brunel Nederland B.V.</v>
          </cell>
          <cell r="E101" t="str">
            <v>Brunel Nederland B.V.</v>
          </cell>
          <cell r="F101" t="str">
            <v>rijksoverheid@brunel.net;</v>
          </cell>
          <cell r="G101" t="str">
            <v>rijksoverheid@brunel.net</v>
          </cell>
          <cell r="H101"/>
          <cell r="I101"/>
          <cell r="J101"/>
          <cell r="K101" t="str">
            <v>Brunel Nederland B.V.</v>
          </cell>
        </row>
        <row r="102">
          <cell r="A102" t="str">
            <v xml:space="preserve">Juridische Capaciteit BestuursrechtN.v.t. bij BestuursrechtDPA Overheid B.V. </v>
          </cell>
          <cell r="B102" t="str">
            <v>Juridische Capaciteit Bestuursrecht</v>
          </cell>
          <cell r="C102" t="str">
            <v>N.v.t. bij Bestuursrecht</v>
          </cell>
          <cell r="D102" t="str">
            <v xml:space="preserve">DPA Overheid B.V. </v>
          </cell>
          <cell r="E102" t="str">
            <v xml:space="preserve">DPA Overheid B.V. </v>
          </cell>
          <cell r="F102" t="str">
            <v>overheidsjuristen@dpa.nl;</v>
          </cell>
          <cell r="G102" t="str">
            <v>overheidsjuristen@dpa.nl</v>
          </cell>
          <cell r="H102"/>
          <cell r="I102"/>
          <cell r="J102"/>
          <cell r="K102" t="str">
            <v xml:space="preserve">DPA Overheid B.V. </v>
          </cell>
        </row>
        <row r="103">
          <cell r="A103" t="str">
            <v>Juridische Capaciteit BestuursrechtN.v.t. bij BestuursrechtEiffel B.V.</v>
          </cell>
          <cell r="B103" t="str">
            <v>Juridische Capaciteit Bestuursrecht</v>
          </cell>
          <cell r="C103" t="str">
            <v>N.v.t. bij Bestuursrecht</v>
          </cell>
          <cell r="D103" t="str">
            <v>Eiffel B.V.</v>
          </cell>
          <cell r="E103" t="str">
            <v>Eiffel B.V.</v>
          </cell>
          <cell r="F103" t="str">
            <v>overheid@eiffel.nl;</v>
          </cell>
          <cell r="G103" t="str">
            <v>overheid@eiffel.nl</v>
          </cell>
          <cell r="H103"/>
          <cell r="I103"/>
          <cell r="J103"/>
          <cell r="K103" t="str">
            <v>Eiffel B.V.</v>
          </cell>
        </row>
        <row r="104">
          <cell r="A104" t="str">
            <v>Juridische Capaciteit BestuursrechtN.v.t. bij BestuursrechtResidentieprofs B.V.</v>
          </cell>
          <cell r="B104" t="str">
            <v>Juridische Capaciteit Bestuursrecht</v>
          </cell>
          <cell r="C104" t="str">
            <v>N.v.t. bij Bestuursrecht</v>
          </cell>
          <cell r="D104" t="str">
            <v>Residentieprofs B.V.</v>
          </cell>
          <cell r="E104" t="str">
            <v>Residentieprofs B.V.</v>
          </cell>
          <cell r="F104" t="str">
            <v>aanvragen@residentieprofs.nl;</v>
          </cell>
          <cell r="G104" t="str">
            <v>aanvragen@residentieprofs.nl</v>
          </cell>
          <cell r="H104"/>
          <cell r="I104"/>
          <cell r="J104"/>
          <cell r="K104" t="str">
            <v>Residentieprofs B.V.</v>
          </cell>
        </row>
        <row r="105">
          <cell r="A105" t="str">
            <v>Juridische Capaciteit BestuursrechtN.v.t. bij BestuursrechtUSG Professionals</v>
          </cell>
          <cell r="B105" t="str">
            <v>Juridische Capaciteit Bestuursrecht</v>
          </cell>
          <cell r="C105" t="str">
            <v>N.v.t. bij Bestuursrecht</v>
          </cell>
          <cell r="D105" t="str">
            <v>USG Professionals</v>
          </cell>
          <cell r="E105" t="str">
            <v>USG Professionals B.V.</v>
          </cell>
          <cell r="F105" t="str">
            <v>team-overheid@usglegal.nl;</v>
          </cell>
          <cell r="G105" t="str">
            <v>team-overheid@usglegal.nl</v>
          </cell>
          <cell r="H105"/>
          <cell r="I105"/>
          <cell r="J105"/>
          <cell r="K105" t="str">
            <v>USG Professionals B.V.</v>
          </cell>
        </row>
        <row r="106">
          <cell r="A106" t="str">
            <v>Juridische Capaciteit BestuursrechtN.v.t. bij BestuursrechtVanberkel Professionals B.V.</v>
          </cell>
          <cell r="B106" t="str">
            <v>Juridische Capaciteit Bestuursrecht</v>
          </cell>
          <cell r="C106" t="str">
            <v>N.v.t. bij Bestuursrecht</v>
          </cell>
          <cell r="D106" t="str">
            <v>Vanberkel Professionals B.V.</v>
          </cell>
          <cell r="E106" t="str">
            <v>Vanberkel Professionals B.V.</v>
          </cell>
          <cell r="F106" t="str">
            <v>juridisch@vbprofs.nl;</v>
          </cell>
          <cell r="G106" t="str">
            <v>juridisch@vbprofs.nl</v>
          </cell>
          <cell r="H106"/>
          <cell r="I106"/>
          <cell r="J106"/>
          <cell r="K106" t="str">
            <v>Vanberkel Professionals B.V.</v>
          </cell>
        </row>
        <row r="107">
          <cell r="A107" t="str">
            <v>Juridische Capaciteit BestuursrechtN.v.t. bij BestuursrechtYacht B.V.</v>
          </cell>
          <cell r="B107" t="str">
            <v>Juridische Capaciteit Bestuursrecht</v>
          </cell>
          <cell r="C107" t="str">
            <v>N.v.t. bij Bestuursrecht</v>
          </cell>
          <cell r="D107" t="str">
            <v>Yacht B.V.</v>
          </cell>
          <cell r="E107" t="str">
            <v>Yacht B.V.</v>
          </cell>
          <cell r="F107" t="str">
            <v>legalrijksoverheid@yacht.nl;</v>
          </cell>
          <cell r="G107" t="str">
            <v xml:space="preserve">legalrijksoverheid@yacht.nl </v>
          </cell>
          <cell r="H107"/>
          <cell r="I107"/>
          <cell r="J107"/>
          <cell r="K107" t="str">
            <v>Yacht B.V.</v>
          </cell>
        </row>
        <row r="108">
          <cell r="A108" t="str">
            <v>1. Sleutel (BCD)</v>
          </cell>
          <cell r="B108" t="str">
            <v>Raamovereenkomst</v>
          </cell>
          <cell r="C108" t="str">
            <v>Perceel</v>
          </cell>
          <cell r="D108" t="str">
            <v>ON_Juridische_Arbeidsrecht_en_Bedrijfsjuridisch</v>
          </cell>
          <cell r="E108" t="str">
            <v>Leveranciersnaam</v>
          </cell>
          <cell r="F108" t="str">
            <v>samenvoeging mailadres</v>
          </cell>
          <cell r="G108" t="str">
            <v>E-mailadres 1</v>
          </cell>
          <cell r="H108" t="str">
            <v>E-mailadres 2</v>
          </cell>
          <cell r="I108" t="str">
            <v>E-mailadres 3</v>
          </cell>
          <cell r="J108" t="str">
            <v>E-mailadres 4</v>
          </cell>
        </row>
        <row r="109">
          <cell r="A109" t="str">
            <v>Juridische Capaciteit Arbeidsrecht en BedrijfsjuridischP1 Arbeidsjuridische DienstenBrunel Nederland B.V. (perc. 1)</v>
          </cell>
          <cell r="B109" t="str">
            <v>Juridische Capaciteit Arbeidsrecht en Bedrijfsjuridisch</v>
          </cell>
          <cell r="C109" t="str">
            <v>P1 Arbeidsjuridische Diensten</v>
          </cell>
          <cell r="D109" t="str">
            <v>Brunel Nederland B.V. (perc. 1)</v>
          </cell>
          <cell r="E109" t="str">
            <v>Brunel Nederland B.V.</v>
          </cell>
          <cell r="F109" t="str">
            <v>rijksoverheid@brunel.net;l.van.vliet@brunel.net</v>
          </cell>
          <cell r="G109" t="str">
            <v>rijksoverheid@brunel.net</v>
          </cell>
          <cell r="H109" t="str">
            <v>l.van.vliet@brunel.net</v>
          </cell>
          <cell r="I109"/>
          <cell r="J109"/>
          <cell r="K109" t="str">
            <v>Brunel Nederland B.V.(P1)</v>
          </cell>
        </row>
        <row r="110">
          <cell r="A110" t="str">
            <v>Juridische Capaciteit Arbeidsrecht en BedrijfsjuridischP1 Arbeidsjuridische DienstenDPA Overheid B.V.  (perc. 1)</v>
          </cell>
          <cell r="B110" t="str">
            <v>Juridische Capaciteit Arbeidsrecht en Bedrijfsjuridisch</v>
          </cell>
          <cell r="C110" t="str">
            <v>P1 Arbeidsjuridische Diensten</v>
          </cell>
          <cell r="D110" t="str">
            <v>DPA Overheid B.V.  (perc. 1)</v>
          </cell>
          <cell r="E110" t="str">
            <v xml:space="preserve">DPA Overheid B.V. </v>
          </cell>
          <cell r="F110" t="str">
            <v>overheidsjuristen@dpa.nl;paul.schraven@dpa.nl</v>
          </cell>
          <cell r="G110" t="str">
            <v>overheidsjuristen@dpa.nl</v>
          </cell>
          <cell r="H110" t="str">
            <v>paul.schraven@dpa.nl</v>
          </cell>
          <cell r="I110"/>
          <cell r="J110"/>
          <cell r="K110" t="str">
            <v>DPA Overheid B.V. (P1)</v>
          </cell>
        </row>
        <row r="111">
          <cell r="A111" t="str">
            <v>Juridische Capaciteit Arbeidsrecht en BedrijfsjuridischP1 Arbeidsjuridische DienstenEiffel B.V. (perc. 1)</v>
          </cell>
          <cell r="B111" t="str">
            <v>Juridische Capaciteit Arbeidsrecht en Bedrijfsjuridisch</v>
          </cell>
          <cell r="C111" t="str">
            <v>P1 Arbeidsjuridische Diensten</v>
          </cell>
          <cell r="D111" t="str">
            <v>Eiffel B.V. (perc. 1)</v>
          </cell>
          <cell r="E111" t="str">
            <v>Eiffel B.V.</v>
          </cell>
          <cell r="F111" t="str">
            <v>overheid@eiffel.nl;</v>
          </cell>
          <cell r="G111" t="str">
            <v>overheid@eiffel.nl</v>
          </cell>
          <cell r="H111"/>
          <cell r="I111"/>
          <cell r="J111"/>
          <cell r="K111" t="str">
            <v>Eiffel B.V.(P1)</v>
          </cell>
        </row>
        <row r="112">
          <cell r="A112" t="str">
            <v>Juridische Capaciteit Arbeidsrecht en BedrijfsjuridischP1 Arbeidsjuridische DienstenResidentieprofs B.V. (perc. 1)</v>
          </cell>
          <cell r="B112" t="str">
            <v>Juridische Capaciteit Arbeidsrecht en Bedrijfsjuridisch</v>
          </cell>
          <cell r="C112" t="str">
            <v>P1 Arbeidsjuridische Diensten</v>
          </cell>
          <cell r="D112" t="str">
            <v>Residentieprofs B.V. (perc. 1)</v>
          </cell>
          <cell r="E112" t="str">
            <v>Residentieprofs B.V.</v>
          </cell>
          <cell r="F112" t="str">
            <v>aanvragen@residentieprofs.nl;</v>
          </cell>
          <cell r="G112" t="str">
            <v>aanvragen@residentieprofs.nl</v>
          </cell>
          <cell r="H112"/>
          <cell r="I112"/>
          <cell r="J112"/>
          <cell r="K112" t="str">
            <v>Residentieprofs B.V.(P1)</v>
          </cell>
        </row>
        <row r="113">
          <cell r="A113" t="str">
            <v>Juridische Capaciteit Arbeidsrecht en BedrijfsjuridischP1 Arbeidsjuridische DienstenUSG Professionals (perc. 1)</v>
          </cell>
          <cell r="B113" t="str">
            <v>Juridische Capaciteit Arbeidsrecht en Bedrijfsjuridisch</v>
          </cell>
          <cell r="C113" t="str">
            <v>P1 Arbeidsjuridische Diensten</v>
          </cell>
          <cell r="D113" t="str">
            <v>USG Professionals (perc. 1)</v>
          </cell>
          <cell r="E113" t="str">
            <v>USG Professionals B.V.</v>
          </cell>
          <cell r="F113" t="str">
            <v>team-overheid@usglegal.nl;</v>
          </cell>
          <cell r="G113" t="str">
            <v>team-overheid@usglegal.nl</v>
          </cell>
          <cell r="H113"/>
          <cell r="I113"/>
          <cell r="J113"/>
          <cell r="K113" t="str">
            <v>USG Professionals B.V.(P1)</v>
          </cell>
        </row>
        <row r="114">
          <cell r="A114" t="str">
            <v>Juridische Capaciteit Arbeidsrecht en BedrijfsjuridischP1 Arbeidsjuridische DienstenVanberkel Professionals B.V. (perc. 1)</v>
          </cell>
          <cell r="B114" t="str">
            <v>Juridische Capaciteit Arbeidsrecht en Bedrijfsjuridisch</v>
          </cell>
          <cell r="C114" t="str">
            <v>P1 Arbeidsjuridische Diensten</v>
          </cell>
          <cell r="D114" t="str">
            <v>Vanberkel Professionals B.V. (perc. 1)</v>
          </cell>
          <cell r="E114" t="str">
            <v>Vanberkel Professionals B.V.</v>
          </cell>
          <cell r="F114" t="str">
            <v>juridisch@vbprofs.nl;</v>
          </cell>
          <cell r="G114" t="str">
            <v>juridisch@vbprofs.nl</v>
          </cell>
          <cell r="H114"/>
          <cell r="I114"/>
          <cell r="J114"/>
          <cell r="K114" t="str">
            <v>Vanberkel Professionals B.V.(P1)</v>
          </cell>
        </row>
        <row r="115">
          <cell r="A115" t="str">
            <v>Juridische Capaciteit Arbeidsrecht en BedrijfsjuridischP1 Arbeidsjuridische DienstenWeLegal B.V. (perc. 1)</v>
          </cell>
          <cell r="B115" t="str">
            <v>Juridische Capaciteit Arbeidsrecht en Bedrijfsjuridisch</v>
          </cell>
          <cell r="C115" t="str">
            <v>P1 Arbeidsjuridische Diensten</v>
          </cell>
          <cell r="D115" t="str">
            <v>WeLegal B.V. (perc. 1)</v>
          </cell>
          <cell r="E115" t="str">
            <v>WeLegal B.V.</v>
          </cell>
          <cell r="F115" t="str">
            <v>opdrachten@welegal.nl;</v>
          </cell>
          <cell r="G115" t="str">
            <v>opdrachten@welegal.nl</v>
          </cell>
          <cell r="H115"/>
          <cell r="I115"/>
          <cell r="J115"/>
          <cell r="K115" t="str">
            <v>WeLegal B.V. (P1)</v>
          </cell>
        </row>
        <row r="116">
          <cell r="A116" t="str">
            <v>Juridische Capaciteit Arbeidsrecht en BedrijfsjuridischP2 Bedrijfsjuridische DienstenBrunel Nederland B.V. (perc. 2)</v>
          </cell>
          <cell r="B116" t="str">
            <v>Juridische Capaciteit Arbeidsrecht en Bedrijfsjuridisch</v>
          </cell>
          <cell r="C116" t="str">
            <v>P2 Bedrijfsjuridische Diensten</v>
          </cell>
          <cell r="D116" t="str">
            <v>Brunel Nederland B.V. (perc. 2)</v>
          </cell>
          <cell r="E116" t="str">
            <v>Brunel Nederland B.V.</v>
          </cell>
          <cell r="F116" t="str">
            <v>rijksoverheid@brunel.net;l.van.vliet@brunel.net</v>
          </cell>
          <cell r="G116" t="str">
            <v>rijksoverheid@brunel.net</v>
          </cell>
          <cell r="H116" t="str">
            <v>l.van.vliet@brunel.net</v>
          </cell>
          <cell r="I116"/>
          <cell r="J116"/>
          <cell r="K116" t="str">
            <v>Brunel Nederland B.V.(P2)</v>
          </cell>
        </row>
        <row r="117">
          <cell r="A117" t="str">
            <v>Juridische Capaciteit Arbeidsrecht en BedrijfsjuridischP2 Bedrijfsjuridische DienstenDPA Overheid B.V.  (perc. 2)</v>
          </cell>
          <cell r="B117" t="str">
            <v>Juridische Capaciteit Arbeidsrecht en Bedrijfsjuridisch</v>
          </cell>
          <cell r="C117" t="str">
            <v>P2 Bedrijfsjuridische Diensten</v>
          </cell>
          <cell r="D117" t="str">
            <v>DPA Overheid B.V.  (perc. 2)</v>
          </cell>
          <cell r="E117" t="str">
            <v xml:space="preserve">DPA Overheid B.V. </v>
          </cell>
          <cell r="F117" t="str">
            <v>overheidsjuristen@dpa.nl;paul.schraven@dpa.nl</v>
          </cell>
          <cell r="G117" t="str">
            <v>overheidsjuristen@dpa.nl</v>
          </cell>
          <cell r="H117" t="str">
            <v>paul.schraven@dpa.nl</v>
          </cell>
          <cell r="I117"/>
          <cell r="J117"/>
          <cell r="K117" t="str">
            <v xml:space="preserve">DPA Overheid B.V. </v>
          </cell>
        </row>
        <row r="118">
          <cell r="A118" t="str">
            <v>Juridische Capaciteit Arbeidsrecht en BedrijfsjuridischP2 Bedrijfsjuridische DienstenEiffel B.V. (perc. 2)</v>
          </cell>
          <cell r="B118" t="str">
            <v>Juridische Capaciteit Arbeidsrecht en Bedrijfsjuridisch</v>
          </cell>
          <cell r="C118" t="str">
            <v>P2 Bedrijfsjuridische Diensten</v>
          </cell>
          <cell r="D118" t="str">
            <v>Eiffel B.V. (perc. 2)</v>
          </cell>
          <cell r="E118" t="str">
            <v>Eiffel B.V.</v>
          </cell>
          <cell r="F118" t="str">
            <v>overheid@eiffel.nl;</v>
          </cell>
          <cell r="G118" t="str">
            <v>overheid@eiffel.nl</v>
          </cell>
          <cell r="H118"/>
          <cell r="I118"/>
          <cell r="J118"/>
          <cell r="K118" t="str">
            <v>Eiffel B.V.(p2)</v>
          </cell>
        </row>
        <row r="119">
          <cell r="A119" t="str">
            <v>Juridische Capaciteit Arbeidsrecht en BedrijfsjuridischP2 Bedrijfsjuridische DienstenResidentieprofs B.V. (perc. 2)</v>
          </cell>
          <cell r="B119" t="str">
            <v>Juridische Capaciteit Arbeidsrecht en Bedrijfsjuridisch</v>
          </cell>
          <cell r="C119" t="str">
            <v>P2 Bedrijfsjuridische Diensten</v>
          </cell>
          <cell r="D119" t="str">
            <v>Residentieprofs B.V. (perc. 2)</v>
          </cell>
          <cell r="E119" t="str">
            <v>Residentieprofs B.V.</v>
          </cell>
          <cell r="F119" t="str">
            <v>aanvragen@residentieprofs.nl;</v>
          </cell>
          <cell r="G119" t="str">
            <v>aanvragen@residentieprofs.nl</v>
          </cell>
          <cell r="H119"/>
          <cell r="I119"/>
          <cell r="J119"/>
          <cell r="K119" t="str">
            <v>Residentieprofs B.V.(P2)</v>
          </cell>
        </row>
        <row r="120">
          <cell r="A120" t="str">
            <v>Juridische Capaciteit Arbeidsrecht en BedrijfsjuridischP2 Bedrijfsjuridische DienstenUSG Professionals (perc. 2)</v>
          </cell>
          <cell r="B120" t="str">
            <v>Juridische Capaciteit Arbeidsrecht en Bedrijfsjuridisch</v>
          </cell>
          <cell r="C120" t="str">
            <v>P2 Bedrijfsjuridische Diensten</v>
          </cell>
          <cell r="D120" t="str">
            <v>USG Professionals (perc. 2)</v>
          </cell>
          <cell r="E120" t="str">
            <v>USG Professionals B.V.</v>
          </cell>
          <cell r="F120" t="str">
            <v>team-overheid@usglegal.nl;</v>
          </cell>
          <cell r="G120" t="str">
            <v>team-overheid@usglegal.nl</v>
          </cell>
          <cell r="H120"/>
          <cell r="I120"/>
          <cell r="J120"/>
          <cell r="K120" t="str">
            <v>USG Professionals B.V.(P2)</v>
          </cell>
        </row>
        <row r="121">
          <cell r="A121" t="str">
            <v>Juridische Capaciteit Arbeidsrecht en BedrijfsjuridischP2 Bedrijfsjuridische DienstenVanberkel Professionals B.V. (perc. 2)</v>
          </cell>
          <cell r="B121" t="str">
            <v>Juridische Capaciteit Arbeidsrecht en Bedrijfsjuridisch</v>
          </cell>
          <cell r="C121" t="str">
            <v>P2 Bedrijfsjuridische Diensten</v>
          </cell>
          <cell r="D121" t="str">
            <v>Vanberkel Professionals B.V. (perc. 2)</v>
          </cell>
          <cell r="E121" t="str">
            <v>Vanberkel Professionals B.V.</v>
          </cell>
          <cell r="F121" t="str">
            <v>juridisch@vbprofs.nl;</v>
          </cell>
          <cell r="G121" t="str">
            <v>juridisch@vbprofs.nl</v>
          </cell>
          <cell r="H121"/>
          <cell r="I121"/>
          <cell r="J121"/>
          <cell r="K121" t="str">
            <v>Vanberkel Professionals B.V.(P2)</v>
          </cell>
        </row>
        <row r="122">
          <cell r="A122" t="str">
            <v>Juridische Capaciteit Arbeidsrecht en BedrijfsjuridischP2 Bedrijfsjuridische DienstenWeLegal B.V. (perc. 2)</v>
          </cell>
          <cell r="B122" t="str">
            <v>Juridische Capaciteit Arbeidsrecht en Bedrijfsjuridisch</v>
          </cell>
          <cell r="C122" t="str">
            <v>P2 Bedrijfsjuridische Diensten</v>
          </cell>
          <cell r="D122" t="str">
            <v>WeLegal B.V. (perc. 2)</v>
          </cell>
          <cell r="E122" t="str">
            <v>WeLegal B.V.</v>
          </cell>
          <cell r="F122" t="str">
            <v>opdrachten@welegal.nl;</v>
          </cell>
          <cell r="G122" t="str">
            <v>opdrachten@welegal.nl</v>
          </cell>
          <cell r="H122"/>
          <cell r="I122"/>
          <cell r="J122"/>
          <cell r="K122" t="str">
            <v>WeLegal B.V.(P2)</v>
          </cell>
        </row>
        <row r="123">
          <cell r="A123" t="str">
            <v>1. Sleutel (BCD)</v>
          </cell>
          <cell r="B123" t="str">
            <v>Raamovereenkomst</v>
          </cell>
          <cell r="C123" t="str">
            <v>Perceel</v>
          </cell>
          <cell r="D123" t="str">
            <v>ON_energie_duurzaamheid_en_innovatie</v>
          </cell>
          <cell r="E123" t="str">
            <v>Leveranciersnaam</v>
          </cell>
          <cell r="F123" t="str">
            <v>samenvoeging mailadres</v>
          </cell>
          <cell r="G123" t="str">
            <v>E-mailadres 1</v>
          </cell>
          <cell r="H123" t="str">
            <v>E-mailadres 2</v>
          </cell>
          <cell r="I123" t="str">
            <v>E-mailadres 3</v>
          </cell>
          <cell r="J123" t="str">
            <v>E-mailadres 4</v>
          </cell>
        </row>
        <row r="124">
          <cell r="A124" t="str">
            <v>EDI Specialisten op het gebied van Energie Duurzaamheid en InnovatieP1 Programmas en opdrachtenArcadis Nederland B.V. (perc. 1)</v>
          </cell>
          <cell r="B124" t="str">
            <v>EDI Specialisten op het gebied van Energie Duurzaamheid en Innovatie</v>
          </cell>
          <cell r="C124" t="str">
            <v>P1 Programmas en opdrachten</v>
          </cell>
          <cell r="D124" t="str">
            <v>Arcadis Nederland B.V. (perc. 1)</v>
          </cell>
          <cell r="E124" t="str">
            <v>Arcadis Nederland B.V.</v>
          </cell>
          <cell r="F124" t="str">
            <v>RVO@arcadis.com;</v>
          </cell>
          <cell r="G124" t="str">
            <v>RVO@arcadis.com</v>
          </cell>
          <cell r="H124"/>
          <cell r="I124"/>
          <cell r="J124"/>
          <cell r="K124" t="str">
            <v>Arcadis(P1)</v>
          </cell>
        </row>
        <row r="125">
          <cell r="A125" t="str">
            <v>EDI Specialisten op het gebied van Energie Duurzaamheid en InnovatieP1 Programmas en opdrachtenBrunel Nederland B.V. (perc. 1)</v>
          </cell>
          <cell r="B125" t="str">
            <v>EDI Specialisten op het gebied van Energie Duurzaamheid en Innovatie</v>
          </cell>
          <cell r="C125" t="str">
            <v>P1 Programmas en opdrachten</v>
          </cell>
          <cell r="D125" t="str">
            <v>Brunel Nederland B.V. (perc. 1)</v>
          </cell>
          <cell r="E125" t="str">
            <v>Brunel Nederland B.V.</v>
          </cell>
          <cell r="F125" t="str">
            <v>overheidengineering@brunel.net;</v>
          </cell>
          <cell r="G125" t="str">
            <v>overheidengineering@brunel.net</v>
          </cell>
          <cell r="H125"/>
          <cell r="I125"/>
          <cell r="J125"/>
          <cell r="K125" t="str">
            <v>Brunel(P1)</v>
          </cell>
        </row>
        <row r="126">
          <cell r="A126" t="str">
            <v>EDI Specialisten op het gebied van Energie Duurzaamheid en InnovatieP1 Programmas en opdrachtenDeloitte Risk Advisory B.V.(perc. 1)</v>
          </cell>
          <cell r="B126" t="str">
            <v>EDI Specialisten op het gebied van Energie Duurzaamheid en Innovatie</v>
          </cell>
          <cell r="C126" t="str">
            <v>P1 Programmas en opdrachten</v>
          </cell>
          <cell r="D126" t="str">
            <v>Deloitte Risk Advisory B.V.(perc. 1)</v>
          </cell>
          <cell r="E126" t="str">
            <v>Deloitte Risk Advisory B.V.</v>
          </cell>
          <cell r="F126" t="str">
            <v>EDI-inhuur@deloitte.nl;</v>
          </cell>
          <cell r="G126" t="str">
            <v>EDI-inhuur@deloitte.nl</v>
          </cell>
          <cell r="H126"/>
          <cell r="I126"/>
          <cell r="J126"/>
          <cell r="K126" t="str">
            <v>Deloitte(P1)</v>
          </cell>
        </row>
        <row r="127">
          <cell r="A127" t="str">
            <v>EDI Specialisten op het gebied van Energie Duurzaamheid en InnovatieP1 Programmas en opdrachtenkWh Management B.V. (perc. 1)</v>
          </cell>
          <cell r="B127" t="str">
            <v>EDI Specialisten op het gebied van Energie Duurzaamheid en Innovatie</v>
          </cell>
          <cell r="C127" t="str">
            <v>P1 Programmas en opdrachten</v>
          </cell>
          <cell r="D127" t="str">
            <v>kWh Management B.V. (perc. 1)</v>
          </cell>
          <cell r="E127" t="str">
            <v>kWh Management B.V.</v>
          </cell>
          <cell r="F127" t="str">
            <v>daniel@kwh-people.com;kim@kwh-people.com;</v>
          </cell>
          <cell r="G127" t="str">
            <v>daniel@kwh-people.com</v>
          </cell>
          <cell r="H127" t="str">
            <v>kim@kwh-people.com</v>
          </cell>
          <cell r="I127"/>
          <cell r="J127"/>
          <cell r="K127" t="str">
            <v>kWhPeople(P1)</v>
          </cell>
        </row>
        <row r="128">
          <cell r="A128" t="str">
            <v>EDI Specialisten op het gebied van Energie Duurzaamheid en InnovatieP1 Programmas en opdrachtenTwynstra Gudde Holding B.V. (perc. 1)</v>
          </cell>
          <cell r="B128" t="str">
            <v>EDI Specialisten op het gebied van Energie Duurzaamheid en Innovatie</v>
          </cell>
          <cell r="C128" t="str">
            <v>P1 Programmas en opdrachten</v>
          </cell>
          <cell r="D128" t="str">
            <v>Twynstra Gudde Holding B.V. (perc. 1)</v>
          </cell>
          <cell r="E128" t="str">
            <v>Twynstra Gudde Holding B.V.</v>
          </cell>
          <cell r="F128" t="str">
            <v>raamovereenkomstEDI@tg.nl;</v>
          </cell>
          <cell r="G128" t="str">
            <v>raamovereenkomstEDI@tg.nl</v>
          </cell>
          <cell r="H128"/>
          <cell r="I128"/>
          <cell r="J128"/>
          <cell r="K128" t="str">
            <v>Twynstra(P1)</v>
          </cell>
        </row>
        <row r="129">
          <cell r="A129" t="str">
            <v>EDI Specialisten op het gebied van Energie Duurzaamheid en InnovatieP2 RegelingenArcadis Nederland B.V. (perc. 2)</v>
          </cell>
          <cell r="B129" t="str">
            <v>EDI Specialisten op het gebied van Energie Duurzaamheid en Innovatie</v>
          </cell>
          <cell r="C129" t="str">
            <v>P2 Regelingen</v>
          </cell>
          <cell r="D129" t="str">
            <v>Arcadis Nederland B.V. (perc. 2)</v>
          </cell>
          <cell r="E129" t="str">
            <v>Arcadis Nederland B.V.</v>
          </cell>
          <cell r="F129" t="str">
            <v>RVO@arcadis.com;</v>
          </cell>
          <cell r="G129" t="str">
            <v>RVO@arcadis.com</v>
          </cell>
          <cell r="J129"/>
          <cell r="K129" t="str">
            <v>Arcadis(P2)</v>
          </cell>
        </row>
        <row r="130">
          <cell r="A130" t="str">
            <v>EDI Specialisten op het gebied van Energie Duurzaamheid en InnovatieP2 RegelingenBrunel Nederland B.V. (perc. 2)</v>
          </cell>
          <cell r="B130" t="str">
            <v>EDI Specialisten op het gebied van Energie Duurzaamheid en Innovatie</v>
          </cell>
          <cell r="C130" t="str">
            <v>P2 Regelingen</v>
          </cell>
          <cell r="D130" t="str">
            <v>Brunel Nederland B.V. (perc. 2)</v>
          </cell>
          <cell r="E130" t="str">
            <v>Brunel Nederland B.V.</v>
          </cell>
          <cell r="F130" t="str">
            <v>overheidengineering@brunel.net;</v>
          </cell>
          <cell r="G130" t="str">
            <v>overheidengineering@brunel.net</v>
          </cell>
          <cell r="J130"/>
          <cell r="K130" t="str">
            <v>Brunel(P2)</v>
          </cell>
        </row>
        <row r="131">
          <cell r="A131" t="str">
            <v>EDI Specialisten op het gebied van Energie Duurzaamheid en InnovatieP2 RegelingenDeloitte Risk Advisory B.V. (perc. 2)</v>
          </cell>
          <cell r="B131" t="str">
            <v>EDI Specialisten op het gebied van Energie Duurzaamheid en Innovatie</v>
          </cell>
          <cell r="C131" t="str">
            <v>P2 Regelingen</v>
          </cell>
          <cell r="D131" t="str">
            <v>Deloitte Risk Advisory B.V. (perc. 2)</v>
          </cell>
          <cell r="E131" t="str">
            <v>Deloitte Risk Advisory B.V.</v>
          </cell>
          <cell r="F131" t="str">
            <v>EDI-inhuur@deloitte.nl;</v>
          </cell>
          <cell r="G131" t="str">
            <v>EDI-inhuur@deloitte.nl</v>
          </cell>
          <cell r="J131"/>
          <cell r="K131" t="str">
            <v>Deloitte(P2)</v>
          </cell>
        </row>
        <row r="132">
          <cell r="A132" t="str">
            <v>EDI Specialisten op het gebied van Energie Duurzaamheid en InnovatieP2 RegelingenkWh Management B.V. (perc. 2)</v>
          </cell>
          <cell r="B132" t="str">
            <v>EDI Specialisten op het gebied van Energie Duurzaamheid en Innovatie</v>
          </cell>
          <cell r="C132" t="str">
            <v>P2 Regelingen</v>
          </cell>
          <cell r="D132" t="str">
            <v>kWh Management B.V. (perc. 2)</v>
          </cell>
          <cell r="E132" t="str">
            <v>kWh Management B.V.</v>
          </cell>
          <cell r="F132" t="str">
            <v>daniel@kwh-people.com;kim@kwh-people.com;</v>
          </cell>
          <cell r="G132" t="str">
            <v>daniel@kwh-people.com</v>
          </cell>
          <cell r="H132" t="str">
            <v>kim@kwh-people.com</v>
          </cell>
          <cell r="J132"/>
          <cell r="K132" t="str">
            <v>kWHhPeople(P2)</v>
          </cell>
        </row>
        <row r="133">
          <cell r="A133" t="str">
            <v>EDI Specialisten op het gebied van Energie Duurzaamheid en InnovatieP2 RegelingenOrangeX B.V. (perc. 2)</v>
          </cell>
          <cell r="B133" t="str">
            <v>EDI Specialisten op het gebied van Energie Duurzaamheid en Innovatie</v>
          </cell>
          <cell r="C133" t="str">
            <v>P2 Regelingen</v>
          </cell>
          <cell r="D133" t="str">
            <v>OrangeX B.V. (perc. 2)</v>
          </cell>
          <cell r="E133" t="str">
            <v>OrangeX B.V.</v>
          </cell>
          <cell r="F133" t="str">
            <v>info@orangex.nl;</v>
          </cell>
          <cell r="G133" t="str">
            <v>info@orangex.nl</v>
          </cell>
          <cell r="J133"/>
          <cell r="K133" t="str">
            <v>OrangeX(P2)</v>
          </cell>
        </row>
        <row r="134">
          <cell r="A134" t="str">
            <v>1. Sleutel (BCD)</v>
          </cell>
          <cell r="B134" t="str">
            <v>Raamovereenkomst</v>
          </cell>
          <cell r="C134" t="str">
            <v>Perceel</v>
          </cell>
          <cell r="D134" t="str">
            <v>ON_Communicatie</v>
          </cell>
          <cell r="E134" t="str">
            <v>Leveranciersnaam</v>
          </cell>
          <cell r="F134" t="str">
            <v>samenvoeging mailadres</v>
          </cell>
          <cell r="G134" t="str">
            <v>E-mailadres 1</v>
          </cell>
          <cell r="H134" t="str">
            <v>E-mailadres 2</v>
          </cell>
          <cell r="I134" t="str">
            <v>E-mailadres 3</v>
          </cell>
          <cell r="J134" t="str">
            <v>E-mailadres 4</v>
          </cell>
        </row>
        <row r="135">
          <cell r="A135" t="str">
            <v>CommunicatiecapaciteitP1 CommunicatieprofessionalsOnlyHuman (perc. 1)</v>
          </cell>
          <cell r="B135" t="str">
            <v>Communicatiecapaciteit</v>
          </cell>
          <cell r="C135" t="str">
            <v>P1 Communicatieprofessionals</v>
          </cell>
          <cell r="D135" t="str">
            <v>OnlyHuman (perc. 1)</v>
          </cell>
          <cell r="E135" t="str">
            <v>OnlyHuman</v>
          </cell>
          <cell r="F135" t="str">
            <v>AZinhuur@onlyhuman.nl;</v>
          </cell>
          <cell r="G135" t="str">
            <v xml:space="preserve">AZinhuur@onlyhuman.nl; </v>
          </cell>
          <cell r="K135" t="str">
            <v>OnlyHuman(P1)</v>
          </cell>
        </row>
        <row r="136">
          <cell r="A136" t="str">
            <v>CommunicatiecapaciteitP1 CommunicatieprofessionalsBabbage (perc. 1)</v>
          </cell>
          <cell r="B136" t="str">
            <v>Communicatiecapaciteit</v>
          </cell>
          <cell r="C136" t="str">
            <v>P1 Communicatieprofessionals</v>
          </cell>
          <cell r="D136" t="str">
            <v>Babbage (perc. 1)</v>
          </cell>
          <cell r="E136" t="str">
            <v>Babbage</v>
          </cell>
          <cell r="F136" t="str">
            <v>DPC@babbage.nl;</v>
          </cell>
          <cell r="G136" t="str">
            <v>DPC@babbage.nl;</v>
          </cell>
          <cell r="K136" t="str">
            <v>Babbage(P1)</v>
          </cell>
        </row>
        <row r="137">
          <cell r="A137" t="str">
            <v>CommunicatiecapaciteitP1 CommunicatieprofessionalsUSG Professionals (perc. 1)</v>
          </cell>
          <cell r="B137" t="str">
            <v>Communicatiecapaciteit</v>
          </cell>
          <cell r="C137" t="str">
            <v>P1 Communicatieprofessionals</v>
          </cell>
          <cell r="D137" t="str">
            <v>USG Professionals (perc. 1)</v>
          </cell>
          <cell r="E137" t="str">
            <v>USG Professionals B.V.</v>
          </cell>
          <cell r="F137" t="str">
            <v>aanvraag@usgmarcom.nl;</v>
          </cell>
          <cell r="G137" t="str">
            <v>aanvraag@usgmarcom.nl;</v>
          </cell>
          <cell r="K137" t="str">
            <v>USG(P1)</v>
          </cell>
        </row>
        <row r="138">
          <cell r="A138" t="str">
            <v>CommunicatiecapaciteitP1 CommunicatieprofessionalsYacht B.V. (perc. 1)</v>
          </cell>
          <cell r="B138" t="str">
            <v>Communicatiecapaciteit</v>
          </cell>
          <cell r="C138" t="str">
            <v>P1 Communicatieprofessionals</v>
          </cell>
          <cell r="D138" t="str">
            <v>Yacht B.V. (perc. 1)</v>
          </cell>
          <cell r="E138" t="str">
            <v>Yacht B.V.</v>
          </cell>
          <cell r="F138" t="str">
            <v>publiek.communicatie@yacht.nl;</v>
          </cell>
          <cell r="G138" t="str">
            <v>publiek.communicatie@yacht.nl;</v>
          </cell>
          <cell r="K138" t="str">
            <v>Yacht(P1)</v>
          </cell>
        </row>
        <row r="139">
          <cell r="A139" t="str">
            <v>CommunicatiecapaciteitP2 WebredactieprofessionalsOnlyHuman (perc. 2)</v>
          </cell>
          <cell r="B139" t="str">
            <v>Communicatiecapaciteit</v>
          </cell>
          <cell r="C139" t="str">
            <v>P2 Webredactieprofessionals</v>
          </cell>
          <cell r="D139" t="str">
            <v>OnlyHuman (perc. 2)</v>
          </cell>
          <cell r="E139" t="str">
            <v>OnlyHuman</v>
          </cell>
          <cell r="F139" t="str">
            <v>AZinhuur@onlyhuman.nl;</v>
          </cell>
          <cell r="G139" t="str">
            <v xml:space="preserve">AZinhuur@onlyhuman.nl; </v>
          </cell>
          <cell r="K139" t="str">
            <v>OnlyHuman(P2)</v>
          </cell>
        </row>
        <row r="140">
          <cell r="A140" t="str">
            <v>CommunicatiecapaciteitP2 WebredactieprofessionalsiO The Netherlands B.V.(perc. 2)</v>
          </cell>
          <cell r="B140" t="str">
            <v>Communicatiecapaciteit</v>
          </cell>
          <cell r="C140" t="str">
            <v>P2 Webredactieprofessionals</v>
          </cell>
          <cell r="D140" t="str">
            <v>iO The Netherlands B.V.(perc. 2)</v>
          </cell>
          <cell r="E140" t="str">
            <v>iO The Netherlands B.V.</v>
          </cell>
          <cell r="F140" t="str">
            <v>rijksoverheid@entopic.com;</v>
          </cell>
          <cell r="G140" t="str">
            <v>rijksoverheid@entopic.com;</v>
          </cell>
          <cell r="K140" t="str">
            <v>iO The Netherlands B.V.(P2)</v>
          </cell>
        </row>
        <row r="141">
          <cell r="A141" t="str">
            <v>CommunicatiecapaciteitP2 WebredactieprofessionalsYacht B.V. (perc. 2)</v>
          </cell>
          <cell r="B141" t="str">
            <v>Communicatiecapaciteit</v>
          </cell>
          <cell r="C141" t="str">
            <v>P2 Webredactieprofessionals</v>
          </cell>
          <cell r="D141" t="str">
            <v>Yacht B.V. (perc. 2)</v>
          </cell>
          <cell r="E141" t="str">
            <v>Yacht B.V.</v>
          </cell>
          <cell r="F141" t="str">
            <v>publiek.communicatie@yacht.nl;</v>
          </cell>
          <cell r="G141" t="str">
            <v>publiek.communicatie@yacht.nl;</v>
          </cell>
          <cell r="K141" t="str">
            <v>Yacht(P2)</v>
          </cell>
        </row>
        <row r="142">
          <cell r="A142" t="str">
            <v>CommunicatiecapaciteitP2 WebredactieprofessionalsBabbage/De Redactie (perc. 2)</v>
          </cell>
          <cell r="B142" t="str">
            <v>Communicatiecapaciteit</v>
          </cell>
          <cell r="C142" t="str">
            <v>P2 Webredactieprofessionals</v>
          </cell>
          <cell r="D142" t="str">
            <v>Babbage/De Redactie (perc. 2)</v>
          </cell>
          <cell r="E142" t="str">
            <v>Babbage/De Redactie</v>
          </cell>
          <cell r="F142" t="str">
            <v>aanvragen@deredactie.nl;</v>
          </cell>
          <cell r="G142" t="str">
            <v>aanvragen@deredactie.nl;</v>
          </cell>
          <cell r="K142" t="str">
            <v>Babbage/De Redactie (P2)</v>
          </cell>
        </row>
        <row r="143">
          <cell r="A143" t="str">
            <v>1. Sleutel (BCD)</v>
          </cell>
          <cell r="B143" t="str">
            <v>Raamovereenkomst</v>
          </cell>
          <cell r="C143" t="str">
            <v>Perceel</v>
          </cell>
          <cell r="D143" t="str">
            <v>ON_woordvoeringscapaciteit</v>
          </cell>
          <cell r="E143" t="str">
            <v>Leveranciersnaam</v>
          </cell>
          <cell r="F143" t="str">
            <v>samenvoeging mailadres</v>
          </cell>
          <cell r="G143" t="str">
            <v>E-mailadres 1</v>
          </cell>
          <cell r="H143" t="str">
            <v>E-mailadres 2</v>
          </cell>
          <cell r="I143" t="str">
            <v>E-mailadres 3</v>
          </cell>
          <cell r="J143" t="str">
            <v>E-mailadres 4</v>
          </cell>
        </row>
        <row r="144">
          <cell r="A144" t="str">
            <v>WoordvoeringscapaciteitN.v.t. bij WoordvoeringscapaciteitBabbage Company B.V.</v>
          </cell>
          <cell r="B144" t="str">
            <v>Woordvoeringscapaciteit</v>
          </cell>
          <cell r="C144" t="str">
            <v>N.v.t. bij Woordvoeringscapaciteit</v>
          </cell>
          <cell r="D144" t="str">
            <v>Babbage Company B.V.</v>
          </cell>
          <cell r="E144" t="str">
            <v>Babbage Company B.V.</v>
          </cell>
          <cell r="F144" t="str">
            <v>dpc@babbage.nl;</v>
          </cell>
          <cell r="G144" t="str">
            <v>dpc@babbage.nl;</v>
          </cell>
          <cell r="K144" t="str">
            <v>Babbage</v>
          </cell>
        </row>
        <row r="145">
          <cell r="A145" t="str">
            <v>1. Sleutel (BCD)</v>
          </cell>
          <cell r="B145" t="str">
            <v>Raamovereenkomst</v>
          </cell>
          <cell r="C145" t="str">
            <v>Perceel</v>
          </cell>
          <cell r="D145" t="str">
            <v>ON_Arbeidsparticipatie</v>
          </cell>
          <cell r="E145" t="str">
            <v>Leveranciersnaam</v>
          </cell>
          <cell r="F145" t="str">
            <v>samenvoeging mailadres</v>
          </cell>
          <cell r="G145" t="str">
            <v>E-mailadres 1</v>
          </cell>
          <cell r="H145" t="str">
            <v>E-mailadres 2</v>
          </cell>
          <cell r="I145" t="str">
            <v>E-mailadres 3</v>
          </cell>
          <cell r="J145" t="str">
            <v>E-mailadres 4</v>
          </cell>
        </row>
        <row r="146">
          <cell r="C146"/>
          <cell r="D146" t="str">
            <v>Alescon</v>
          </cell>
          <cell r="E146" t="str">
            <v>Alescon</v>
          </cell>
          <cell r="F146"/>
        </row>
        <row r="147">
          <cell r="C147"/>
          <cell r="D147" t="str">
            <v>Autitalent</v>
          </cell>
          <cell r="E147" t="str">
            <v>Autitalent</v>
          </cell>
          <cell r="F147"/>
        </row>
        <row r="148">
          <cell r="C148"/>
          <cell r="D148" t="str">
            <v>Haeghe</v>
          </cell>
          <cell r="E148" t="str">
            <v>Haeghe</v>
          </cell>
          <cell r="F148"/>
        </row>
        <row r="149">
          <cell r="C149"/>
          <cell r="D149" t="str">
            <v>IBN</v>
          </cell>
          <cell r="E149" t="str">
            <v>IBN</v>
          </cell>
          <cell r="F149"/>
        </row>
        <row r="150">
          <cell r="C150"/>
          <cell r="D150" t="str">
            <v>Pernu</v>
          </cell>
          <cell r="E150" t="str">
            <v>Pernu</v>
          </cell>
          <cell r="F150"/>
        </row>
        <row r="151">
          <cell r="C151"/>
          <cell r="D151" t="str">
            <v>Promen</v>
          </cell>
          <cell r="E151" t="str">
            <v>Promen</v>
          </cell>
          <cell r="F151"/>
        </row>
        <row r="152">
          <cell r="C152"/>
          <cell r="D152" t="str">
            <v>WSD</v>
          </cell>
          <cell r="E152" t="str">
            <v>WSD</v>
          </cell>
          <cell r="F152"/>
        </row>
        <row r="153">
          <cell r="C153"/>
          <cell r="D153" t="str">
            <v>WSP</v>
          </cell>
          <cell r="E153" t="str">
            <v>WSP</v>
          </cell>
          <cell r="F153"/>
        </row>
        <row r="154">
          <cell r="A154" t="str">
            <v>1. Sleutel (BCD)</v>
          </cell>
          <cell r="B154" t="str">
            <v>Raamovereenkomst</v>
          </cell>
          <cell r="C154" t="str">
            <v>Perceel</v>
          </cell>
          <cell r="D154" t="str">
            <v>ON_Onderwijskundigen</v>
          </cell>
          <cell r="E154" t="str">
            <v>Leveranciersnaam</v>
          </cell>
          <cell r="F154" t="str">
            <v>samenvoeging mailadres</v>
          </cell>
          <cell r="G154" t="str">
            <v>E-mailadres 1</v>
          </cell>
          <cell r="H154" t="str">
            <v>E-mailadres 2</v>
          </cell>
          <cell r="I154" t="str">
            <v>E-mailadres 3</v>
          </cell>
          <cell r="J154" t="str">
            <v>E-mailadres 4</v>
          </cell>
        </row>
        <row r="155">
          <cell r="A155" t="str">
            <v>Onderwijskunde en Digitale LeermiddelenP3 Onderwijskundige dienstenEMC Advies B.V.(perc. 3)</v>
          </cell>
          <cell r="B155" t="str">
            <v>Onderwijskunde en Digitale Leermiddelen</v>
          </cell>
          <cell r="C155" t="str">
            <v>P3 Onderwijskundige diensten</v>
          </cell>
          <cell r="D155" t="str">
            <v>EMC Advies B.V.(perc. 3)</v>
          </cell>
          <cell r="E155" t="str">
            <v>EMC Advies B.V.</v>
          </cell>
          <cell r="F155" t="str">
            <v>overheid@emcperformance.nl;</v>
          </cell>
          <cell r="G155" t="str">
            <v>overheid@emcperformance.nl;</v>
          </cell>
          <cell r="K155" t="str">
            <v>EMC Advies B.V.(perc. 3)</v>
          </cell>
        </row>
        <row r="156">
          <cell r="A156" t="str">
            <v>Onderwijskunde en Digitale LeermiddelenP3 Onderwijskundige dienstenGroup Moovs B.V./Savant Learning Partners B.V.(perc. 3)</v>
          </cell>
          <cell r="B156" t="str">
            <v>Onderwijskunde en Digitale Leermiddelen</v>
          </cell>
          <cell r="C156" t="str">
            <v>P3 Onderwijskundige diensten</v>
          </cell>
          <cell r="D156" t="str">
            <v>Group Moovs B.V./Savant Learning Partners B.V.(perc. 3)</v>
          </cell>
          <cell r="E156" t="str">
            <v>Group Moovs B.V./Savant Learning Partners B.V.</v>
          </cell>
          <cell r="F156" t="str">
            <v>info@savant.nu;</v>
          </cell>
          <cell r="G156" t="str">
            <v>info@savant.nu;</v>
          </cell>
          <cell r="K156" t="str">
            <v>Savant Learning Partners B.V.(perc. 3)</v>
          </cell>
        </row>
        <row r="157">
          <cell r="A157" t="str">
            <v>Onderwijskunde en Digitale LeermiddelenP3 Onderwijskundige dienstenCINOP B.V.(perc. 3)</v>
          </cell>
          <cell r="B157" t="str">
            <v>Onderwijskunde en Digitale Leermiddelen</v>
          </cell>
          <cell r="C157" t="str">
            <v>P3 Onderwijskundige diensten</v>
          </cell>
          <cell r="D157" t="str">
            <v>CINOP B.V.(perc. 3)</v>
          </cell>
          <cell r="E157" t="str">
            <v xml:space="preserve">CINOP B.V. </v>
          </cell>
          <cell r="F157" t="str">
            <v>Tenderdesk@cinop.nl;</v>
          </cell>
          <cell r="G157" t="str">
            <v>Tenderdesk@cinop.nl;</v>
          </cell>
          <cell r="K157" t="str">
            <v>CINOP B.V.(perc. 3)</v>
          </cell>
        </row>
        <row r="158">
          <cell r="A158" t="str">
            <v>Onderwijskunde en Digitale LeermiddelenP3 Onderwijskundige dienstenTele’Train Education II B.V.(perc. 3)</v>
          </cell>
          <cell r="B158" t="str">
            <v>Onderwijskunde en Digitale Leermiddelen</v>
          </cell>
          <cell r="C158" t="str">
            <v>P3 Onderwijskundige diensten</v>
          </cell>
          <cell r="D158" t="str">
            <v>Tele’Train Education II B.V.(perc. 3)</v>
          </cell>
          <cell r="E158" t="str">
            <v>Tele’Train Education II B.V.</v>
          </cell>
          <cell r="F158" t="str">
            <v>offerte@teletrain.nl;</v>
          </cell>
          <cell r="G158" t="str">
            <v>offerte@teletrain.nl;</v>
          </cell>
          <cell r="K158" t="str">
            <v>Tele’Train Education II B.V.(perc. 3)</v>
          </cell>
        </row>
        <row r="159">
          <cell r="A159" t="str">
            <v>Onderwijskunde en Digitale LeermiddelenP3 Onderwijskundige dienstenTriamfloat B.V.(perc. 3)</v>
          </cell>
          <cell r="B159" t="str">
            <v>Onderwijskunde en Digitale Leermiddelen</v>
          </cell>
          <cell r="C159" t="str">
            <v>P3 Onderwijskundige diensten</v>
          </cell>
          <cell r="D159" t="str">
            <v>Triamfloat B.V.(perc. 3)</v>
          </cell>
          <cell r="E159" t="str">
            <v>Triamfloat B.V.</v>
          </cell>
          <cell r="F159" t="str">
            <v>Marc.van.kooten@triamfloat.nl;office@triamfloat.nl;</v>
          </cell>
          <cell r="G159" t="str">
            <v>Marc.van.kooten@triamfloat.nl;office@triamfloat.nl;</v>
          </cell>
          <cell r="K159" t="str">
            <v>Triamfloat B.V.(perc. 3)</v>
          </cell>
        </row>
        <row r="160">
          <cell r="A160" t="str">
            <v>Onderwijskunde en Digitale LeermiddelenP4 Didactische trainingsdiensten EMC Advies B.V.(perc. 4)</v>
          </cell>
          <cell r="B160" t="str">
            <v>Onderwijskunde en Digitale Leermiddelen</v>
          </cell>
          <cell r="C160" t="str">
            <v xml:space="preserve">P4 Didactische trainingsdiensten </v>
          </cell>
          <cell r="D160" t="str">
            <v>EMC Advies B.V.(perc. 4)</v>
          </cell>
          <cell r="E160" t="str">
            <v>EMC Advies B.V.</v>
          </cell>
          <cell r="F160" t="str">
            <v>overheid@emcperformance.nl;</v>
          </cell>
          <cell r="G160" t="str">
            <v>overheid@emcperformance.nl;</v>
          </cell>
          <cell r="K160" t="str">
            <v>EMC Advies B.V.(perc. 4)</v>
          </cell>
        </row>
        <row r="161">
          <cell r="A161" t="str">
            <v>Onderwijskunde en Digitale LeermiddelenP4 Didactische trainingsdiensten Group Moovs B.V./Savant Learning Partners B.V.(perc. 4)</v>
          </cell>
          <cell r="B161" t="str">
            <v>Onderwijskunde en Digitale Leermiddelen</v>
          </cell>
          <cell r="C161" t="str">
            <v xml:space="preserve">P4 Didactische trainingsdiensten </v>
          </cell>
          <cell r="D161" t="str">
            <v>Group Moovs B.V./Savant Learning Partners B.V.(perc. 4)</v>
          </cell>
          <cell r="E161" t="str">
            <v>Group Moovs B.V./Savant Learning Partners B.V.</v>
          </cell>
          <cell r="F161" t="str">
            <v>info@savant.nu;</v>
          </cell>
          <cell r="G161" t="str">
            <v>info@savant.nu;</v>
          </cell>
          <cell r="K161" t="str">
            <v>Savant Learning Partners B.V.(perc. 4)</v>
          </cell>
        </row>
        <row r="162">
          <cell r="A162" t="str">
            <v>Onderwijskunde en Digitale LeermiddelenP4 Didactische trainingsdiensten CINOP B.V.(perc. 4)</v>
          </cell>
          <cell r="B162" t="str">
            <v>Onderwijskunde en Digitale Leermiddelen</v>
          </cell>
          <cell r="C162" t="str">
            <v xml:space="preserve">P4 Didactische trainingsdiensten </v>
          </cell>
          <cell r="D162" t="str">
            <v>CINOP B.V.(perc. 4)</v>
          </cell>
          <cell r="E162" t="str">
            <v xml:space="preserve">CINOP B.V. </v>
          </cell>
          <cell r="F162" t="str">
            <v>Tenderdesk@cinop.nl;</v>
          </cell>
          <cell r="G162" t="str">
            <v>Tenderdesk@cinop.nl;</v>
          </cell>
          <cell r="K162" t="str">
            <v>CINOP B.V.(perc. 4)</v>
          </cell>
        </row>
        <row r="163">
          <cell r="A163" t="str">
            <v>Onderwijskunde en Digitale LeermiddelenP5 Maatwerk digitale leeractiviteitenBright Alley(perc. 5)</v>
          </cell>
          <cell r="B163" t="str">
            <v>Onderwijskunde en Digitale Leermiddelen</v>
          </cell>
          <cell r="C163" t="str">
            <v>P5 Maatwerk digitale leeractiviteiten</v>
          </cell>
          <cell r="D163" t="str">
            <v>Bright Alley(perc. 5)</v>
          </cell>
          <cell r="E163" t="str">
            <v>Bright Alley</v>
          </cell>
          <cell r="F163" t="str">
            <v>info@brightalley.nl;</v>
          </cell>
          <cell r="G163" t="str">
            <v>info@brightalley.nl;</v>
          </cell>
          <cell r="K163" t="str">
            <v>Bright Alley(perc. 5)</v>
          </cell>
        </row>
        <row r="164">
          <cell r="A164" t="str">
            <v>Onderwijskunde en Digitale LeermiddelenP5 Maatwerk digitale leeractiviteitenGroup Moovs B.V./Savant Learning Partners B.V.(perc. 5)</v>
          </cell>
          <cell r="B164" t="str">
            <v>Onderwijskunde en Digitale Leermiddelen</v>
          </cell>
          <cell r="C164" t="str">
            <v>P5 Maatwerk digitale leeractiviteiten</v>
          </cell>
          <cell r="D164" t="str">
            <v>Group Moovs B.V./Savant Learning Partners B.V.(perc. 5)</v>
          </cell>
          <cell r="E164" t="str">
            <v>Group Moovs B.V./Savant Learning Partners B.V.</v>
          </cell>
          <cell r="F164" t="str">
            <v>info@savant.nu;</v>
          </cell>
          <cell r="G164" t="str">
            <v>info@savant.nu;</v>
          </cell>
          <cell r="K164" t="str">
            <v>Savant Learning Partners B.V.(perc. 5)</v>
          </cell>
        </row>
        <row r="165">
          <cell r="A165" t="str">
            <v>Onderwijskunde en Digitale LeermiddelenP5 Maatwerk digitale leeractiviteitenInbrain B.V.(perc. 5)</v>
          </cell>
          <cell r="B165" t="str">
            <v>Onderwijskunde en Digitale Leermiddelen</v>
          </cell>
          <cell r="C165" t="str">
            <v>P5 Maatwerk digitale leeractiviteiten</v>
          </cell>
          <cell r="D165" t="str">
            <v>Inbrain B.V.(perc. 5)</v>
          </cell>
          <cell r="E165" t="str">
            <v>Inbrain B.V.</v>
          </cell>
          <cell r="F165" t="str">
            <v>info@inbrain.nl;</v>
          </cell>
          <cell r="G165" t="str">
            <v>info@inbrain.nl;</v>
          </cell>
          <cell r="K165" t="str">
            <v>Inbrain B.V.(perc. 5)</v>
          </cell>
        </row>
        <row r="166">
          <cell r="A166" t="str">
            <v>Onderwijskunde en Digitale LeermiddelenP5 Maatwerk digitale leeractiviteitenTele’Train Education II B.V.(perc. 5)</v>
          </cell>
          <cell r="B166" t="str">
            <v>Onderwijskunde en Digitale Leermiddelen</v>
          </cell>
          <cell r="C166" t="str">
            <v>P5 Maatwerk digitale leeractiviteiten</v>
          </cell>
          <cell r="D166" t="str">
            <v>Tele’Train Education II B.V.(perc. 5)</v>
          </cell>
          <cell r="E166" t="str">
            <v>Tele’Train Education II B.V.</v>
          </cell>
          <cell r="F166" t="str">
            <v>offerte@teletrain.nl;</v>
          </cell>
          <cell r="G166" t="str">
            <v>offerte@teletrain.nl;</v>
          </cell>
          <cell r="K166" t="str">
            <v>Tele’Train Education II B.V.(perc. 5)</v>
          </cell>
        </row>
        <row r="167">
          <cell r="A167" t="str">
            <v>Onderwijskunde en Digitale LeermiddelenP5 Maatwerk digitale leeractiviteitenUplearning B.V.(perc. 5)</v>
          </cell>
          <cell r="B167" t="str">
            <v>Onderwijskunde en Digitale Leermiddelen</v>
          </cell>
          <cell r="C167" t="str">
            <v>P5 Maatwerk digitale leeractiviteiten</v>
          </cell>
          <cell r="D167" t="str">
            <v>Uplearning B.V.(perc. 5)</v>
          </cell>
          <cell r="E167" t="str">
            <v>Uplearning B.V.</v>
          </cell>
          <cell r="F167" t="str">
            <v>sales@uplearning.nl;</v>
          </cell>
          <cell r="G167" t="str">
            <v>sales@uplearning.nl;</v>
          </cell>
          <cell r="K167" t="str">
            <v>Uplearning B.V.(perc. 5)</v>
          </cell>
        </row>
        <row r="168">
          <cell r="A168" t="str">
            <v>1. Sleutel (BCD)</v>
          </cell>
          <cell r="B168" t="str">
            <v>Raamovereenkomst</v>
          </cell>
          <cell r="C168" t="str">
            <v>Perceel</v>
          </cell>
          <cell r="D168" t="str">
            <v>ON_Vergunningverleners</v>
          </cell>
          <cell r="E168" t="str">
            <v>Leveranciersnaam</v>
          </cell>
          <cell r="F168" t="str">
            <v>samenvoeging mailadres</v>
          </cell>
          <cell r="G168" t="str">
            <v>E-mailadres 1</v>
          </cell>
          <cell r="H168" t="str">
            <v>E-mailadres 2</v>
          </cell>
          <cell r="I168" t="str">
            <v>E-mailadres 3</v>
          </cell>
          <cell r="J168" t="str">
            <v>E-mailadres 4</v>
          </cell>
        </row>
        <row r="169">
          <cell r="A169" t="str">
            <v>VergunningverlenersP1 Technische Vergunningverleners Mijnbouw voor Kernministerie EZKAntea (perc. 1)</v>
          </cell>
          <cell r="B169" t="str">
            <v>Vergunningverleners</v>
          </cell>
          <cell r="C169" t="str">
            <v>P1 Technische Vergunningverleners Mijnbouw voor Kernministerie EZK</v>
          </cell>
          <cell r="D169" t="str">
            <v>Antea (perc. 1)</v>
          </cell>
          <cell r="E169" t="str">
            <v>Antea</v>
          </cell>
          <cell r="F169" t="str">
            <v>marion.degraaf@anteagroup.nl;</v>
          </cell>
          <cell r="G169" t="str">
            <v>marion.degraaf@anteagroup.nl;</v>
          </cell>
          <cell r="H169"/>
          <cell r="I169"/>
          <cell r="J169"/>
          <cell r="K169" t="str">
            <v>Antea(P1)</v>
          </cell>
        </row>
        <row r="170">
          <cell r="A170" t="str">
            <v>VergunningverlenersP1 Technische Vergunningverleners Mijnbouw voor Kernministerie EZKWyzer (perc. 1)</v>
          </cell>
          <cell r="B170" t="str">
            <v>Vergunningverleners</v>
          </cell>
          <cell r="C170" t="str">
            <v>P1 Technische Vergunningverleners Mijnbouw voor Kernministerie EZK</v>
          </cell>
          <cell r="D170" t="str">
            <v>Wyzer (perc. 1)</v>
          </cell>
          <cell r="E170" t="str">
            <v>Wyzer Interim B.V.</v>
          </cell>
          <cell r="F170" t="str">
            <v>jkindt@wyzer.nl;</v>
          </cell>
          <cell r="G170" t="str">
            <v>jkindt@wyzer.nl;</v>
          </cell>
          <cell r="H170"/>
          <cell r="I170"/>
          <cell r="J170"/>
          <cell r="K170" t="str">
            <v>Wyzer(P1)</v>
          </cell>
        </row>
        <row r="171">
          <cell r="A171" t="str">
            <v>VergunningverlenersP1 Technische Vergunningverleners Mijnbouw voor Kernministerie EZKYER (perc. 1)</v>
          </cell>
          <cell r="B171" t="str">
            <v>Vergunningverleners</v>
          </cell>
          <cell r="C171" t="str">
            <v>P1 Technische Vergunningverleners Mijnbouw voor Kernministerie EZK</v>
          </cell>
          <cell r="D171" t="str">
            <v>YER (perc. 1)</v>
          </cell>
          <cell r="E171" t="str">
            <v>YER</v>
          </cell>
          <cell r="F171" t="str">
            <v>ezk@yer.nl;bartjespers@yer.nl;sabinekuijt@yer.nl;</v>
          </cell>
          <cell r="G171" t="str">
            <v>ezk@yer.nl;</v>
          </cell>
          <cell r="H171" t="str">
            <v>bartjespers@yer.nl;</v>
          </cell>
          <cell r="I171" t="str">
            <v>sabinekuijt@yer.nl;</v>
          </cell>
          <cell r="J171"/>
          <cell r="K171" t="str">
            <v>Yer(P1)</v>
          </cell>
        </row>
        <row r="172">
          <cell r="A172" t="str">
            <v>VergunningverlenersP2 Technische Vergunningverleners Mijnbouw voor SodMAntea (perc. 2)</v>
          </cell>
          <cell r="B172" t="str">
            <v>Vergunningverleners</v>
          </cell>
          <cell r="C172" t="str">
            <v>P2 Technische Vergunningverleners Mijnbouw voor SodM</v>
          </cell>
          <cell r="D172" t="str">
            <v>Antea (perc. 2)</v>
          </cell>
          <cell r="E172" t="str">
            <v>Antea</v>
          </cell>
          <cell r="F172" t="str">
            <v>marion.degraaf@anteagroup.nl;</v>
          </cell>
          <cell r="G172" t="str">
            <v>marion.degraaf@anteagroup.nl;</v>
          </cell>
          <cell r="H172"/>
          <cell r="I172"/>
          <cell r="J172"/>
          <cell r="K172" t="str">
            <v>Antea(P2)</v>
          </cell>
        </row>
        <row r="173">
          <cell r="A173" t="str">
            <v>VergunningverlenersP2 Technische Vergunningverleners Mijnbouw voor SodMWyzer (perc. 2)</v>
          </cell>
          <cell r="B173" t="str">
            <v>Vergunningverleners</v>
          </cell>
          <cell r="C173" t="str">
            <v>P2 Technische Vergunningverleners Mijnbouw voor SodM</v>
          </cell>
          <cell r="D173" t="str">
            <v>Wyzer (perc. 2)</v>
          </cell>
          <cell r="E173" t="str">
            <v>Wyzer Interim B.V.</v>
          </cell>
          <cell r="F173" t="str">
            <v>nkooijmans@wyzer.nl;priscilla.the@wyzer.nl;</v>
          </cell>
          <cell r="G173" t="str">
            <v>nkooijmans@wyzer.nl;</v>
          </cell>
          <cell r="H173" t="str">
            <v>priscilla.the@wyzer.nl;</v>
          </cell>
          <cell r="I173"/>
          <cell r="J173"/>
          <cell r="K173" t="str">
            <v>Wyzer(P2)</v>
          </cell>
        </row>
        <row r="174">
          <cell r="A174" t="str">
            <v>VergunningverlenersP2 Technische Vergunningverleners Mijnbouw voor SodMYER (perc. 2)</v>
          </cell>
          <cell r="B174" t="str">
            <v>Vergunningverleners</v>
          </cell>
          <cell r="C174" t="str">
            <v>P2 Technische Vergunningverleners Mijnbouw voor SodM</v>
          </cell>
          <cell r="D174" t="str">
            <v>YER (perc. 2)</v>
          </cell>
          <cell r="E174" t="str">
            <v>YER</v>
          </cell>
          <cell r="F174" t="str">
            <v>ezk@yer.nl;bartjespers@yer.nl;sabinekuijt@yer.nl;</v>
          </cell>
          <cell r="G174" t="str">
            <v>ezk@yer.nl;</v>
          </cell>
          <cell r="H174" t="str">
            <v>bartjespers@yer.nl;</v>
          </cell>
          <cell r="I174" t="str">
            <v>sabinekuijt@yer.nl;</v>
          </cell>
          <cell r="J174"/>
          <cell r="K174" t="str">
            <v>Yer(P2)</v>
          </cell>
        </row>
        <row r="175">
          <cell r="A175" t="str">
            <v>1. Sleutel (BCD)</v>
          </cell>
          <cell r="B175" t="str">
            <v>Raamovereenkomst</v>
          </cell>
          <cell r="C175" t="str">
            <v>Perceel</v>
          </cell>
          <cell r="D175" t="str">
            <v>ON_Communicatiepool</v>
          </cell>
          <cell r="E175" t="str">
            <v>Leveranciersnaam</v>
          </cell>
          <cell r="F175" t="str">
            <v>samenvoeging mailadres</v>
          </cell>
          <cell r="G175" t="str">
            <v>E-mailadres 1</v>
          </cell>
          <cell r="H175" t="str">
            <v>E-mailadres 2</v>
          </cell>
          <cell r="I175" t="str">
            <v>E-mailadres 3</v>
          </cell>
          <cell r="J175" t="str">
            <v>E-mailadres 4</v>
          </cell>
        </row>
        <row r="176">
          <cell r="C176"/>
          <cell r="D176" t="str">
            <v>DPA</v>
          </cell>
          <cell r="E176" t="str">
            <v>DPA</v>
          </cell>
          <cell r="F176"/>
        </row>
        <row r="177">
          <cell r="A177" t="str">
            <v>1. Sleutel (BCD)</v>
          </cell>
          <cell r="B177" t="str">
            <v>Raamovereenkomst</v>
          </cell>
          <cell r="C177" t="str">
            <v>Perceel</v>
          </cell>
          <cell r="D177" t="str">
            <v>ON_Milieu</v>
          </cell>
          <cell r="E177" t="str">
            <v>Leveranciersnaam</v>
          </cell>
          <cell r="F177" t="str">
            <v>samenvoeging mailadres</v>
          </cell>
          <cell r="G177" t="str">
            <v>E-mailadres 1</v>
          </cell>
          <cell r="H177" t="str">
            <v>E-mailadres 2</v>
          </cell>
          <cell r="I177" t="str">
            <v>E-mailadres 3</v>
          </cell>
          <cell r="J177" t="str">
            <v>E-mailadres 4</v>
          </cell>
          <cell r="K177"/>
        </row>
        <row r="178">
          <cell r="A178" t="str">
            <v>MilieuInspecteursN.v.t. bij MilieuInspecteursYER</v>
          </cell>
          <cell r="B178" t="str">
            <v>MilieuInspecteurs</v>
          </cell>
          <cell r="C178" t="str">
            <v>N.v.t. bij MilieuInspecteurs</v>
          </cell>
          <cell r="D178" t="str">
            <v>YER</v>
          </cell>
          <cell r="E178" t="str">
            <v>YER Nederland B.V.</v>
          </cell>
          <cell r="F178" t="str">
            <v>ezk-sodm@yer.nl;bartjespers@yer.nl;sabinekuijt@yer.nl;</v>
          </cell>
          <cell r="G178" t="str">
            <v>ezk-sodm@yer.nl;</v>
          </cell>
          <cell r="H178" t="str">
            <v>bartjespers@yer.nl;</v>
          </cell>
          <cell r="I178" t="str">
            <v>sabinekuijt@yer.nl;</v>
          </cell>
          <cell r="K178" t="str">
            <v>YER Nederland B.V.</v>
          </cell>
        </row>
        <row r="179">
          <cell r="A179" t="str">
            <v>MilieuInspecteursN.v.t. bij MilieuInspecteursStantec</v>
          </cell>
          <cell r="B179" t="str">
            <v>MilieuInspecteurs</v>
          </cell>
          <cell r="C179" t="str">
            <v>N.v.t. bij MilieuInspecteurs</v>
          </cell>
          <cell r="D179" t="str">
            <v>Stantec</v>
          </cell>
          <cell r="E179" t="str">
            <v>Stantec B.V.</v>
          </cell>
          <cell r="F179" t="str">
            <v>euaanbestedingen@stantec.com;</v>
          </cell>
          <cell r="K179" t="str">
            <v>Stantec B.V.</v>
          </cell>
        </row>
        <row r="180">
          <cell r="A180" t="str">
            <v>1. Sleutel (BCD)</v>
          </cell>
          <cell r="B180" t="str">
            <v>Raamovereenkomst</v>
          </cell>
          <cell r="C180" t="str">
            <v>Perceel</v>
          </cell>
          <cell r="D180" t="str">
            <v>ON_Digital</v>
          </cell>
          <cell r="E180" t="str">
            <v>Leveranciersnaam</v>
          </cell>
          <cell r="F180" t="str">
            <v>samenvoeging mailadres</v>
          </cell>
          <cell r="G180" t="str">
            <v>E-mailadres 1</v>
          </cell>
          <cell r="H180" t="str">
            <v>E-mailadres 2</v>
          </cell>
          <cell r="I180" t="str">
            <v>E-mailadres 3</v>
          </cell>
          <cell r="J180" t="str">
            <v>E-mailadres 4</v>
          </cell>
          <cell r="K180"/>
        </row>
        <row r="181">
          <cell r="A181" t="str">
            <v>Digital en webanalyticsN.v.t. bij Digital en webanalyticsDeloitte Consulting B.V.</v>
          </cell>
          <cell r="B181" t="str">
            <v>Digital en webanalytics</v>
          </cell>
          <cell r="C181" t="str">
            <v>N.v.t. bij Digital en webanalytics</v>
          </cell>
          <cell r="D181" t="str">
            <v>Deloitte Consulting B.V.</v>
          </cell>
          <cell r="E181" t="str">
            <v>Deloitte Consulting B.V.</v>
          </cell>
          <cell r="F181" t="str">
            <v>jvanwattingen@deloitte.nl;</v>
          </cell>
          <cell r="G181" t="str">
            <v>jvanwattingen@deloitte.nl</v>
          </cell>
          <cell r="K181" t="str">
            <v>Deloitte</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mailto:Inhuurmanagement.iv@Belastingdienst.nl" TargetMode="External"/><Relationship Id="rId7" Type="http://schemas.openxmlformats.org/officeDocument/2006/relationships/hyperlink" Target="mailto:Inhuurmanagement.iv@Belastingdienst.nl" TargetMode="External"/><Relationship Id="rId2" Type="http://schemas.openxmlformats.org/officeDocument/2006/relationships/hyperlink" Target="mailto:Inhuurmanagement.iv@Belastingdienst.nl" TargetMode="External"/><Relationship Id="rId1" Type="http://schemas.openxmlformats.org/officeDocument/2006/relationships/printerSettings" Target="../printerSettings/printerSettings3.bin"/><Relationship Id="rId6" Type="http://schemas.openxmlformats.org/officeDocument/2006/relationships/hyperlink" Target="mailto:Inhuurmanagement.iv@Belastingdienst.nl" TargetMode="External"/><Relationship Id="rId11" Type="http://schemas.openxmlformats.org/officeDocument/2006/relationships/comments" Target="../comments2.xml"/><Relationship Id="rId5" Type="http://schemas.openxmlformats.org/officeDocument/2006/relationships/hyperlink" Target="mailto:Inhuurmanagement.iv@Belastingdienst.nl" TargetMode="External"/><Relationship Id="rId10" Type="http://schemas.openxmlformats.org/officeDocument/2006/relationships/vmlDrawing" Target="../drawings/vmlDrawing2.vml"/><Relationship Id="rId4" Type="http://schemas.openxmlformats.org/officeDocument/2006/relationships/hyperlink" Target="mailto:Inhuurmanagement.iv@Belastingdienst.nl"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hyperlink" Target="mailto:rijksoverheid@goedemensen.nu" TargetMode="External"/><Relationship Id="rId2" Type="http://schemas.openxmlformats.org/officeDocument/2006/relationships/hyperlink" Target="mailto:das@dpapeoplegroup.nl" TargetMode="External"/><Relationship Id="rId1" Type="http://schemas.openxmlformats.org/officeDocument/2006/relationships/hyperlink" Target="mailto:detacheringsdesk@ortec.com" TargetMode="External"/><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U155"/>
  <sheetViews>
    <sheetView tabSelected="1" topLeftCell="B5" workbookViewId="0">
      <selection activeCell="C19" sqref="C19:F19"/>
    </sheetView>
  </sheetViews>
  <sheetFormatPr defaultColWidth="10.83203125" defaultRowHeight="17.149999999999999" customHeight="1"/>
  <cols>
    <col min="1" max="1" width="16.25" style="93" customWidth="1"/>
    <col min="2" max="2" width="41.58203125" style="121" customWidth="1"/>
    <col min="3" max="3" width="32.75" style="121" customWidth="1"/>
    <col min="4" max="4" width="19.25" style="121" customWidth="1"/>
    <col min="5" max="5" width="2" style="121" customWidth="1"/>
    <col min="6" max="6" width="13.08203125" style="121" customWidth="1"/>
    <col min="7" max="7" width="2.08203125" style="121" customWidth="1"/>
    <col min="8" max="8" width="10.83203125" style="121" customWidth="1"/>
    <col min="9" max="9" width="1.58203125" style="121" customWidth="1"/>
    <col min="10" max="10" width="10.33203125" style="361" customWidth="1"/>
    <col min="11" max="11" width="10.33203125" style="123" customWidth="1"/>
    <col min="12" max="12" width="10.33203125" style="121" customWidth="1"/>
    <col min="13" max="16384" width="10.83203125" style="121"/>
  </cols>
  <sheetData>
    <row r="1" spans="1:11" ht="25.5" customHeight="1">
      <c r="A1" s="422" t="s">
        <v>72</v>
      </c>
      <c r="B1" s="422"/>
      <c r="C1" s="416" t="s">
        <v>237</v>
      </c>
      <c r="D1" s="632">
        <v>202410166</v>
      </c>
      <c r="E1" s="633"/>
      <c r="F1" s="411"/>
      <c r="G1" s="412"/>
      <c r="H1" s="630" t="s">
        <v>1233</v>
      </c>
      <c r="I1" s="631"/>
      <c r="J1" s="437"/>
    </row>
    <row r="2" spans="1:11" ht="27" customHeight="1">
      <c r="A2" s="143" t="s">
        <v>146</v>
      </c>
      <c r="B2" s="55"/>
      <c r="C2" s="54" t="s">
        <v>359</v>
      </c>
      <c r="D2" s="639"/>
      <c r="E2" s="640"/>
      <c r="F2" s="363"/>
      <c r="G2" s="363"/>
      <c r="H2" s="363"/>
      <c r="I2" s="413"/>
      <c r="J2" s="438"/>
    </row>
    <row r="3" spans="1:11" ht="27" customHeight="1">
      <c r="A3" s="356"/>
      <c r="B3" s="357"/>
      <c r="C3" s="56" t="s">
        <v>70</v>
      </c>
      <c r="D3" s="637"/>
      <c r="E3" s="638"/>
      <c r="F3" s="363"/>
      <c r="G3" s="414"/>
      <c r="H3" s="414"/>
      <c r="I3" s="415"/>
      <c r="J3" s="437"/>
    </row>
    <row r="4" spans="1:11" ht="37.5" customHeight="1">
      <c r="A4" s="417" t="str">
        <f>CONCATENATE("AV",D1)</f>
        <v>AV202410166</v>
      </c>
      <c r="B4" s="418" t="str">
        <f>Brongegevens!A10</f>
        <v>T:\rvo\IUC\13 Inhuur derden\01. Mini-comp\01. In behandeling\</v>
      </c>
      <c r="C4" s="419"/>
      <c r="D4" s="419"/>
      <c r="E4" s="419"/>
      <c r="F4" s="420"/>
      <c r="G4" s="421"/>
      <c r="H4" s="390" t="s">
        <v>361</v>
      </c>
      <c r="I4" s="415"/>
      <c r="J4" s="437"/>
    </row>
    <row r="5" spans="1:11" ht="17.25" customHeight="1">
      <c r="A5" s="348"/>
      <c r="B5" s="349"/>
      <c r="C5" s="349"/>
      <c r="D5" s="358" t="str">
        <f>Brongegevens!F3</f>
        <v>accountteam11@rvo.nl</v>
      </c>
      <c r="E5" s="359"/>
      <c r="F5" s="360"/>
      <c r="G5" s="50"/>
      <c r="H5" s="50"/>
      <c r="I5" s="144"/>
      <c r="J5" s="437"/>
    </row>
    <row r="6" spans="1:11" ht="11.25" customHeight="1">
      <c r="A6" s="146"/>
      <c r="B6" s="136"/>
      <c r="C6" s="136"/>
      <c r="D6" s="51"/>
      <c r="E6" s="51"/>
      <c r="F6" s="50"/>
      <c r="G6" s="50"/>
      <c r="H6" s="50"/>
      <c r="I6" s="144"/>
      <c r="J6" s="437"/>
    </row>
    <row r="7" spans="1:11" ht="17.25" customHeight="1">
      <c r="A7" s="147"/>
      <c r="B7" s="86"/>
      <c r="C7" s="591" t="s">
        <v>107</v>
      </c>
      <c r="D7" s="591"/>
      <c r="E7" s="591"/>
      <c r="F7" s="591"/>
      <c r="G7" s="86"/>
      <c r="H7" s="86"/>
      <c r="I7" s="87"/>
      <c r="J7" s="437"/>
    </row>
    <row r="8" spans="1:11" ht="12.75" customHeight="1">
      <c r="A8" s="148"/>
      <c r="B8" s="49"/>
      <c r="C8" s="50"/>
      <c r="D8" s="50"/>
      <c r="E8" s="50"/>
      <c r="F8" s="50"/>
      <c r="G8" s="50"/>
      <c r="H8" s="50"/>
      <c r="I8" s="144"/>
      <c r="J8" s="437"/>
    </row>
    <row r="9" spans="1:11" ht="17.25" customHeight="1">
      <c r="A9" s="628" t="s">
        <v>18</v>
      </c>
      <c r="B9" s="629"/>
      <c r="C9" s="622" t="s">
        <v>1237</v>
      </c>
      <c r="D9" s="623"/>
      <c r="E9" s="623"/>
      <c r="F9" s="624"/>
      <c r="G9" s="50"/>
      <c r="H9" s="50"/>
      <c r="I9" s="144"/>
      <c r="J9" s="437"/>
    </row>
    <row r="10" spans="1:11" ht="17.25" customHeight="1">
      <c r="A10" s="628" t="s">
        <v>17</v>
      </c>
      <c r="B10" s="629"/>
      <c r="C10" s="625" t="s">
        <v>84</v>
      </c>
      <c r="D10" s="626"/>
      <c r="E10" s="626"/>
      <c r="F10" s="627"/>
      <c r="G10" s="50"/>
      <c r="H10" s="50"/>
      <c r="I10" s="144"/>
      <c r="J10" s="437"/>
    </row>
    <row r="11" spans="1:11" ht="17.25" customHeight="1">
      <c r="A11" s="628" t="s">
        <v>86</v>
      </c>
      <c r="B11" s="629"/>
      <c r="C11" s="625" t="s">
        <v>1253</v>
      </c>
      <c r="D11" s="626"/>
      <c r="E11" s="626"/>
      <c r="F11" s="627"/>
      <c r="G11" s="50"/>
      <c r="H11" s="50"/>
      <c r="I11" s="144"/>
      <c r="J11" s="438"/>
      <c r="K11" s="126"/>
    </row>
    <row r="12" spans="1:11" ht="15">
      <c r="A12" s="148"/>
      <c r="B12" s="49"/>
      <c r="C12" s="50"/>
      <c r="D12" s="50"/>
      <c r="E12" s="50"/>
      <c r="F12" s="50"/>
      <c r="G12" s="50"/>
      <c r="H12" s="50"/>
      <c r="I12" s="144"/>
      <c r="J12" s="437"/>
    </row>
    <row r="13" spans="1:11" ht="17.25" customHeight="1">
      <c r="A13" s="148" t="s">
        <v>60</v>
      </c>
      <c r="B13" s="51"/>
      <c r="C13" s="625" t="s">
        <v>1254</v>
      </c>
      <c r="D13" s="626"/>
      <c r="E13" s="626"/>
      <c r="F13" s="627"/>
      <c r="G13" s="50"/>
      <c r="H13" s="50"/>
      <c r="I13" s="144"/>
      <c r="J13" s="439"/>
    </row>
    <row r="14" spans="1:11" ht="17.25" customHeight="1">
      <c r="A14" s="148" t="s">
        <v>144</v>
      </c>
      <c r="B14" s="51"/>
      <c r="C14" s="634" t="s">
        <v>1255</v>
      </c>
      <c r="D14" s="635"/>
      <c r="E14" s="635"/>
      <c r="F14" s="636"/>
      <c r="G14" s="50"/>
      <c r="H14" s="50"/>
      <c r="I14" s="144"/>
      <c r="J14" s="439"/>
    </row>
    <row r="15" spans="1:11" ht="12.75" customHeight="1">
      <c r="A15" s="149"/>
      <c r="B15" s="52"/>
      <c r="C15" s="53"/>
      <c r="D15" s="53"/>
      <c r="E15" s="53"/>
      <c r="F15" s="53"/>
      <c r="G15" s="50"/>
      <c r="H15" s="50"/>
      <c r="I15" s="144"/>
    </row>
    <row r="16" spans="1:11" ht="17.25" customHeight="1">
      <c r="A16" s="147"/>
      <c r="B16" s="86"/>
      <c r="C16" s="86" t="s">
        <v>54</v>
      </c>
      <c r="D16" s="86"/>
      <c r="E16" s="86"/>
      <c r="F16" s="86"/>
      <c r="G16" s="86"/>
      <c r="H16" s="86"/>
      <c r="I16" s="87"/>
    </row>
    <row r="17" spans="1:21" ht="12.75" customHeight="1">
      <c r="A17" s="149"/>
      <c r="B17" s="52"/>
      <c r="C17" s="53"/>
      <c r="D17" s="53"/>
      <c r="E17" s="53"/>
      <c r="F17" s="53"/>
      <c r="G17" s="50"/>
      <c r="H17" s="50"/>
      <c r="I17" s="144"/>
    </row>
    <row r="18" spans="1:21" ht="17.25" customHeight="1">
      <c r="A18" s="606" t="s">
        <v>87</v>
      </c>
      <c r="B18" s="607"/>
      <c r="C18" s="625" t="s">
        <v>1268</v>
      </c>
      <c r="D18" s="626"/>
      <c r="E18" s="626"/>
      <c r="F18" s="627"/>
      <c r="G18" s="50"/>
      <c r="H18" s="50"/>
      <c r="I18" s="144"/>
    </row>
    <row r="19" spans="1:21" ht="17.25" customHeight="1">
      <c r="A19" s="606" t="s">
        <v>88</v>
      </c>
      <c r="B19" s="607"/>
      <c r="C19" s="625" t="s">
        <v>112</v>
      </c>
      <c r="D19" s="626"/>
      <c r="E19" s="626"/>
      <c r="F19" s="627"/>
      <c r="G19" s="50"/>
      <c r="H19" s="50"/>
      <c r="I19" s="144"/>
    </row>
    <row r="20" spans="1:21" ht="17.25" customHeight="1">
      <c r="A20" s="606" t="s">
        <v>89</v>
      </c>
      <c r="B20" s="607"/>
      <c r="C20" s="619" t="s">
        <v>115</v>
      </c>
      <c r="D20" s="620"/>
      <c r="E20" s="620"/>
      <c r="F20" s="621"/>
      <c r="G20" s="50"/>
      <c r="H20" s="50"/>
      <c r="I20" s="144"/>
    </row>
    <row r="21" spans="1:21" ht="17.25" customHeight="1">
      <c r="A21" s="606" t="s">
        <v>103</v>
      </c>
      <c r="B21" s="607"/>
      <c r="C21" s="625"/>
      <c r="D21" s="626"/>
      <c r="E21" s="626"/>
      <c r="F21" s="627"/>
      <c r="G21" s="50"/>
      <c r="H21" s="50"/>
      <c r="I21" s="144"/>
    </row>
    <row r="22" spans="1:21" ht="17.25" customHeight="1">
      <c r="A22" s="606" t="s">
        <v>947</v>
      </c>
      <c r="B22" s="607"/>
      <c r="C22" s="616">
        <v>11</v>
      </c>
      <c r="D22" s="617"/>
      <c r="E22" s="617"/>
      <c r="F22" s="618"/>
      <c r="G22" s="50"/>
      <c r="H22" s="50"/>
      <c r="I22" s="144"/>
    </row>
    <row r="23" spans="1:21" ht="15" customHeight="1">
      <c r="A23" s="149"/>
      <c r="B23" s="52"/>
      <c r="C23" s="53"/>
      <c r="D23" s="53"/>
      <c r="E23" s="53"/>
      <c r="F23" s="53"/>
      <c r="G23" s="50"/>
      <c r="H23" s="50"/>
      <c r="I23" s="144"/>
    </row>
    <row r="24" spans="1:21" ht="153.75" customHeight="1">
      <c r="A24" s="606" t="s">
        <v>56</v>
      </c>
      <c r="B24" s="607"/>
      <c r="C24" s="613" t="s">
        <v>1263</v>
      </c>
      <c r="D24" s="614"/>
      <c r="E24" s="614"/>
      <c r="F24" s="614"/>
      <c r="G24" s="614"/>
      <c r="H24" s="615"/>
      <c r="I24" s="144"/>
      <c r="K24" s="440"/>
      <c r="L24" s="361"/>
      <c r="M24" s="361"/>
      <c r="N24" s="361"/>
      <c r="O24" s="361"/>
      <c r="P24" s="361"/>
      <c r="Q24" s="361"/>
      <c r="R24" s="361"/>
      <c r="S24" s="361"/>
      <c r="T24" s="361"/>
      <c r="U24" s="361"/>
    </row>
    <row r="25" spans="1:21" ht="15">
      <c r="A25" s="149"/>
      <c r="B25" s="52"/>
      <c r="C25" s="50"/>
      <c r="D25" s="134"/>
      <c r="E25" s="134"/>
      <c r="F25" s="134"/>
      <c r="G25" s="50"/>
      <c r="H25" s="50"/>
      <c r="I25" s="144"/>
      <c r="K25" s="440"/>
      <c r="L25" s="361"/>
      <c r="M25" s="361"/>
      <c r="N25" s="361"/>
      <c r="O25" s="361"/>
      <c r="P25" s="361"/>
      <c r="Q25" s="361"/>
      <c r="R25" s="361"/>
      <c r="S25" s="361"/>
      <c r="T25" s="361"/>
      <c r="U25" s="361"/>
    </row>
    <row r="26" spans="1:21" ht="137.25" customHeight="1">
      <c r="A26" s="606" t="s">
        <v>55</v>
      </c>
      <c r="B26" s="607"/>
      <c r="C26" s="613" t="s">
        <v>1256</v>
      </c>
      <c r="D26" s="614"/>
      <c r="E26" s="614"/>
      <c r="F26" s="614"/>
      <c r="G26" s="614"/>
      <c r="H26" s="615"/>
      <c r="I26" s="144"/>
      <c r="K26" s="440"/>
      <c r="L26" s="361"/>
      <c r="M26" s="361"/>
      <c r="N26" s="361"/>
      <c r="O26" s="361"/>
      <c r="P26" s="361"/>
      <c r="Q26" s="361"/>
      <c r="R26" s="361"/>
      <c r="S26" s="361"/>
      <c r="T26" s="361"/>
      <c r="U26" s="361"/>
    </row>
    <row r="27" spans="1:21" ht="15">
      <c r="A27" s="149"/>
      <c r="B27" s="52"/>
      <c r="C27" s="50"/>
      <c r="D27" s="134"/>
      <c r="E27" s="134"/>
      <c r="F27" s="134"/>
      <c r="G27" s="50"/>
      <c r="H27" s="50"/>
      <c r="I27" s="144"/>
      <c r="K27" s="440"/>
      <c r="L27" s="361"/>
      <c r="M27" s="361"/>
      <c r="N27" s="361"/>
      <c r="O27" s="361"/>
      <c r="P27" s="361"/>
      <c r="Q27" s="361"/>
      <c r="R27" s="361"/>
      <c r="S27" s="361"/>
      <c r="T27" s="361"/>
      <c r="U27" s="361"/>
    </row>
    <row r="28" spans="1:21" ht="404.25" customHeight="1">
      <c r="A28" s="609" t="s">
        <v>36</v>
      </c>
      <c r="B28" s="607"/>
      <c r="C28" s="610" t="str">
        <f>IF(C10="","",VLOOKUP(C10,Brongegevens!D3:G14,4,FALSE))</f>
        <v xml:space="preserve">Vandaag werken aan de wereld van morgen
De wereld verandert elke dag en wij veranderen mee. Met meer dan 6000 RVO’ers werken we iedere dag aan morgen. We ondersteunen, adviseren en stimuleren ondernemend Nederland. We helpen met innoveren en verduurzamen. Nationaal en internationaal, want ons werk stopt niet bij de grens. Samen werken we aan: 
- De verduurzaming van onze energievoorzieningen.
- Het tegengaan van klimaatverandering. 
- Een omslag naar een duurzaam landbouw- en voedselsysteem.
- Een sterke digitale economie.
Het zijn grote uitdagingen, maar wij geloven dat het mogelijk is. Daarom verbinden we ondernemers, overheden en organisaties om te bouwen aan het Nederland van morgen. 
We doen het samen. 
Wat doen we?
Wij maken overheidsbeleid bereikbaar en uitvoerbaar. Van voorlichting, advies en financiering tot het bieden van een luisterend oor voor ondernemers en organisaties. En dat is nog maar een klein onderdeel van wat we doen. Ondernemend Nederland is ontzettend veelzijdig en daarom zijn wij dat ook.
Divers maakt beter
Met enorme uitdagingen op komst, is het juiste talent aan boord hebben belangrijk. Het maakt bij ons niet uit wie je bent. Wij kijken naar wat je kunt en waar jouw ambities liggen. Om de wereld duurzamer te maken hebben we ideeën nodig uit alle hoeken van de samenleving. Daarom hebben we voor iedereen plaats bij RVO, zolang je maar nieuwsgierig en ondernemend bent. We geven je vertrouwen, vrijheid en verantwoordelijkheid. Want zo boek jij de mooiste resultaten. Voor jezelf, voor ondernemers en voor morgen. </v>
      </c>
      <c r="D28" s="611"/>
      <c r="E28" s="611"/>
      <c r="F28" s="611"/>
      <c r="G28" s="611"/>
      <c r="H28" s="612"/>
      <c r="I28" s="144"/>
      <c r="K28" s="440"/>
      <c r="L28" s="361"/>
      <c r="M28" s="361"/>
      <c r="N28" s="361"/>
      <c r="O28" s="361"/>
      <c r="P28" s="361"/>
      <c r="Q28" s="361"/>
      <c r="R28" s="361"/>
      <c r="S28" s="361"/>
      <c r="T28" s="361"/>
      <c r="U28" s="361"/>
    </row>
    <row r="29" spans="1:21" ht="12.75" customHeight="1">
      <c r="A29" s="150"/>
      <c r="B29" s="58"/>
      <c r="C29" s="58"/>
      <c r="D29" s="58"/>
      <c r="E29" s="58"/>
      <c r="F29" s="58"/>
      <c r="G29" s="58"/>
      <c r="H29" s="58"/>
      <c r="I29" s="151"/>
      <c r="K29" s="440"/>
      <c r="L29" s="361"/>
      <c r="M29" s="361"/>
      <c r="N29" s="361"/>
      <c r="O29" s="361"/>
      <c r="P29" s="361"/>
      <c r="Q29" s="361"/>
      <c r="R29" s="361"/>
      <c r="S29" s="361"/>
      <c r="T29" s="361"/>
      <c r="U29" s="361"/>
    </row>
    <row r="30" spans="1:21" ht="17.25" customHeight="1">
      <c r="A30" s="147"/>
      <c r="B30" s="140"/>
      <c r="C30" s="591" t="s">
        <v>19</v>
      </c>
      <c r="D30" s="591"/>
      <c r="E30" s="591"/>
      <c r="F30" s="591"/>
      <c r="G30" s="86"/>
      <c r="H30" s="86"/>
      <c r="I30" s="87"/>
      <c r="K30" s="440"/>
      <c r="L30" s="361"/>
      <c r="M30" s="361"/>
      <c r="N30" s="361"/>
      <c r="O30" s="361"/>
      <c r="P30" s="361"/>
      <c r="Q30" s="361"/>
      <c r="R30" s="361"/>
      <c r="S30" s="361"/>
      <c r="T30" s="361"/>
      <c r="U30" s="361"/>
    </row>
    <row r="31" spans="1:21" ht="12.75" customHeight="1">
      <c r="A31" s="149"/>
      <c r="B31" s="142"/>
      <c r="C31" s="53"/>
      <c r="D31" s="53"/>
      <c r="E31" s="53"/>
      <c r="F31" s="53"/>
      <c r="G31" s="50"/>
      <c r="H31" s="50"/>
      <c r="I31" s="144"/>
    </row>
    <row r="32" spans="1:21" s="106" customFormat="1" ht="23">
      <c r="A32" s="152"/>
      <c r="B32" s="141" t="s">
        <v>117</v>
      </c>
      <c r="C32" s="59" t="s">
        <v>8</v>
      </c>
      <c r="D32" s="60"/>
      <c r="E32" s="60"/>
      <c r="F32" s="61" t="s">
        <v>43</v>
      </c>
      <c r="G32" s="50"/>
      <c r="H32" s="50"/>
      <c r="I32" s="144"/>
      <c r="J32" s="364"/>
      <c r="K32" s="123"/>
    </row>
    <row r="33" spans="1:16" s="106" customFormat="1" ht="25.5" customHeight="1">
      <c r="A33" s="153"/>
      <c r="B33" s="135"/>
      <c r="C33" s="581" t="s">
        <v>1265</v>
      </c>
      <c r="D33" s="584"/>
      <c r="E33" s="62"/>
      <c r="F33" s="97">
        <v>2</v>
      </c>
      <c r="G33" s="50"/>
      <c r="H33" s="50"/>
      <c r="I33" s="144"/>
      <c r="K33" s="364"/>
      <c r="L33" s="122"/>
    </row>
    <row r="34" spans="1:16" s="106" customFormat="1" ht="25.5" customHeight="1">
      <c r="A34" s="603"/>
      <c r="B34" s="608"/>
      <c r="C34" s="582" t="s">
        <v>1266</v>
      </c>
      <c r="D34" s="583"/>
      <c r="E34" s="62"/>
      <c r="F34" s="97">
        <v>2</v>
      </c>
      <c r="G34" s="50"/>
      <c r="H34" s="50"/>
      <c r="I34" s="144"/>
      <c r="K34" s="364"/>
      <c r="L34" s="122"/>
    </row>
    <row r="35" spans="1:16" s="106" customFormat="1" ht="25.5" customHeight="1">
      <c r="A35" s="603"/>
      <c r="B35" s="604"/>
      <c r="C35" s="582"/>
      <c r="D35" s="583"/>
      <c r="E35" s="62"/>
      <c r="F35" s="97"/>
      <c r="G35" s="50"/>
      <c r="H35" s="50"/>
      <c r="I35" s="144"/>
      <c r="K35" s="364"/>
      <c r="L35" s="122"/>
    </row>
    <row r="36" spans="1:16" s="106" customFormat="1" ht="25.5" customHeight="1">
      <c r="A36" s="154"/>
      <c r="B36" s="137"/>
      <c r="C36" s="582"/>
      <c r="D36" s="583"/>
      <c r="E36" s="62"/>
      <c r="F36" s="97"/>
      <c r="G36" s="50"/>
      <c r="H36" s="50"/>
      <c r="I36" s="144"/>
      <c r="K36" s="364"/>
      <c r="L36" s="122"/>
    </row>
    <row r="37" spans="1:16" s="106" customFormat="1" ht="25.5" customHeight="1">
      <c r="A37" s="154"/>
      <c r="B37" s="137"/>
      <c r="C37" s="582"/>
      <c r="D37" s="583"/>
      <c r="E37" s="62"/>
      <c r="F37" s="97"/>
      <c r="G37" s="50"/>
      <c r="H37" s="50"/>
      <c r="I37" s="144"/>
      <c r="J37" s="364"/>
      <c r="K37" s="122"/>
    </row>
    <row r="38" spans="1:16" s="106" customFormat="1" ht="25.5" customHeight="1">
      <c r="A38" s="154"/>
      <c r="B38" s="137"/>
      <c r="C38" s="582"/>
      <c r="D38" s="583"/>
      <c r="E38" s="62"/>
      <c r="F38" s="97"/>
      <c r="G38" s="50"/>
      <c r="H38" s="50"/>
      <c r="I38" s="144"/>
      <c r="J38" s="364"/>
      <c r="K38" s="122"/>
    </row>
    <row r="39" spans="1:16" s="106" customFormat="1" ht="25.5" customHeight="1">
      <c r="A39" s="155"/>
      <c r="B39" s="135"/>
      <c r="C39" s="581"/>
      <c r="D39" s="581"/>
      <c r="E39" s="62"/>
      <c r="F39" s="97"/>
      <c r="G39" s="50"/>
      <c r="H39" s="50"/>
      <c r="I39" s="144"/>
      <c r="J39" s="364"/>
      <c r="K39" s="122"/>
    </row>
    <row r="40" spans="1:16" s="106" customFormat="1" ht="25.5" customHeight="1">
      <c r="A40" s="148"/>
      <c r="B40" s="49"/>
      <c r="C40" s="581"/>
      <c r="D40" s="581"/>
      <c r="E40" s="62"/>
      <c r="F40" s="97"/>
      <c r="G40" s="50"/>
      <c r="H40" s="50"/>
      <c r="I40" s="144"/>
      <c r="J40" s="364"/>
      <c r="K40" s="122"/>
    </row>
    <row r="41" spans="1:16" s="106" customFormat="1" ht="25.5" customHeight="1">
      <c r="A41" s="148"/>
      <c r="B41" s="49"/>
      <c r="C41" s="581"/>
      <c r="D41" s="581"/>
      <c r="E41" s="62"/>
      <c r="F41" s="97"/>
      <c r="G41" s="50"/>
      <c r="H41" s="50"/>
      <c r="I41" s="144"/>
      <c r="J41" s="364"/>
      <c r="K41" s="122"/>
    </row>
    <row r="42" spans="1:16" s="106" customFormat="1" ht="18" customHeight="1">
      <c r="A42" s="148"/>
      <c r="B42" s="49"/>
      <c r="C42" s="59" t="s">
        <v>116</v>
      </c>
      <c r="D42" s="60"/>
      <c r="E42" s="60"/>
      <c r="F42" s="605"/>
      <c r="G42" s="605"/>
      <c r="H42" s="605"/>
      <c r="I42" s="144"/>
      <c r="J42" s="364"/>
      <c r="K42" s="122"/>
    </row>
    <row r="43" spans="1:16" s="106" customFormat="1" ht="25.5" customHeight="1">
      <c r="A43" s="155"/>
      <c r="B43" s="63" t="s">
        <v>118</v>
      </c>
      <c r="C43" s="581" t="s">
        <v>1257</v>
      </c>
      <c r="D43" s="584"/>
      <c r="E43" s="62"/>
      <c r="F43" s="49"/>
      <c r="G43" s="49"/>
      <c r="H43" s="49"/>
      <c r="I43" s="144"/>
      <c r="J43" s="364"/>
      <c r="K43" s="122"/>
    </row>
    <row r="44" spans="1:16" s="106" customFormat="1" ht="25.5" customHeight="1">
      <c r="A44" s="148"/>
      <c r="B44" s="49"/>
      <c r="C44" s="582"/>
      <c r="D44" s="583"/>
      <c r="E44" s="62"/>
      <c r="F44" s="49"/>
      <c r="G44" s="49"/>
      <c r="H44" s="49"/>
      <c r="I44" s="144" t="s">
        <v>63</v>
      </c>
      <c r="J44" s="364"/>
      <c r="K44" s="122"/>
    </row>
    <row r="45" spans="1:16" s="106" customFormat="1" ht="25.5" customHeight="1">
      <c r="A45" s="148"/>
      <c r="B45" s="49"/>
      <c r="C45" s="582"/>
      <c r="D45" s="583"/>
      <c r="E45" s="62"/>
      <c r="F45" s="49"/>
      <c r="G45" s="49"/>
      <c r="H45" s="49"/>
      <c r="I45" s="144"/>
      <c r="J45" s="364"/>
      <c r="K45" s="122"/>
    </row>
    <row r="46" spans="1:16" s="106" customFormat="1" ht="25.5" customHeight="1">
      <c r="A46" s="148"/>
      <c r="B46" s="49"/>
      <c r="C46" s="581"/>
      <c r="D46" s="584"/>
      <c r="E46" s="62"/>
      <c r="F46" s="49"/>
      <c r="G46" s="49"/>
      <c r="H46" s="49"/>
      <c r="I46" s="144"/>
      <c r="J46" s="364"/>
      <c r="K46" s="122"/>
      <c r="P46" s="467"/>
    </row>
    <row r="47" spans="1:16" ht="6" customHeight="1">
      <c r="A47" s="148"/>
      <c r="B47" s="49"/>
      <c r="C47" s="50"/>
      <c r="D47" s="50"/>
      <c r="E47" s="50"/>
      <c r="F47" s="49"/>
      <c r="G47" s="49"/>
      <c r="H47" s="49"/>
      <c r="I47" s="144"/>
    </row>
    <row r="48" spans="1:16" s="106" customFormat="1" ht="25.5" customHeight="1">
      <c r="A48" s="148"/>
      <c r="B48" s="135" t="s">
        <v>39</v>
      </c>
      <c r="C48" s="581" t="s">
        <v>1258</v>
      </c>
      <c r="D48" s="581"/>
      <c r="E48" s="62"/>
      <c r="F48" s="49"/>
      <c r="G48" s="49"/>
      <c r="H48" s="49"/>
      <c r="I48" s="144"/>
      <c r="J48" s="364"/>
      <c r="K48" s="122"/>
    </row>
    <row r="49" spans="1:11" s="106" customFormat="1" ht="25.5" customHeight="1">
      <c r="A49" s="148"/>
      <c r="B49" s="64"/>
      <c r="C49" s="644"/>
      <c r="D49" s="644"/>
      <c r="E49" s="62"/>
      <c r="F49" s="49"/>
      <c r="G49" s="49"/>
      <c r="H49" s="49"/>
      <c r="I49" s="144"/>
      <c r="J49" s="364"/>
      <c r="K49" s="122"/>
    </row>
    <row r="50" spans="1:11" s="106" customFormat="1" ht="25.5" customHeight="1">
      <c r="A50" s="148"/>
      <c r="B50" s="49"/>
      <c r="C50" s="581"/>
      <c r="D50" s="581"/>
      <c r="E50" s="62"/>
      <c r="F50" s="49"/>
      <c r="G50" s="49"/>
      <c r="H50" s="49"/>
      <c r="I50" s="144"/>
      <c r="J50" s="364"/>
      <c r="K50" s="122"/>
    </row>
    <row r="51" spans="1:11" s="106" customFormat="1" ht="10" customHeight="1" thickBot="1">
      <c r="A51" s="156"/>
      <c r="B51" s="65"/>
      <c r="C51" s="65"/>
      <c r="D51" s="65"/>
      <c r="E51" s="65"/>
      <c r="F51" s="65"/>
      <c r="G51" s="65"/>
      <c r="H51" s="65"/>
      <c r="I51" s="157"/>
      <c r="J51" s="364"/>
      <c r="K51" s="122"/>
    </row>
    <row r="52" spans="1:11" s="106" customFormat="1" ht="10" customHeight="1">
      <c r="A52" s="158"/>
      <c r="B52" s="49"/>
      <c r="C52" s="49"/>
      <c r="D52" s="49"/>
      <c r="E52" s="49"/>
      <c r="F52" s="49"/>
      <c r="G52" s="49"/>
      <c r="H52" s="49"/>
      <c r="I52" s="159"/>
      <c r="J52" s="364"/>
      <c r="K52" s="122"/>
    </row>
    <row r="53" spans="1:11" s="106" customFormat="1" ht="21.75" customHeight="1">
      <c r="A53" s="148"/>
      <c r="B53" s="428" t="s">
        <v>362</v>
      </c>
      <c r="C53" s="59" t="s">
        <v>20</v>
      </c>
      <c r="D53" s="66"/>
      <c r="E53" s="66"/>
      <c r="F53" s="67"/>
      <c r="G53" s="50"/>
      <c r="H53" s="50"/>
      <c r="I53" s="144"/>
      <c r="J53" s="364"/>
      <c r="K53" s="122"/>
    </row>
    <row r="54" spans="1:11" s="106" customFormat="1" ht="25.5" customHeight="1">
      <c r="A54" s="155"/>
      <c r="B54" s="135" t="s">
        <v>69</v>
      </c>
      <c r="C54" s="581" t="s">
        <v>1264</v>
      </c>
      <c r="D54" s="584"/>
      <c r="E54" s="62"/>
      <c r="F54" s="67"/>
      <c r="G54" s="50"/>
      <c r="H54" s="50"/>
      <c r="I54" s="144"/>
      <c r="J54" s="364"/>
    </row>
    <row r="55" spans="1:11" s="106" customFormat="1" ht="25.5" customHeight="1">
      <c r="A55" s="155"/>
      <c r="B55" s="135"/>
      <c r="C55" s="582" t="s">
        <v>1259</v>
      </c>
      <c r="D55" s="583"/>
      <c r="E55" s="62"/>
      <c r="F55" s="67"/>
      <c r="G55" s="50"/>
      <c r="H55" s="50"/>
      <c r="I55" s="144"/>
      <c r="J55" s="122"/>
    </row>
    <row r="56" spans="1:11" s="106" customFormat="1" ht="25.5" customHeight="1">
      <c r="A56" s="148"/>
      <c r="B56" s="135"/>
      <c r="C56" s="582" t="s">
        <v>1260</v>
      </c>
      <c r="D56" s="583"/>
      <c r="E56" s="62"/>
      <c r="F56" s="605" t="s">
        <v>42</v>
      </c>
      <c r="G56" s="605"/>
      <c r="H56" s="605"/>
      <c r="I56" s="144"/>
    </row>
    <row r="57" spans="1:11" s="106" customFormat="1" ht="25.5" customHeight="1">
      <c r="A57" s="148"/>
      <c r="B57" s="135"/>
      <c r="C57" s="582" t="s">
        <v>1261</v>
      </c>
      <c r="D57" s="583"/>
      <c r="E57" s="62"/>
      <c r="F57" s="605"/>
      <c r="G57" s="605"/>
      <c r="H57" s="605"/>
      <c r="I57" s="144"/>
      <c r="J57" s="122"/>
    </row>
    <row r="58" spans="1:11" s="106" customFormat="1" ht="25.5" customHeight="1">
      <c r="A58" s="148"/>
      <c r="B58" s="135"/>
      <c r="C58" s="581"/>
      <c r="D58" s="581"/>
      <c r="E58" s="62"/>
      <c r="F58" s="605"/>
      <c r="G58" s="605"/>
      <c r="H58" s="605"/>
      <c r="I58" s="144"/>
      <c r="J58" s="122"/>
    </row>
    <row r="59" spans="1:11" s="106" customFormat="1" ht="21" customHeight="1">
      <c r="A59" s="148"/>
      <c r="B59" s="49"/>
      <c r="C59" s="59" t="s">
        <v>9</v>
      </c>
      <c r="D59" s="66"/>
      <c r="E59" s="66"/>
      <c r="F59" s="648"/>
      <c r="G59" s="648"/>
      <c r="H59" s="648"/>
      <c r="I59" s="144"/>
      <c r="J59" s="122"/>
    </row>
    <row r="60" spans="1:11" s="106" customFormat="1" ht="25.5" customHeight="1">
      <c r="A60" s="152"/>
      <c r="B60" s="135" t="s">
        <v>11</v>
      </c>
      <c r="C60" s="581" t="s">
        <v>1262</v>
      </c>
      <c r="D60" s="581"/>
      <c r="E60" s="62"/>
      <c r="F60" s="581"/>
      <c r="G60" s="581"/>
      <c r="H60" s="581"/>
      <c r="I60" s="144"/>
      <c r="J60" s="122"/>
    </row>
    <row r="61" spans="1:11" s="106" customFormat="1" ht="25.5" customHeight="1">
      <c r="A61" s="148"/>
      <c r="B61" s="49"/>
      <c r="C61" s="581"/>
      <c r="D61" s="581"/>
      <c r="E61" s="62"/>
      <c r="F61" s="581"/>
      <c r="G61" s="581"/>
      <c r="H61" s="581"/>
      <c r="I61" s="144"/>
      <c r="J61" s="364"/>
      <c r="K61" s="122"/>
    </row>
    <row r="62" spans="1:11" s="106" customFormat="1" ht="25.5" customHeight="1">
      <c r="A62" s="148"/>
      <c r="B62" s="49"/>
      <c r="C62" s="581"/>
      <c r="D62" s="581"/>
      <c r="E62" s="62"/>
      <c r="F62" s="581"/>
      <c r="G62" s="581"/>
      <c r="H62" s="581"/>
      <c r="I62" s="144"/>
      <c r="J62" s="364"/>
      <c r="K62" s="122"/>
    </row>
    <row r="63" spans="1:11" s="106" customFormat="1" ht="25.5" customHeight="1">
      <c r="A63" s="148"/>
      <c r="B63" s="49"/>
      <c r="C63" s="581"/>
      <c r="D63" s="581"/>
      <c r="E63" s="62"/>
      <c r="F63" s="581"/>
      <c r="G63" s="581"/>
      <c r="H63" s="581"/>
      <c r="I63" s="144"/>
      <c r="J63" s="364"/>
      <c r="K63" s="122"/>
    </row>
    <row r="64" spans="1:11" s="106" customFormat="1" ht="25.5" customHeight="1">
      <c r="A64" s="148"/>
      <c r="B64" s="49"/>
      <c r="C64" s="581"/>
      <c r="D64" s="581"/>
      <c r="E64" s="62"/>
      <c r="F64" s="581"/>
      <c r="G64" s="581"/>
      <c r="H64" s="581"/>
      <c r="I64" s="144"/>
      <c r="J64" s="364"/>
      <c r="K64" s="122"/>
    </row>
    <row r="65" spans="1:12" ht="6" customHeight="1">
      <c r="A65" s="148"/>
      <c r="B65" s="49"/>
      <c r="C65" s="50"/>
      <c r="D65" s="50"/>
      <c r="E65" s="50"/>
      <c r="F65" s="50"/>
      <c r="G65" s="50"/>
      <c r="H65" s="50"/>
      <c r="I65" s="144"/>
    </row>
    <row r="66" spans="1:12" s="106" customFormat="1" ht="25.5" customHeight="1">
      <c r="A66" s="155"/>
      <c r="B66" s="135" t="s">
        <v>10</v>
      </c>
      <c r="C66" s="581"/>
      <c r="D66" s="581"/>
      <c r="E66" s="62"/>
      <c r="F66" s="67"/>
      <c r="G66" s="50"/>
      <c r="H66" s="50"/>
      <c r="I66" s="144"/>
      <c r="J66" s="364"/>
      <c r="K66" s="122"/>
    </row>
    <row r="67" spans="1:12" s="106" customFormat="1" ht="25.5" customHeight="1">
      <c r="A67" s="155"/>
      <c r="B67" s="135"/>
      <c r="C67" s="585"/>
      <c r="D67" s="587"/>
      <c r="E67" s="62"/>
      <c r="F67" s="67"/>
      <c r="G67" s="50"/>
      <c r="H67" s="50"/>
      <c r="I67" s="144"/>
      <c r="J67" s="364"/>
      <c r="K67" s="122"/>
    </row>
    <row r="68" spans="1:12" s="106" customFormat="1" ht="25.5" customHeight="1">
      <c r="A68" s="155"/>
      <c r="B68" s="135"/>
      <c r="C68" s="585"/>
      <c r="D68" s="587"/>
      <c r="E68" s="62"/>
      <c r="F68" s="67"/>
      <c r="G68" s="50"/>
      <c r="H68" s="50"/>
      <c r="I68" s="144"/>
      <c r="J68" s="364"/>
      <c r="K68" s="122"/>
    </row>
    <row r="69" spans="1:12" s="106" customFormat="1" ht="25.5" customHeight="1">
      <c r="A69" s="155"/>
      <c r="B69" s="135"/>
      <c r="C69" s="581"/>
      <c r="D69" s="581"/>
      <c r="E69" s="62"/>
      <c r="F69" s="67"/>
      <c r="G69" s="50"/>
      <c r="H69" s="50"/>
      <c r="I69" s="144"/>
      <c r="J69" s="364"/>
      <c r="K69" s="122"/>
    </row>
    <row r="70" spans="1:12" s="106" customFormat="1" ht="12.75" customHeight="1">
      <c r="A70" s="160"/>
      <c r="B70" s="68"/>
      <c r="C70" s="69"/>
      <c r="D70" s="70"/>
      <c r="E70" s="70"/>
      <c r="F70" s="70"/>
      <c r="G70" s="69"/>
      <c r="H70" s="69"/>
      <c r="I70" s="161"/>
      <c r="J70" s="364"/>
      <c r="K70" s="127"/>
      <c r="L70" s="128"/>
    </row>
    <row r="71" spans="1:12" ht="17.25" customHeight="1">
      <c r="A71" s="147"/>
      <c r="B71" s="86"/>
      <c r="C71" s="591" t="s">
        <v>123</v>
      </c>
      <c r="D71" s="591"/>
      <c r="E71" s="591"/>
      <c r="F71" s="591"/>
      <c r="G71" s="86"/>
      <c r="H71" s="86"/>
      <c r="I71" s="87"/>
    </row>
    <row r="72" spans="1:12" ht="12.75" customHeight="1">
      <c r="A72" s="148"/>
      <c r="B72" s="71"/>
      <c r="C72" s="71"/>
      <c r="D72" s="71"/>
      <c r="E72" s="71"/>
      <c r="F72" s="71"/>
      <c r="G72" s="71"/>
      <c r="H72" s="71"/>
      <c r="I72" s="162"/>
    </row>
    <row r="73" spans="1:12" ht="20.25" customHeight="1">
      <c r="A73" s="152" t="s">
        <v>125</v>
      </c>
      <c r="B73" s="50" t="s">
        <v>32</v>
      </c>
      <c r="C73" s="94">
        <v>2</v>
      </c>
      <c r="D73" s="74"/>
      <c r="E73" s="74"/>
      <c r="F73" s="74"/>
      <c r="G73" s="74"/>
      <c r="H73" s="74"/>
      <c r="I73" s="163"/>
    </row>
    <row r="74" spans="1:12" ht="15">
      <c r="A74" s="152"/>
      <c r="B74" s="50"/>
      <c r="C74" s="50"/>
      <c r="D74" s="74"/>
      <c r="E74" s="74"/>
      <c r="F74" s="74"/>
      <c r="G74" s="74"/>
      <c r="H74" s="74"/>
      <c r="I74" s="163"/>
    </row>
    <row r="75" spans="1:12" ht="75" customHeight="1">
      <c r="A75" s="152"/>
      <c r="B75" s="88" t="s">
        <v>132</v>
      </c>
      <c r="C75" s="592" t="s">
        <v>157</v>
      </c>
      <c r="D75" s="592"/>
      <c r="E75" s="592"/>
      <c r="F75" s="592"/>
      <c r="G75" s="74"/>
      <c r="H75" s="74"/>
      <c r="I75" s="163"/>
    </row>
    <row r="76" spans="1:12" ht="15">
      <c r="A76" s="148"/>
      <c r="B76" s="52"/>
      <c r="C76" s="50"/>
      <c r="D76" s="134"/>
      <c r="E76" s="134"/>
      <c r="F76" s="134"/>
      <c r="G76" s="50"/>
      <c r="H76" s="50"/>
      <c r="I76" s="144"/>
    </row>
    <row r="77" spans="1:12" s="106" customFormat="1" ht="81" customHeight="1">
      <c r="A77" s="148"/>
      <c r="B77" s="53" t="s">
        <v>143</v>
      </c>
      <c r="C77" s="592" t="str">
        <f>IF(C19="","",VLOOKUP(C19,Brongegevens!AN3:AO25,2,FALSE))</f>
        <v xml:space="preserve">Er wordt gegund op grond van de economisch meest voordelige inschrijving, EMVI, op basis van beste prijs-kwaliteitverhouding. </v>
      </c>
      <c r="D77" s="592"/>
      <c r="E77" s="592"/>
      <c r="F77" s="592"/>
      <c r="G77" s="79"/>
      <c r="H77" s="79"/>
      <c r="I77" s="144"/>
      <c r="J77" s="364"/>
      <c r="K77" s="123"/>
    </row>
    <row r="78" spans="1:12" ht="15">
      <c r="A78" s="148" t="s">
        <v>202</v>
      </c>
      <c r="B78" s="169"/>
      <c r="C78" s="212" t="s">
        <v>203</v>
      </c>
      <c r="D78" s="71"/>
      <c r="E78" s="71"/>
      <c r="F78" s="71"/>
      <c r="G78" s="71"/>
      <c r="H78" s="71"/>
      <c r="I78" s="162"/>
    </row>
    <row r="79" spans="1:12" ht="17.25" customHeight="1">
      <c r="A79" s="148"/>
      <c r="B79" s="213" t="str">
        <f>IFERROR(VLOOKUP(C19,Brongegevens!AP3:AQ23,2,0),"")</f>
        <v>Prijs</v>
      </c>
      <c r="C79" s="94">
        <v>0</v>
      </c>
      <c r="D79" s="74"/>
      <c r="E79" s="74"/>
      <c r="F79" s="90">
        <f>(C79)/100</f>
        <v>0</v>
      </c>
      <c r="G79" s="74"/>
      <c r="H79" s="74"/>
      <c r="I79" s="163"/>
    </row>
    <row r="80" spans="1:12" ht="17.25" customHeight="1">
      <c r="A80" s="148"/>
      <c r="B80" s="213" t="str">
        <f>IFERROR(VLOOKUP(C19,Brongegevens!AR3:AS23,2,0),"")</f>
        <v>Kwaliteit</v>
      </c>
      <c r="C80" s="94">
        <v>100</v>
      </c>
      <c r="D80" s="74"/>
      <c r="E80" s="74"/>
      <c r="F80" s="91">
        <f t="shared" ref="F80:F87" si="0">(C80)/100</f>
        <v>1</v>
      </c>
      <c r="G80" s="74"/>
      <c r="H80" s="74"/>
      <c r="I80" s="163"/>
    </row>
    <row r="81" spans="1:12" ht="17.25" customHeight="1">
      <c r="A81" s="148"/>
      <c r="B81" s="213" t="str">
        <f>IFERROR(VLOOKUP(C19,Brongegevens!AT3:AU23,2,0),"")</f>
        <v xml:space="preserve"> </v>
      </c>
      <c r="C81" s="94">
        <v>0</v>
      </c>
      <c r="D81" s="74"/>
      <c r="E81" s="74"/>
      <c r="F81" s="91">
        <f t="shared" si="0"/>
        <v>0</v>
      </c>
      <c r="G81" s="74"/>
      <c r="H81" s="74"/>
      <c r="I81" s="163"/>
    </row>
    <row r="82" spans="1:12" ht="17.25" customHeight="1">
      <c r="A82" s="148"/>
      <c r="B82" s="213" t="str">
        <f>IFERROR(VLOOKUP(C19,Brongegevens!AV3:AW23,2,0),"")</f>
        <v xml:space="preserve"> </v>
      </c>
      <c r="C82" s="94">
        <v>0</v>
      </c>
      <c r="D82" s="74"/>
      <c r="E82" s="74"/>
      <c r="F82" s="91">
        <f t="shared" si="0"/>
        <v>0</v>
      </c>
      <c r="G82" s="74" t="s">
        <v>142</v>
      </c>
      <c r="H82" s="74"/>
      <c r="I82" s="163"/>
    </row>
    <row r="83" spans="1:12" ht="17.25" hidden="1" customHeight="1">
      <c r="A83" s="148"/>
      <c r="B83" s="213" t="str">
        <f>IFERROR(VLOOKUP(C$19,Brongegevens!AX3:AY23,2,0),"")</f>
        <v xml:space="preserve"> </v>
      </c>
      <c r="C83" s="94"/>
      <c r="D83" s="74"/>
      <c r="E83" s="74"/>
      <c r="F83" s="91">
        <f t="shared" si="0"/>
        <v>0</v>
      </c>
      <c r="G83" s="74"/>
      <c r="H83" s="74"/>
      <c r="I83" s="163"/>
    </row>
    <row r="84" spans="1:12" ht="17.25" hidden="1" customHeight="1">
      <c r="A84" s="148"/>
      <c r="B84" s="213" t="str">
        <f>IFERROR(VLOOKUP(C$19,Brongegevens!AZ3:BA23,2,0),"")</f>
        <v xml:space="preserve"> </v>
      </c>
      <c r="C84" s="94"/>
      <c r="D84" s="74"/>
      <c r="E84" s="74"/>
      <c r="F84" s="91">
        <f t="shared" si="0"/>
        <v>0</v>
      </c>
      <c r="G84" s="74"/>
      <c r="H84" s="74"/>
      <c r="I84" s="163"/>
    </row>
    <row r="85" spans="1:12" ht="17.25" hidden="1" customHeight="1">
      <c r="A85" s="148"/>
      <c r="B85" s="213" t="str">
        <f>IFERROR(VLOOKUP(C$19,Brongegevens!BB3:BC23,2,0),"")</f>
        <v xml:space="preserve"> </v>
      </c>
      <c r="C85" s="94"/>
      <c r="D85" s="74"/>
      <c r="E85" s="74"/>
      <c r="F85" s="91">
        <f t="shared" si="0"/>
        <v>0</v>
      </c>
      <c r="G85" s="74"/>
      <c r="H85" s="74"/>
      <c r="I85" s="163"/>
    </row>
    <row r="86" spans="1:12" ht="17.25" hidden="1" customHeight="1">
      <c r="A86" s="148"/>
      <c r="B86" s="213" t="str">
        <f>IFERROR(VLOOKUP(C$19,Brongegevens!BD3:BE23,2,0),"")</f>
        <v xml:space="preserve"> </v>
      </c>
      <c r="C86" s="94"/>
      <c r="D86" s="74"/>
      <c r="E86" s="74"/>
      <c r="F86" s="91">
        <f t="shared" si="0"/>
        <v>0</v>
      </c>
      <c r="G86" s="74"/>
      <c r="H86" s="74"/>
      <c r="I86" s="163"/>
    </row>
    <row r="87" spans="1:12" ht="17.25" hidden="1" customHeight="1">
      <c r="A87" s="148"/>
      <c r="B87" s="213" t="str">
        <f>IFERROR(VLOOKUP(C$19,Brongegevens!BF3:BG22,2,0),"")</f>
        <v xml:space="preserve"> </v>
      </c>
      <c r="C87" s="94"/>
      <c r="D87" s="74"/>
      <c r="E87" s="74"/>
      <c r="F87" s="91">
        <f t="shared" si="0"/>
        <v>0</v>
      </c>
      <c r="G87" s="74"/>
      <c r="H87" s="74"/>
      <c r="I87" s="163"/>
    </row>
    <row r="88" spans="1:12" ht="15">
      <c r="A88" s="148"/>
      <c r="B88" s="71"/>
      <c r="C88" s="74"/>
      <c r="D88" s="74"/>
      <c r="E88" s="74"/>
      <c r="F88" s="92">
        <f>SUM(F79:F87)</f>
        <v>1</v>
      </c>
      <c r="G88" s="74"/>
      <c r="H88" s="74"/>
      <c r="I88" s="163"/>
    </row>
    <row r="89" spans="1:12" ht="15">
      <c r="A89" s="150"/>
      <c r="B89" s="58"/>
      <c r="C89" s="58"/>
      <c r="D89" s="58"/>
      <c r="E89" s="58"/>
      <c r="F89" s="58"/>
      <c r="G89" s="58"/>
      <c r="H89" s="58"/>
      <c r="I89" s="151"/>
    </row>
    <row r="90" spans="1:12" ht="17.25" customHeight="1">
      <c r="A90" s="147"/>
      <c r="B90" s="86"/>
      <c r="C90" s="86" t="s">
        <v>12</v>
      </c>
      <c r="D90" s="86"/>
      <c r="E90" s="86"/>
      <c r="F90" s="86"/>
      <c r="G90" s="86"/>
      <c r="H90" s="86"/>
      <c r="I90" s="87"/>
      <c r="K90" s="129"/>
      <c r="L90" s="130"/>
    </row>
    <row r="91" spans="1:12" ht="12.75" customHeight="1">
      <c r="A91" s="148"/>
      <c r="B91" s="71"/>
      <c r="C91" s="71"/>
      <c r="D91" s="71"/>
      <c r="E91" s="71"/>
      <c r="F91" s="71"/>
      <c r="G91" s="71"/>
      <c r="H91" s="71"/>
      <c r="I91" s="162"/>
    </row>
    <row r="92" spans="1:12" ht="20.25" customHeight="1">
      <c r="A92" s="152" t="s">
        <v>7</v>
      </c>
      <c r="B92" s="50" t="s">
        <v>62</v>
      </c>
      <c r="C92" s="95"/>
      <c r="D92" s="72"/>
      <c r="E92" s="73"/>
      <c r="F92" s="73"/>
      <c r="G92" s="74"/>
      <c r="H92" s="74"/>
      <c r="I92" s="163"/>
      <c r="L92" s="131"/>
    </row>
    <row r="93" spans="1:12" ht="20.25" customHeight="1">
      <c r="A93" s="148"/>
      <c r="B93" s="50" t="s">
        <v>121</v>
      </c>
      <c r="C93" s="95"/>
      <c r="D93" s="600" t="s">
        <v>57</v>
      </c>
      <c r="E93" s="601"/>
      <c r="F93" s="602"/>
      <c r="G93" s="598">
        <f>IF(C93&lt;&gt;0,IF(DAY(C93)&gt;=DAY(C92),0,-1)+(YEAR(C93)-YEAR(C92)) *12+MONTH(C93)-MONTH(C92)+1,0)</f>
        <v>0</v>
      </c>
      <c r="H93" s="599"/>
      <c r="I93" s="163"/>
    </row>
    <row r="94" spans="1:12" ht="9.75" customHeight="1">
      <c r="A94" s="148"/>
      <c r="B94" s="71"/>
      <c r="C94" s="71"/>
      <c r="D94" s="71"/>
      <c r="E94" s="71"/>
      <c r="F94" s="71"/>
      <c r="G94" s="71"/>
      <c r="H94" s="71"/>
      <c r="I94" s="162"/>
    </row>
    <row r="95" spans="1:12" ht="20.25" customHeight="1">
      <c r="A95" s="148"/>
      <c r="B95" s="50" t="s">
        <v>16</v>
      </c>
      <c r="C95" s="95"/>
      <c r="D95" s="650"/>
      <c r="E95" s="651"/>
      <c r="F95" s="651"/>
      <c r="G95" s="651"/>
      <c r="H95" s="651"/>
      <c r="I95" s="163"/>
    </row>
    <row r="96" spans="1:12" ht="6.75" customHeight="1">
      <c r="A96" s="148"/>
      <c r="B96" s="645"/>
      <c r="C96" s="645"/>
      <c r="D96" s="646"/>
      <c r="E96" s="646"/>
      <c r="F96" s="646"/>
      <c r="G96" s="646"/>
      <c r="H96" s="646"/>
      <c r="I96" s="647"/>
    </row>
    <row r="97" spans="1:11" ht="20.25" customHeight="1">
      <c r="A97" s="148"/>
      <c r="B97" s="75" t="s">
        <v>58</v>
      </c>
      <c r="C97" s="94"/>
      <c r="D97" s="50"/>
      <c r="E97" s="50"/>
      <c r="F97" s="50"/>
      <c r="G97" s="50"/>
      <c r="H97" s="50"/>
      <c r="I97" s="163"/>
    </row>
    <row r="98" spans="1:11" ht="20.25" customHeight="1">
      <c r="A98" s="148"/>
      <c r="B98" s="75" t="s">
        <v>67</v>
      </c>
      <c r="C98" s="94"/>
      <c r="D98" s="596" t="str">
        <f>IF(C95="Ja",IF(OR(C97&lt;&gt;0,C98&lt;&gt;0),IF(F97&lt;&gt;0,"Slechts één deel verlengingsinformatie invullen",""),""),"")</f>
        <v/>
      </c>
      <c r="E98" s="597"/>
      <c r="F98" s="597"/>
      <c r="G98" s="597"/>
      <c r="H98" s="597"/>
      <c r="I98" s="163"/>
    </row>
    <row r="99" spans="1:11" ht="20.25" customHeight="1">
      <c r="A99" s="148"/>
      <c r="B99" s="75" t="str">
        <f>IF(C93&gt;0,"Uiterste einddatum inzet (incl. verlengingen)","")</f>
        <v/>
      </c>
      <c r="C99" s="76" t="str">
        <f>IF(C93&gt;0,IF(C95="Ja",IF(C97*C98&gt;0,IF(C93&gt;0,EDATE(C93,C97*C98),IF(C93&gt;0,C93,"")),IF(F97&gt;0,F97,C93)),IF(C93&gt;0,C93,"")),"")</f>
        <v/>
      </c>
      <c r="D99" s="649"/>
      <c r="E99" s="649"/>
      <c r="F99" s="50"/>
      <c r="G99" s="50"/>
      <c r="H99" s="50"/>
      <c r="I99" s="163"/>
    </row>
    <row r="100" spans="1:11" ht="15" customHeight="1">
      <c r="A100" s="148"/>
      <c r="B100" s="71"/>
      <c r="C100" s="71"/>
      <c r="D100" s="71"/>
      <c r="E100" s="71"/>
      <c r="F100" s="71"/>
      <c r="G100" s="71"/>
      <c r="H100" s="71"/>
      <c r="I100" s="162"/>
    </row>
    <row r="101" spans="1:11" ht="20.25" customHeight="1">
      <c r="A101" s="148"/>
      <c r="B101" s="50" t="s">
        <v>587</v>
      </c>
      <c r="C101" s="96">
        <v>1</v>
      </c>
      <c r="D101" s="652" t="s">
        <v>588</v>
      </c>
      <c r="E101" s="653"/>
      <c r="F101" s="653"/>
      <c r="G101" s="489"/>
      <c r="H101" s="489"/>
      <c r="I101" s="163"/>
    </row>
    <row r="102" spans="1:11" ht="15" customHeight="1">
      <c r="A102" s="148"/>
      <c r="B102" s="71"/>
      <c r="C102" s="71"/>
      <c r="D102" s="71"/>
      <c r="E102" s="71"/>
      <c r="F102" s="71"/>
      <c r="G102" s="71"/>
      <c r="H102" s="71"/>
      <c r="I102" s="162"/>
    </row>
    <row r="103" spans="1:11" ht="20.5" customHeight="1">
      <c r="A103" s="148"/>
      <c r="B103" s="50" t="s">
        <v>528</v>
      </c>
      <c r="C103" s="96">
        <v>32</v>
      </c>
      <c r="D103" s="71"/>
      <c r="E103" s="71"/>
      <c r="F103" s="71"/>
      <c r="G103" s="71"/>
      <c r="H103" s="71"/>
      <c r="I103" s="162"/>
    </row>
    <row r="104" spans="1:11" ht="20.149999999999999" customHeight="1">
      <c r="A104" s="148"/>
      <c r="B104" s="50" t="s">
        <v>373</v>
      </c>
      <c r="C104" s="96">
        <v>36</v>
      </c>
      <c r="D104" s="80" t="s">
        <v>410</v>
      </c>
      <c r="E104" s="585"/>
      <c r="F104" s="586"/>
      <c r="G104" s="586"/>
      <c r="H104" s="587"/>
      <c r="I104" s="163"/>
    </row>
    <row r="105" spans="1:11" ht="14.5" customHeight="1">
      <c r="A105" s="148"/>
      <c r="B105" s="50"/>
      <c r="C105" s="71"/>
      <c r="D105" s="81"/>
      <c r="E105" s="588"/>
      <c r="F105" s="589"/>
      <c r="G105" s="589"/>
      <c r="H105" s="590"/>
      <c r="I105" s="163"/>
      <c r="J105" s="394"/>
    </row>
    <row r="106" spans="1:11" ht="20.25" customHeight="1">
      <c r="A106" s="148"/>
      <c r="B106" s="50" t="s">
        <v>38</v>
      </c>
      <c r="C106" s="457">
        <f>(NETWORKDAYS(C92,C93,Brongegevens!J3:R26)*(C104/5))</f>
        <v>0</v>
      </c>
      <c r="D106" s="77"/>
      <c r="E106" s="78"/>
      <c r="F106" s="50"/>
      <c r="G106" s="74"/>
      <c r="H106" s="74"/>
      <c r="I106" s="163"/>
      <c r="J106" s="394" t="s">
        <v>374</v>
      </c>
    </row>
    <row r="107" spans="1:11" ht="15" customHeight="1">
      <c r="A107" s="148"/>
      <c r="B107" s="71"/>
      <c r="C107" s="71"/>
      <c r="D107" s="71"/>
      <c r="E107" s="71"/>
      <c r="F107" s="71"/>
      <c r="G107" s="71"/>
      <c r="H107" s="71"/>
      <c r="I107" s="162"/>
      <c r="J107" s="394"/>
    </row>
    <row r="108" spans="1:11" ht="20.25" customHeight="1">
      <c r="A108" s="148"/>
      <c r="B108" s="50" t="s">
        <v>130</v>
      </c>
      <c r="C108" s="577" t="str">
        <f>IF(C19="","",VLOOKUP(C19,Brongegevens!AL3:AM25,2,FALSE))</f>
        <v>Conform ROK</v>
      </c>
      <c r="D108" s="79"/>
      <c r="E108" s="50"/>
      <c r="F108" s="50"/>
      <c r="G108" s="74"/>
      <c r="H108" s="74"/>
      <c r="I108" s="163"/>
      <c r="J108" s="394" t="s">
        <v>238</v>
      </c>
      <c r="K108" s="132"/>
    </row>
    <row r="109" spans="1:11" ht="15" customHeight="1">
      <c r="A109" s="148"/>
      <c r="B109" s="71"/>
      <c r="C109" s="71"/>
      <c r="D109" s="71"/>
      <c r="E109" s="71"/>
      <c r="F109" s="71"/>
      <c r="G109" s="71"/>
      <c r="H109" s="71"/>
      <c r="I109" s="162"/>
      <c r="J109" s="394"/>
      <c r="K109" s="138"/>
    </row>
    <row r="110" spans="1:11" ht="19.5" customHeight="1">
      <c r="A110" s="148"/>
      <c r="B110" s="75" t="s">
        <v>119</v>
      </c>
      <c r="C110" s="95" t="str">
        <f>IFERROR(IF(VLOOKUP(C$10,Brongegevens!D$3:H$14,5,FALSE)=0,"",VLOOKUP(C$10,Brongegevens!D$3:H$14,5,FALSE)),"")</f>
        <v/>
      </c>
      <c r="D110" s="50"/>
      <c r="E110" s="51"/>
      <c r="F110" s="50"/>
      <c r="G110" s="74"/>
      <c r="H110" s="74"/>
      <c r="I110" s="163"/>
      <c r="J110" s="394"/>
    </row>
    <row r="111" spans="1:11" ht="19.5" customHeight="1">
      <c r="A111" s="148"/>
      <c r="B111" s="50" t="s">
        <v>15</v>
      </c>
      <c r="C111" s="98"/>
      <c r="D111" s="80" t="s">
        <v>124</v>
      </c>
      <c r="E111" s="585"/>
      <c r="F111" s="586"/>
      <c r="G111" s="586"/>
      <c r="H111" s="587"/>
      <c r="I111" s="163"/>
    </row>
    <row r="112" spans="1:11" ht="15" customHeight="1">
      <c r="A112" s="148"/>
      <c r="B112" s="71"/>
      <c r="C112" s="71"/>
      <c r="D112" s="81"/>
      <c r="E112" s="588"/>
      <c r="F112" s="589"/>
      <c r="G112" s="589"/>
      <c r="H112" s="590"/>
      <c r="I112" s="162"/>
    </row>
    <row r="113" spans="1:11" ht="15" customHeight="1">
      <c r="A113" s="148"/>
      <c r="B113" s="71"/>
      <c r="C113" s="71"/>
      <c r="D113" s="71"/>
      <c r="E113" s="71"/>
      <c r="F113" s="71"/>
      <c r="G113" s="71"/>
      <c r="H113" s="71"/>
      <c r="I113" s="162"/>
    </row>
    <row r="114" spans="1:11" ht="15" hidden="1" customHeight="1">
      <c r="A114" s="148"/>
      <c r="B114" s="50" t="s">
        <v>145</v>
      </c>
      <c r="C114" s="50" t="str">
        <f>IF(E114&gt;0,"VOG conform ROK","")</f>
        <v/>
      </c>
      <c r="D114" s="50"/>
      <c r="E114" s="50">
        <f>IFERROR(VLOOKUP($C$19,Brongegevens!$S$3:$T$13,2,FALSE),"")</f>
        <v>0</v>
      </c>
      <c r="F114" s="50"/>
      <c r="G114" s="71"/>
      <c r="H114" s="71"/>
      <c r="I114" s="162"/>
    </row>
    <row r="115" spans="1:11" ht="20.25" customHeight="1">
      <c r="A115" s="148"/>
      <c r="B115" s="50" t="s">
        <v>529</v>
      </c>
      <c r="C115" s="520" t="s">
        <v>4</v>
      </c>
      <c r="D115" s="80" t="s">
        <v>153</v>
      </c>
      <c r="E115" s="593"/>
      <c r="F115" s="594"/>
      <c r="G115" s="594"/>
      <c r="H115" s="595"/>
      <c r="I115" s="163"/>
      <c r="K115" s="132"/>
    </row>
    <row r="116" spans="1:11" ht="9.65" customHeight="1">
      <c r="A116" s="148"/>
      <c r="B116" s="50"/>
      <c r="C116" s="71"/>
      <c r="D116" s="139" t="s">
        <v>154</v>
      </c>
      <c r="E116" s="71"/>
      <c r="F116" s="71"/>
      <c r="G116" s="71"/>
      <c r="H116" s="71"/>
      <c r="I116" s="163"/>
      <c r="K116" s="132"/>
    </row>
    <row r="117" spans="1:11" ht="15" customHeight="1">
      <c r="A117" s="148"/>
      <c r="B117" s="50"/>
      <c r="C117" s="71"/>
      <c r="D117" s="80" t="s">
        <v>155</v>
      </c>
      <c r="E117" s="585"/>
      <c r="F117" s="586"/>
      <c r="G117" s="586"/>
      <c r="H117" s="587"/>
      <c r="I117" s="163"/>
      <c r="K117" s="132"/>
    </row>
    <row r="118" spans="1:11" ht="19.5" customHeight="1">
      <c r="A118" s="148"/>
      <c r="B118" s="50"/>
      <c r="C118" s="71"/>
      <c r="D118" s="81"/>
      <c r="E118" s="588"/>
      <c r="F118" s="589"/>
      <c r="G118" s="589"/>
      <c r="H118" s="590"/>
      <c r="I118" s="163"/>
      <c r="K118" s="132"/>
    </row>
    <row r="119" spans="1:11" ht="15">
      <c r="A119" s="148"/>
      <c r="B119" s="50"/>
      <c r="C119" s="50"/>
      <c r="D119" s="81"/>
      <c r="E119" s="81"/>
      <c r="F119" s="81"/>
      <c r="G119" s="81"/>
      <c r="H119" s="81"/>
      <c r="I119" s="163"/>
      <c r="K119" s="132"/>
    </row>
    <row r="120" spans="1:11" ht="18.75" customHeight="1">
      <c r="A120" s="148"/>
      <c r="B120" s="420" t="s">
        <v>782</v>
      </c>
      <c r="C120" s="489"/>
      <c r="D120" s="420"/>
      <c r="E120" s="81"/>
      <c r="F120" s="81"/>
      <c r="G120" s="81"/>
      <c r="H120" s="81"/>
      <c r="I120" s="163"/>
      <c r="K120" s="132"/>
    </row>
    <row r="121" spans="1:11" ht="19.5" customHeight="1">
      <c r="A121" s="148"/>
      <c r="B121" s="74"/>
      <c r="C121" s="74"/>
      <c r="D121" s="74"/>
      <c r="E121" s="74"/>
      <c r="F121" s="74"/>
      <c r="G121" s="81"/>
      <c r="H121" s="81"/>
      <c r="I121" s="163"/>
      <c r="K121" s="132"/>
    </row>
    <row r="122" spans="1:11" ht="19.5" customHeight="1">
      <c r="A122" s="104"/>
      <c r="B122" s="578" t="s">
        <v>133</v>
      </c>
      <c r="C122" s="655"/>
      <c r="D122" s="656"/>
      <c r="E122" s="656"/>
      <c r="F122" s="657"/>
      <c r="G122" s="74"/>
      <c r="H122" s="74"/>
      <c r="I122" s="163"/>
      <c r="K122" s="132"/>
    </row>
    <row r="123" spans="1:11" ht="19.5" customHeight="1">
      <c r="A123" s="104"/>
      <c r="B123" s="578"/>
      <c r="C123" s="658"/>
      <c r="D123" s="659"/>
      <c r="E123" s="659"/>
      <c r="F123" s="660"/>
      <c r="G123" s="74"/>
      <c r="H123" s="74"/>
      <c r="I123" s="163"/>
      <c r="K123" s="132"/>
    </row>
    <row r="124" spans="1:11" ht="15">
      <c r="A124" s="148"/>
      <c r="B124" s="74"/>
      <c r="C124" s="74"/>
      <c r="D124" s="74"/>
      <c r="E124" s="74"/>
      <c r="F124" s="74"/>
      <c r="G124" s="81"/>
      <c r="H124" s="81"/>
      <c r="I124" s="163"/>
      <c r="K124" s="132"/>
    </row>
    <row r="125" spans="1:11" ht="19.5" customHeight="1">
      <c r="A125" s="147"/>
      <c r="B125" s="534"/>
      <c r="C125" s="654" t="s">
        <v>949</v>
      </c>
      <c r="D125" s="654"/>
      <c r="E125" s="654"/>
      <c r="F125" s="654"/>
      <c r="G125" s="535"/>
      <c r="H125" s="535"/>
      <c r="I125" s="536"/>
      <c r="K125" s="132"/>
    </row>
    <row r="126" spans="1:11" ht="19.5" customHeight="1">
      <c r="A126" s="148"/>
      <c r="B126" s="74"/>
      <c r="C126" s="74"/>
      <c r="D126" s="74"/>
      <c r="E126" s="74"/>
      <c r="F126" s="74"/>
      <c r="G126" s="81"/>
      <c r="H126" s="81"/>
      <c r="I126" s="163"/>
      <c r="K126" s="132"/>
    </row>
    <row r="127" spans="1:11" ht="24.75" customHeight="1">
      <c r="A127" s="148"/>
      <c r="B127" s="62" t="s">
        <v>530</v>
      </c>
      <c r="C127" s="95" t="s">
        <v>4</v>
      </c>
      <c r="D127" s="81"/>
      <c r="E127" s="81"/>
      <c r="F127" s="81"/>
      <c r="G127" s="81"/>
      <c r="H127" s="81"/>
      <c r="I127" s="163"/>
      <c r="K127" s="132"/>
    </row>
    <row r="128" spans="1:11" ht="19.5" customHeight="1">
      <c r="A128" s="148"/>
      <c r="B128" s="50"/>
      <c r="C128" s="50"/>
      <c r="D128" s="81"/>
      <c r="E128" s="81"/>
      <c r="F128" s="81"/>
      <c r="G128" s="81"/>
      <c r="H128" s="81"/>
      <c r="I128" s="163"/>
      <c r="K128" s="132"/>
    </row>
    <row r="129" spans="1:11" ht="19.5" customHeight="1">
      <c r="A129" s="148"/>
      <c r="B129" s="50" t="s">
        <v>872</v>
      </c>
      <c r="C129" s="95" t="s">
        <v>5</v>
      </c>
      <c r="D129" s="81"/>
      <c r="E129" s="81"/>
      <c r="F129" s="81"/>
      <c r="G129" s="81"/>
      <c r="H129" s="81"/>
      <c r="I129" s="163"/>
      <c r="K129" s="132"/>
    </row>
    <row r="130" spans="1:11" ht="15" customHeight="1">
      <c r="A130" s="148"/>
      <c r="B130" s="50"/>
      <c r="C130" s="50"/>
      <c r="D130" s="81"/>
      <c r="E130" s="81"/>
      <c r="F130" s="81"/>
      <c r="G130" s="74"/>
      <c r="H130" s="74"/>
      <c r="I130" s="163"/>
      <c r="K130" s="132"/>
    </row>
    <row r="131" spans="1:11" ht="15.75" customHeight="1">
      <c r="A131" s="148"/>
      <c r="B131" s="578" t="s">
        <v>531</v>
      </c>
      <c r="C131" s="579" t="s">
        <v>4</v>
      </c>
      <c r="D131" s="81"/>
      <c r="E131" s="81"/>
      <c r="F131" s="81"/>
      <c r="G131" s="74"/>
      <c r="H131" s="74"/>
      <c r="I131" s="163"/>
      <c r="K131" s="132"/>
    </row>
    <row r="132" spans="1:11" ht="22.5" customHeight="1">
      <c r="A132" s="148"/>
      <c r="B132" s="578"/>
      <c r="C132" s="580"/>
      <c r="D132" s="81"/>
      <c r="E132" s="50"/>
      <c r="F132" s="50"/>
      <c r="G132" s="74"/>
      <c r="H132" s="74"/>
      <c r="I132" s="163"/>
      <c r="K132" s="132"/>
    </row>
    <row r="133" spans="1:11" ht="12.75" customHeight="1">
      <c r="A133" s="160"/>
      <c r="B133" s="82"/>
      <c r="C133" s="82"/>
      <c r="D133" s="82"/>
      <c r="E133" s="82"/>
      <c r="F133" s="82"/>
      <c r="G133" s="82"/>
      <c r="H133" s="82"/>
      <c r="I133" s="164"/>
    </row>
    <row r="134" spans="1:11" ht="17.25" customHeight="1">
      <c r="A134" s="147"/>
      <c r="B134" s="86"/>
      <c r="C134" s="591" t="s">
        <v>950</v>
      </c>
      <c r="D134" s="591"/>
      <c r="E134" s="591"/>
      <c r="F134" s="591"/>
      <c r="G134" s="86"/>
      <c r="H134" s="86"/>
      <c r="I134" s="87"/>
    </row>
    <row r="135" spans="1:11" ht="12.75" customHeight="1">
      <c r="A135" s="148"/>
      <c r="B135" s="71"/>
      <c r="C135" s="71"/>
      <c r="D135" s="71"/>
      <c r="E135" s="71"/>
      <c r="F135" s="71"/>
      <c r="G135" s="71"/>
      <c r="H135" s="71"/>
      <c r="I135" s="162"/>
    </row>
    <row r="136" spans="1:11" s="106" customFormat="1" ht="20.25" customHeight="1">
      <c r="A136" s="152" t="s">
        <v>14</v>
      </c>
      <c r="B136" s="50" t="s">
        <v>40</v>
      </c>
      <c r="C136" s="458"/>
      <c r="D136" s="99" t="str">
        <f ca="1">IF(C136&gt;0,NOW(),"")</f>
        <v/>
      </c>
      <c r="E136" s="79"/>
      <c r="F136" s="83"/>
      <c r="G136" s="79"/>
      <c r="H136" s="79"/>
      <c r="I136" s="144"/>
      <c r="J136" s="364"/>
      <c r="K136" s="133"/>
    </row>
    <row r="137" spans="1:11" s="106" customFormat="1" ht="20.25" customHeight="1">
      <c r="A137" s="148"/>
      <c r="B137" s="50" t="s">
        <v>34</v>
      </c>
      <c r="C137" s="458" t="str">
        <f>IF(C136&gt;0,WORKDAY(C136,2,Feestdagen),"")</f>
        <v/>
      </c>
      <c r="D137" s="99" t="str">
        <f ca="1">D136</f>
        <v/>
      </c>
      <c r="E137" s="79"/>
      <c r="F137" s="83"/>
      <c r="G137" s="79"/>
      <c r="H137" s="79"/>
      <c r="I137" s="144"/>
      <c r="J137" s="364"/>
      <c r="K137" s="133"/>
    </row>
    <row r="138" spans="1:11" s="106" customFormat="1" ht="20.25" customHeight="1">
      <c r="A138" s="148"/>
      <c r="B138" s="50" t="s">
        <v>35</v>
      </c>
      <c r="C138" s="458" t="str">
        <f>IF(C137="","",WORKDAY(C137,1,Feestdagen))</f>
        <v/>
      </c>
      <c r="D138" s="99" t="str">
        <f ca="1">D136</f>
        <v/>
      </c>
      <c r="E138" s="66"/>
      <c r="F138" s="79"/>
      <c r="G138" s="79"/>
      <c r="H138" s="79"/>
      <c r="I138" s="144"/>
      <c r="J138" s="364"/>
      <c r="K138" s="133"/>
    </row>
    <row r="139" spans="1:11" ht="6" customHeight="1">
      <c r="A139" s="148"/>
      <c r="B139" s="52"/>
      <c r="C139" s="50"/>
      <c r="D139" s="134"/>
      <c r="E139" s="134"/>
      <c r="F139" s="134"/>
      <c r="G139" s="50"/>
      <c r="H139" s="50"/>
      <c r="I139" s="144"/>
    </row>
    <row r="140" spans="1:11" s="106" customFormat="1" ht="20.25" customHeight="1">
      <c r="A140" s="148"/>
      <c r="B140" s="50" t="s">
        <v>50</v>
      </c>
      <c r="C140" s="458" t="str">
        <f>IF(C138="","",WORKDAY(C138,2,Feestdagen))</f>
        <v/>
      </c>
      <c r="D140" s="99" t="str">
        <f ca="1">D136</f>
        <v/>
      </c>
      <c r="E140" s="66"/>
      <c r="F140" s="79"/>
      <c r="G140" s="79"/>
      <c r="H140" s="79"/>
      <c r="I140" s="144"/>
      <c r="J140" s="364"/>
      <c r="K140" s="123"/>
    </row>
    <row r="141" spans="1:11" ht="6.75" customHeight="1">
      <c r="A141" s="148"/>
      <c r="B141" s="52"/>
      <c r="C141" s="50"/>
      <c r="D141" s="134"/>
      <c r="E141" s="134"/>
      <c r="F141" s="134"/>
      <c r="G141" s="50"/>
      <c r="H141" s="50"/>
      <c r="I141" s="144"/>
    </row>
    <row r="142" spans="1:11" s="106" customFormat="1" ht="20.25" customHeight="1">
      <c r="A142" s="148"/>
      <c r="B142" s="50" t="s">
        <v>122</v>
      </c>
      <c r="C142" s="641"/>
      <c r="D142" s="642"/>
      <c r="E142" s="642"/>
      <c r="F142" s="643"/>
      <c r="G142" s="79"/>
      <c r="H142" s="79"/>
      <c r="I142" s="144"/>
      <c r="J142" s="364"/>
      <c r="K142" s="123"/>
    </row>
    <row r="143" spans="1:11" ht="6" customHeight="1">
      <c r="A143" s="148"/>
      <c r="B143" s="52"/>
      <c r="C143" s="50"/>
      <c r="D143" s="134"/>
      <c r="E143" s="134"/>
      <c r="F143" s="134"/>
      <c r="G143" s="50"/>
      <c r="H143" s="50"/>
      <c r="I143" s="144"/>
    </row>
    <row r="144" spans="1:11" s="106" customFormat="1" ht="20.25" customHeight="1">
      <c r="A144" s="148"/>
      <c r="B144" s="62" t="s">
        <v>41</v>
      </c>
      <c r="C144" s="95"/>
      <c r="D144" s="84"/>
      <c r="E144" s="66"/>
      <c r="F144" s="66"/>
      <c r="G144" s="50"/>
      <c r="H144" s="50"/>
      <c r="I144" s="144"/>
      <c r="J144" s="364"/>
      <c r="K144" s="123"/>
    </row>
    <row r="145" spans="1:11" ht="6" customHeight="1">
      <c r="A145" s="148"/>
      <c r="B145" s="52"/>
      <c r="C145" s="50"/>
      <c r="D145" s="134"/>
      <c r="E145" s="134"/>
      <c r="F145" s="134"/>
      <c r="G145" s="50"/>
      <c r="H145" s="50"/>
      <c r="I145" s="144"/>
    </row>
    <row r="146" spans="1:11" s="106" customFormat="1" ht="20.25" customHeight="1">
      <c r="A146" s="148"/>
      <c r="B146" s="62" t="s">
        <v>33</v>
      </c>
      <c r="C146" s="96" t="s">
        <v>5</v>
      </c>
      <c r="D146" s="80" t="s">
        <v>68</v>
      </c>
      <c r="E146" s="585"/>
      <c r="F146" s="586"/>
      <c r="G146" s="586"/>
      <c r="H146" s="587"/>
      <c r="I146" s="144"/>
      <c r="J146" s="364"/>
      <c r="K146" s="123"/>
    </row>
    <row r="147" spans="1:11" s="106" customFormat="1" ht="20.25" customHeight="1">
      <c r="A147" s="148"/>
      <c r="B147" s="62"/>
      <c r="C147" s="85"/>
      <c r="D147" s="81"/>
      <c r="E147" s="588"/>
      <c r="F147" s="589"/>
      <c r="G147" s="589"/>
      <c r="H147" s="590"/>
      <c r="I147" s="144"/>
      <c r="J147" s="364"/>
      <c r="K147" s="123"/>
    </row>
    <row r="148" spans="1:11" ht="12.75" customHeight="1">
      <c r="A148" s="150"/>
      <c r="B148" s="58"/>
      <c r="C148" s="58"/>
      <c r="D148" s="58"/>
      <c r="E148" s="58"/>
      <c r="F148" s="58"/>
      <c r="G148" s="58"/>
      <c r="H148" s="58"/>
      <c r="I148" s="151"/>
    </row>
    <row r="149" spans="1:11" ht="17.149999999999999" customHeight="1">
      <c r="K149" s="122"/>
    </row>
    <row r="151" spans="1:11" ht="17.149999999999999" customHeight="1">
      <c r="K151" s="124"/>
    </row>
    <row r="152" spans="1:11" ht="17.149999999999999" customHeight="1">
      <c r="K152" s="122"/>
    </row>
    <row r="154" spans="1:11" ht="17.149999999999999" customHeight="1">
      <c r="K154" s="125"/>
    </row>
    <row r="155" spans="1:11" ht="17.149999999999999" customHeight="1">
      <c r="K155" s="122"/>
    </row>
  </sheetData>
  <sheetProtection algorithmName="SHA-512" hashValue="vidcos0APaxiku1czCk4/mg+VPt3Na4WercDttp86CeLuiBwbH4hLvspM5xGAUYVydlzewNjT7x9Dje/xkpzqw==" saltValue="6JlJm0DSU004X/kAedXWRQ==" spinCount="100000" sheet="1" formatRows="0" insertHyperlinks="0" selectLockedCells="1" autoFilter="0"/>
  <dataConsolidate/>
  <customSheetViews>
    <customSheetView guid="{CA546172-0AA0-4956-873D-5C937D195097}" scale="85" fitToPage="1" printArea="1" hiddenRows="1">
      <selection activeCell="C22" sqref="C22"/>
      <rowBreaks count="2" manualBreakCount="2">
        <brk id="29" max="16383" man="1"/>
        <brk id="70" max="16383" man="1"/>
      </rowBreaks>
      <pageMargins left="0.62992125984251968" right="0.23622047244094491" top="0.55118110236220474" bottom="0.55118110236220474" header="0.31496062992125984" footer="0.31496062992125984"/>
      <pageSetup paperSize="9" scale="66" fitToHeight="0" orientation="portrait" r:id="rId1"/>
      <headerFooter>
        <oddFooter>&amp;L&amp;"Verdana,Standaard"&amp;9&amp;K000000&amp;F&amp;C&amp;"Verdana Vet,Vet"&amp;9&amp;K000000Pagina &amp;P van &amp;N&amp;R&amp;"Verdana,Standaard"&amp;9&amp;K000000&amp;D</oddFooter>
      </headerFooter>
    </customSheetView>
  </customSheetViews>
  <mergeCells count="92">
    <mergeCell ref="B122:B123"/>
    <mergeCell ref="E146:H147"/>
    <mergeCell ref="C57:D57"/>
    <mergeCell ref="C58:D58"/>
    <mergeCell ref="C62:D62"/>
    <mergeCell ref="F62:H62"/>
    <mergeCell ref="C68:D68"/>
    <mergeCell ref="C69:D69"/>
    <mergeCell ref="E111:H112"/>
    <mergeCell ref="C134:F134"/>
    <mergeCell ref="D99:E99"/>
    <mergeCell ref="D95:H95"/>
    <mergeCell ref="F60:H60"/>
    <mergeCell ref="D101:F101"/>
    <mergeCell ref="C125:F125"/>
    <mergeCell ref="C122:F123"/>
    <mergeCell ref="D2:E2"/>
    <mergeCell ref="C7:F7"/>
    <mergeCell ref="C13:F13"/>
    <mergeCell ref="C142:F142"/>
    <mergeCell ref="C48:D48"/>
    <mergeCell ref="C49:D49"/>
    <mergeCell ref="B96:C96"/>
    <mergeCell ref="D96:I96"/>
    <mergeCell ref="C67:D67"/>
    <mergeCell ref="C64:D64"/>
    <mergeCell ref="F64:H64"/>
    <mergeCell ref="F56:H59"/>
    <mergeCell ref="A21:B21"/>
    <mergeCell ref="C21:F21"/>
    <mergeCell ref="C10:F10"/>
    <mergeCell ref="C11:F11"/>
    <mergeCell ref="H1:I1"/>
    <mergeCell ref="C33:D33"/>
    <mergeCell ref="C34:D34"/>
    <mergeCell ref="C41:D41"/>
    <mergeCell ref="C50:D50"/>
    <mergeCell ref="C43:D43"/>
    <mergeCell ref="C45:D45"/>
    <mergeCell ref="C24:H24"/>
    <mergeCell ref="D1:E1"/>
    <mergeCell ref="C14:F14"/>
    <mergeCell ref="C36:D36"/>
    <mergeCell ref="C37:D37"/>
    <mergeCell ref="C38:D38"/>
    <mergeCell ref="D3:E3"/>
    <mergeCell ref="C35:D35"/>
    <mergeCell ref="C39:D39"/>
    <mergeCell ref="A20:B20"/>
    <mergeCell ref="C20:F20"/>
    <mergeCell ref="C9:F9"/>
    <mergeCell ref="A18:B18"/>
    <mergeCell ref="C18:F18"/>
    <mergeCell ref="A9:B9"/>
    <mergeCell ref="A10:B10"/>
    <mergeCell ref="A11:B11"/>
    <mergeCell ref="C19:F19"/>
    <mergeCell ref="A19:B19"/>
    <mergeCell ref="A22:B22"/>
    <mergeCell ref="A34:B34"/>
    <mergeCell ref="A24:B24"/>
    <mergeCell ref="A28:B28"/>
    <mergeCell ref="C28:H28"/>
    <mergeCell ref="C30:F30"/>
    <mergeCell ref="A26:B26"/>
    <mergeCell ref="C26:H26"/>
    <mergeCell ref="C22:F22"/>
    <mergeCell ref="A35:B35"/>
    <mergeCell ref="C40:D40"/>
    <mergeCell ref="F61:H61"/>
    <mergeCell ref="C56:D56"/>
    <mergeCell ref="C44:D44"/>
    <mergeCell ref="C46:D46"/>
    <mergeCell ref="F42:H42"/>
    <mergeCell ref="C60:D60"/>
    <mergeCell ref="C61:D61"/>
    <mergeCell ref="B131:B132"/>
    <mergeCell ref="C131:C132"/>
    <mergeCell ref="F63:H63"/>
    <mergeCell ref="C55:D55"/>
    <mergeCell ref="C54:D54"/>
    <mergeCell ref="C63:D63"/>
    <mergeCell ref="E104:H105"/>
    <mergeCell ref="E117:H118"/>
    <mergeCell ref="C71:F71"/>
    <mergeCell ref="C75:F75"/>
    <mergeCell ref="C77:F77"/>
    <mergeCell ref="C66:D66"/>
    <mergeCell ref="E115:H115"/>
    <mergeCell ref="D98:H98"/>
    <mergeCell ref="G93:H93"/>
    <mergeCell ref="D93:F93"/>
  </mergeCells>
  <phoneticPr fontId="10" type="noConversion"/>
  <conditionalFormatting sqref="B120 D120">
    <cfRule type="expression" dxfId="94" priority="7">
      <formula>OR(LEFT($C$19,6)="Inkoop",LEFT($C$19,6)="Juridi",LEFT($C$19,25)="Financiële Adviesdiensten",LEFT($C$19,17)="Auditdiensten",LEFT($C$19,17)="Organisatieadvies",LEFT($C$19,170)="Interim Management Tussenovereenkomst")</formula>
    </cfRule>
  </conditionalFormatting>
  <conditionalFormatting sqref="C9:C11">
    <cfRule type="containsBlanks" dxfId="93" priority="58">
      <formula>LEN(TRIM(C9))=0</formula>
    </cfRule>
  </conditionalFormatting>
  <conditionalFormatting sqref="C13">
    <cfRule type="containsBlanks" dxfId="92" priority="60">
      <formula>LEN(TRIM(C13))=0</formula>
    </cfRule>
  </conditionalFormatting>
  <conditionalFormatting sqref="C18:C22">
    <cfRule type="containsBlanks" dxfId="91" priority="61">
      <formula>LEN(TRIM(C18))=0</formula>
    </cfRule>
  </conditionalFormatting>
  <conditionalFormatting sqref="C73">
    <cfRule type="containsBlanks" dxfId="90" priority="48">
      <formula>LEN(TRIM(C73))=0</formula>
    </cfRule>
  </conditionalFormatting>
  <conditionalFormatting sqref="C92:C93">
    <cfRule type="containsBlanks" dxfId="89" priority="45">
      <formula>LEN(TRIM(C92))=0</formula>
    </cfRule>
  </conditionalFormatting>
  <conditionalFormatting sqref="C95">
    <cfRule type="containsBlanks" dxfId="88" priority="53">
      <formula>LEN(TRIM(C95))=0</formula>
    </cfRule>
  </conditionalFormatting>
  <conditionalFormatting sqref="C97">
    <cfRule type="expression" dxfId="87" priority="31">
      <formula>AND(ISBLANK($C$97),$C$95="Ja")</formula>
    </cfRule>
  </conditionalFormatting>
  <conditionalFormatting sqref="C98">
    <cfRule type="expression" dxfId="86" priority="30">
      <formula>AND(ISBLANK($C$98),$C$95="Ja")</formula>
    </cfRule>
  </conditionalFormatting>
  <conditionalFormatting sqref="C101">
    <cfRule type="containsBlanks" dxfId="85" priority="65">
      <formula>LEN(TRIM(C101))=0</formula>
    </cfRule>
  </conditionalFormatting>
  <conditionalFormatting sqref="C103:C104">
    <cfRule type="containsBlanks" dxfId="84" priority="54">
      <formula>LEN(TRIM(C103))=0</formula>
    </cfRule>
  </conditionalFormatting>
  <conditionalFormatting sqref="C110">
    <cfRule type="containsBlanks" dxfId="83" priority="1">
      <formula>LEN(TRIM(C110))=0</formula>
    </cfRule>
  </conditionalFormatting>
  <conditionalFormatting sqref="C120">
    <cfRule type="expression" dxfId="82" priority="3" stopIfTrue="1">
      <formula>NOT(OR(LEFT($C$19,6)="Inkoop",LEFT($C$19,6)="Juridi",LEFT($C$19,25)="Financiële Adviesdiensten",LEFT($C$19,17)="Auditdiensten",,LEFT($C$19,17)="Organisatieadvies",,LEFT($C$19,170)="Interim Management Tussenovereenkomst"))</formula>
    </cfRule>
    <cfRule type="containsBlanks" dxfId="81" priority="5">
      <formula>LEN(TRIM(C120))=0</formula>
    </cfRule>
    <cfRule type="expression" dxfId="80" priority="6">
      <formula>OR(LEFT($C$19,6)="Inkoop",LEFT($C$19,6)="Juridi",LEFT($C$19,25)="Financiële Adviesdiensten",LEFT($C$19,17)="Auditdiensten",LEFT($C$19,17)="Organisatieadvies",LEFT($C$19,17)="Auditdiensten")</formula>
    </cfRule>
  </conditionalFormatting>
  <conditionalFormatting sqref="C127">
    <cfRule type="containsBlanks" dxfId="79" priority="67">
      <formula>LEN(TRIM(C127))=0</formula>
    </cfRule>
  </conditionalFormatting>
  <conditionalFormatting sqref="C129">
    <cfRule type="containsBlanks" dxfId="78" priority="55">
      <formula>LEN(TRIM(C129))=0</formula>
    </cfRule>
  </conditionalFormatting>
  <conditionalFormatting sqref="C131:C132">
    <cfRule type="containsBlanks" dxfId="77" priority="56">
      <formula>LEN(TRIM(C131))=0</formula>
    </cfRule>
  </conditionalFormatting>
  <conditionalFormatting sqref="C144">
    <cfRule type="containsBlanks" dxfId="76" priority="71">
      <formula>LEN(TRIM(C144))=0</formula>
    </cfRule>
  </conditionalFormatting>
  <conditionalFormatting sqref="C33:D33">
    <cfRule type="containsBlanks" dxfId="75" priority="49">
      <formula>LEN(TRIM(C33))=0</formula>
    </cfRule>
  </conditionalFormatting>
  <conditionalFormatting sqref="C54:D54">
    <cfRule type="containsBlanks" dxfId="74" priority="51">
      <formula>LEN(TRIM(C54))=0</formula>
    </cfRule>
  </conditionalFormatting>
  <conditionalFormatting sqref="C60:D60">
    <cfRule type="expression" dxfId="73" priority="10">
      <formula>AND(ISBLANK($C$66),ISBLANK($C$60))</formula>
    </cfRule>
  </conditionalFormatting>
  <conditionalFormatting sqref="C66:D66">
    <cfRule type="expression" dxfId="72" priority="11">
      <formula>AND(ISBLANK($C$66),ISBLANK($C$60))</formula>
    </cfRule>
  </conditionalFormatting>
  <conditionalFormatting sqref="C136:D138 C140:D140">
    <cfRule type="containsBlanks" dxfId="71" priority="70">
      <formula>LEN(TRIM(C136))=0</formula>
    </cfRule>
  </conditionalFormatting>
  <conditionalFormatting sqref="C24:H24">
    <cfRule type="containsBlanks" dxfId="70" priority="69">
      <formula>LEN(TRIM(C24))=0</formula>
    </cfRule>
  </conditionalFormatting>
  <conditionalFormatting sqref="C26:H26">
    <cfRule type="containsBlanks" dxfId="69" priority="62">
      <formula>LEN(TRIM(C26))=0</formula>
    </cfRule>
  </conditionalFormatting>
  <conditionalFormatting sqref="C28:H28">
    <cfRule type="containsBlanks" dxfId="68" priority="63">
      <formula>LEN(TRIM(C28))=0</formula>
    </cfRule>
  </conditionalFormatting>
  <conditionalFormatting sqref="D101:F101">
    <cfRule type="expression" dxfId="67" priority="9">
      <formula>LEFT($C$19,6)="Onderw"</formula>
    </cfRule>
  </conditionalFormatting>
  <conditionalFormatting sqref="E115:H115">
    <cfRule type="expression" dxfId="66" priority="36">
      <formula>IF(AND($C$115="Ja",$E$115=""),,)</formula>
    </cfRule>
    <cfRule type="expression" dxfId="65" priority="29">
      <formula>AND(ISBLANK($E$115),$C$115="Ja")</formula>
    </cfRule>
  </conditionalFormatting>
  <conditionalFormatting sqref="F88">
    <cfRule type="cellIs" dxfId="64" priority="41" operator="notEqual">
      <formula>100%</formula>
    </cfRule>
  </conditionalFormatting>
  <conditionalFormatting sqref="H101">
    <cfRule type="expression" dxfId="63" priority="8">
      <formula>LEFT($C$19,6)="Onderw"</formula>
    </cfRule>
  </conditionalFormatting>
  <dataValidations xWindow="704" yWindow="638" count="18">
    <dataValidation type="list" allowBlank="1" showInputMessage="1" showErrorMessage="1" sqref="C146:C147 C95 C120 C129 C127 C131" xr:uid="{00000000-0002-0000-0000-000000000000}">
      <formula1>Lijst1</formula1>
    </dataValidation>
    <dataValidation type="list" allowBlank="1" showInputMessage="1" showErrorMessage="1" sqref="C51:D52" xr:uid="{00000000-0002-0000-0000-000001000000}">
      <formula1>Kernbeschrijving</formula1>
    </dataValidation>
    <dataValidation type="whole" errorStyle="warning" allowBlank="1" showInputMessage="1" showErrorMessage="1" errorTitle="Aantal uur per week" error="U heeft een waarde ingevuld die &lt; 0  of &gt; 48." sqref="C101 C104:C105" xr:uid="{00000000-0002-0000-0000-000002000000}">
      <formula1>0</formula1>
      <formula2>48</formula2>
    </dataValidation>
    <dataValidation type="date" operator="greaterThanOrEqual" allowBlank="1" showInputMessage="1" showErrorMessage="1" errorTitle="Einddatum" error="Einddatum mag niet voor startdatum liggen" sqref="C93" xr:uid="{00000000-0002-0000-0000-000003000000}">
      <formula1>C92</formula1>
    </dataValidation>
    <dataValidation type="whole" errorStyle="warning" allowBlank="1" showInputMessage="1" showErrorMessage="1" errorTitle="Aantal CV's" error="Het maximaal aantal CV's is hoger dan 5. Klopt dit ?" sqref="C73 C88" xr:uid="{00000000-0002-0000-0000-000004000000}">
      <formula1>0</formula1>
      <formula2>5</formula2>
    </dataValidation>
    <dataValidation type="date" errorStyle="warning" operator="greaterThan" allowBlank="1" showInputMessage="1" showErrorMessage="1" errorTitle="Startdatum" error="De ingevulde datum ligt voor de huidige datum." sqref="C92" xr:uid="{00000000-0002-0000-0000-000005000000}">
      <formula1>TODAY()</formula1>
    </dataValidation>
    <dataValidation type="date" errorStyle="warning" operator="greaterThan" allowBlank="1" showInputMessage="1" showErrorMessage="1" errorTitle="Publicatie" error="De ingevulde datum ligt niet na de sluitingsdatum voor het indienen van offertes." sqref="C144" xr:uid="{00000000-0002-0000-0000-000006000000}">
      <formula1>C140</formula1>
    </dataValidation>
    <dataValidation type="list" operator="equal" showInputMessage="1" showErrorMessage="1" sqref="D2" xr:uid="{00000000-0002-0000-0000-000007000000}">
      <formula1>Lijst1</formula1>
    </dataValidation>
    <dataValidation type="list" allowBlank="1" showErrorMessage="1" sqref="C19:F19" xr:uid="{00000000-0002-0000-0000-000008000000}">
      <formula1>Raamovereenkomsten</formula1>
    </dataValidation>
    <dataValidation type="list" allowBlank="1" showInputMessage="1" showErrorMessage="1" sqref="C21:F21" xr:uid="{00000000-0002-0000-0000-000009000000}">
      <formula1>INDIRECT(SUBSTITUTE(C20," ",""))</formula1>
    </dataValidation>
    <dataValidation type="list" showInputMessage="1" showErrorMessage="1" sqref="C20:F20" xr:uid="{00000000-0002-0000-0000-00000A000000}">
      <formula1>INDIRECT(SUBSTITUTE(C19," ",""))</formula1>
    </dataValidation>
    <dataValidation type="whole" errorStyle="information" operator="lessThan" allowBlank="1" showInputMessage="1" showErrorMessage="1" errorTitle="Bewezen aantal jaar" error="Meer dan 10 jaar ervaring wordt niet geadviseerd om te voorkomen dat geschikte kandidaten worden uitgesloten." sqref="F34:F41" xr:uid="{00000000-0002-0000-0000-00000B000000}">
      <formula1>11</formula1>
    </dataValidation>
    <dataValidation type="whole" errorStyle="information" operator="lessThan" allowBlank="1" showInputMessage="1" showErrorMessage="1" errorTitle="Bewezen aantal jaar" error="Het vragen van meer dan 10 jaar ervaring wordt niet geadviseerd, dit om te voorkomen dat geschikte kandidaten worden uitgesloten." sqref="F33" xr:uid="{00000000-0002-0000-0000-00000C000000}">
      <formula1>11</formula1>
    </dataValidation>
    <dataValidation errorStyle="warning" allowBlank="1" showInputMessage="1" showErrorMessage="1" errorTitle="Aantal CV's" error="Het maximaal aantal CV's is hoger dan 5. Klopt dit ?" sqref="C74:C75" xr:uid="{B0BD16E6-93F2-4260-8035-9801D0B2185E}"/>
    <dataValidation errorStyle="warning" allowBlank="1" errorTitle="Aantal CV's" error="Het maximaal aantal CV's is hoger dan 5. Klopt dit ?" sqref="C79:C87" xr:uid="{9CFB9B2F-AA13-410B-92BF-EC23BF343330}"/>
    <dataValidation allowBlank="1" sqref="C48:D50" xr:uid="{F3C25933-BE42-4CAD-A8C9-0B2C5A64BE31}"/>
    <dataValidation type="list" allowBlank="1" showInputMessage="1" showErrorMessage="1" sqref="C110" xr:uid="{638E0E5F-9E7C-4087-A5BD-83A7B0892642}">
      <formula1>INDIRECT(SUBSTITUTE(C10," ",""))</formula1>
    </dataValidation>
    <dataValidation type="list" allowBlank="1" showInputMessage="1" showErrorMessage="1" sqref="C10:F10" xr:uid="{00000000-0002-0000-0000-00000E000000}">
      <formula1>Dienst</formula1>
    </dataValidation>
  </dataValidations>
  <pageMargins left="0.62992125984251968" right="0.23622047244094491" top="0.55118110236220474" bottom="0.55118110236220474" header="0.31496062992125984" footer="0.31496062992125984"/>
  <pageSetup paperSize="9" scale="62" fitToHeight="0" orientation="portrait" r:id="rId2"/>
  <headerFooter>
    <oddFooter>&amp;L&amp;"Verdana,Standaard"&amp;9&amp;K000000&amp;F&amp;C&amp;"Verdana Vet,Vet"&amp;9&amp;K000000Pagina &amp;P van &amp;N&amp;R&amp;"Verdana,Standaard"&amp;9&amp;K000000&amp;D</oddFooter>
  </headerFooter>
  <rowBreaks count="2" manualBreakCount="2">
    <brk id="29" max="16383" man="1"/>
    <brk id="89" max="16383" man="1"/>
  </rowBreaks>
  <ignoredErrors>
    <ignoredError sqref="D137:D138 D140" unlockedFormula="1"/>
  </ignoredErrors>
  <drawing r:id="rId3"/>
  <legacyDrawing r:id="rId4"/>
  <extLst>
    <ext xmlns:x14="http://schemas.microsoft.com/office/spreadsheetml/2009/9/main" uri="{CCE6A557-97BC-4b89-ADB6-D9C93CAAB3DF}">
      <x14:dataValidations xmlns:xm="http://schemas.microsoft.com/office/excel/2006/main" xWindow="704" yWindow="638" count="1">
        <x14:dataValidation type="list" allowBlank="1" showInputMessage="1" showErrorMessage="1" xr:uid="{00000000-0002-0000-0000-00000D000000}">
          <x14:formula1>
            <xm:f>Brongegevens!$C$3:$C$5</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6CC8-AE2A-4885-8BA6-5C2245DE6B59}">
  <sheetPr codeName="Blad9">
    <pageSetUpPr fitToPage="1"/>
  </sheetPr>
  <dimension ref="A1:BS146"/>
  <sheetViews>
    <sheetView workbookViewId="0">
      <selection activeCell="B15" sqref="B15"/>
    </sheetView>
  </sheetViews>
  <sheetFormatPr defaultColWidth="10.83203125" defaultRowHeight="17.25" customHeight="1"/>
  <cols>
    <col min="1" max="1" width="3.58203125" style="107" customWidth="1"/>
    <col min="2" max="2" width="20.25" style="121" customWidth="1"/>
    <col min="3" max="3" width="17.83203125" style="121" customWidth="1"/>
    <col min="4" max="4" width="29.58203125" style="121" customWidth="1"/>
    <col min="5" max="5" width="9.08203125" style="121" customWidth="1"/>
    <col min="6" max="6" width="8" style="219" customWidth="1"/>
    <col min="7" max="7" width="7.83203125" style="121" bestFit="1" customWidth="1"/>
    <col min="8" max="8" width="10.5" style="121" hidden="1" customWidth="1"/>
    <col min="9" max="9" width="8.08203125" style="121" bestFit="1" customWidth="1"/>
    <col min="10" max="10" width="9.58203125" style="121" bestFit="1" customWidth="1"/>
    <col min="11" max="11" width="12.08203125" style="121" hidden="1" customWidth="1"/>
    <col min="12" max="12" width="9.83203125" style="121" customWidth="1"/>
    <col min="13" max="13" width="9.5" style="121" customWidth="1"/>
    <col min="14" max="14" width="9.33203125" style="219" customWidth="1"/>
    <col min="15" max="15" width="8.5" style="121" customWidth="1"/>
    <col min="16" max="16" width="7.25" style="121" customWidth="1"/>
    <col min="17" max="18" width="9.5" style="121" customWidth="1"/>
    <col min="19" max="19" width="15.33203125" style="219" customWidth="1"/>
    <col min="20" max="20" width="9" style="219" customWidth="1"/>
    <col min="21" max="21" width="2" style="219" customWidth="1"/>
    <col min="22" max="22" width="10" style="121" customWidth="1"/>
    <col min="23" max="23" width="11.08203125" style="121" customWidth="1"/>
    <col min="24" max="24" width="16.75" style="121" customWidth="1"/>
    <col min="25" max="25" width="2.5" style="121" customWidth="1"/>
    <col min="26" max="26" width="16.5" style="456" bestFit="1" customWidth="1"/>
    <col min="27" max="27" width="8.5" style="394" customWidth="1"/>
    <col min="28" max="28" width="18.75" style="482" bestFit="1" customWidth="1"/>
    <col min="29" max="29" width="11.33203125" style="482" customWidth="1"/>
    <col min="30" max="30" width="39.58203125" style="482" customWidth="1"/>
    <col min="31" max="31" width="11" style="480" customWidth="1"/>
    <col min="32" max="32" width="35.5" style="481" customWidth="1"/>
    <col min="33" max="33" width="41.25" style="481" customWidth="1"/>
    <col min="34" max="34" width="15.58203125" style="481" customWidth="1"/>
    <col min="35" max="38" width="10.08203125" style="481" customWidth="1"/>
    <col min="39" max="39" width="10.08203125" style="482" customWidth="1"/>
    <col min="40" max="40" width="12.58203125" style="482" bestFit="1" customWidth="1"/>
    <col min="41" max="45" width="10.83203125" style="361"/>
    <col min="46" max="46" width="33.33203125" style="361" customWidth="1"/>
    <col min="47" max="69" width="10.83203125" style="361"/>
    <col min="70" max="16384" width="10.83203125" style="121"/>
  </cols>
  <sheetData>
    <row r="1" spans="1:71" ht="25.5" customHeight="1">
      <c r="A1" s="684" t="s">
        <v>158</v>
      </c>
      <c r="B1" s="685"/>
      <c r="C1" s="686"/>
      <c r="D1" s="286"/>
      <c r="E1" s="694" t="s">
        <v>120</v>
      </c>
      <c r="F1" s="694"/>
      <c r="G1" s="694"/>
      <c r="I1" s="687">
        <f>'Aanvraag inhuur'!D1</f>
        <v>202410166</v>
      </c>
      <c r="J1" s="688"/>
      <c r="K1" s="688"/>
      <c r="L1" s="688"/>
      <c r="M1" s="689"/>
      <c r="N1" s="287"/>
      <c r="O1" s="222"/>
      <c r="P1" s="690" t="s">
        <v>44</v>
      </c>
      <c r="Q1" s="691"/>
      <c r="R1" s="282"/>
      <c r="S1" s="170" t="s">
        <v>45</v>
      </c>
      <c r="T1" s="222"/>
      <c r="U1" s="222"/>
      <c r="V1" s="222"/>
      <c r="W1" s="222"/>
      <c r="X1" s="222"/>
      <c r="Y1" s="223"/>
      <c r="Z1" s="576"/>
      <c r="AA1" s="576"/>
      <c r="AB1" s="448"/>
      <c r="AC1" s="448"/>
      <c r="AD1" s="448"/>
      <c r="AE1" s="127"/>
      <c r="AF1" s="426"/>
      <c r="AG1" s="426"/>
      <c r="AH1" s="426"/>
      <c r="AI1" s="426"/>
      <c r="AJ1" s="426"/>
      <c r="AK1" s="426"/>
      <c r="AL1" s="426"/>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4"/>
      <c r="BN1" s="394"/>
      <c r="BO1" s="394"/>
      <c r="BP1" s="394"/>
      <c r="BQ1" s="394"/>
      <c r="BR1" s="394"/>
      <c r="BS1" s="394"/>
    </row>
    <row r="2" spans="1:71" ht="24.75" customHeight="1">
      <c r="A2" s="692"/>
      <c r="B2" s="693"/>
      <c r="C2" s="693"/>
      <c r="D2" s="79"/>
      <c r="E2" s="79"/>
      <c r="F2" s="283"/>
      <c r="G2" s="79"/>
      <c r="H2" s="79"/>
      <c r="I2" s="79"/>
      <c r="J2" s="79"/>
      <c r="K2" s="79"/>
      <c r="L2" s="79"/>
      <c r="M2" s="79"/>
      <c r="N2" s="283"/>
      <c r="O2" s="79"/>
      <c r="P2" s="262"/>
      <c r="Q2" s="262"/>
      <c r="R2" s="262"/>
      <c r="S2" s="50"/>
      <c r="T2" s="50"/>
      <c r="U2" s="79"/>
      <c r="V2" s="50"/>
      <c r="W2" s="262"/>
      <c r="X2" s="50"/>
      <c r="Y2" s="284"/>
      <c r="Z2" s="127"/>
      <c r="AA2" s="127"/>
      <c r="AB2" s="448"/>
      <c r="AC2" s="448"/>
      <c r="AD2" s="448"/>
      <c r="AE2" s="127"/>
      <c r="AF2" s="426"/>
      <c r="AG2" s="426"/>
      <c r="AH2" s="426"/>
      <c r="AI2" s="426"/>
      <c r="AJ2" s="426"/>
      <c r="AK2" s="426"/>
      <c r="AL2" s="426"/>
      <c r="AM2" s="394"/>
      <c r="AN2" s="394"/>
      <c r="AO2" s="394"/>
      <c r="AP2" s="394"/>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row>
    <row r="3" spans="1:71" ht="24.75" customHeight="1">
      <c r="A3" s="314"/>
      <c r="B3" s="285"/>
      <c r="C3" s="285"/>
      <c r="D3" s="79"/>
      <c r="E3" s="79"/>
      <c r="F3" s="283"/>
      <c r="G3" s="79"/>
      <c r="H3" s="390" t="s">
        <v>361</v>
      </c>
      <c r="I3" s="79"/>
      <c r="J3" s="79"/>
      <c r="K3" s="79"/>
      <c r="L3" s="79"/>
      <c r="M3" s="79"/>
      <c r="N3" s="283"/>
      <c r="O3" s="79"/>
      <c r="P3" s="262"/>
      <c r="Q3" s="262"/>
      <c r="R3" s="262"/>
      <c r="S3" s="50"/>
      <c r="T3" s="50"/>
      <c r="U3" s="79"/>
      <c r="V3" s="50"/>
      <c r="W3" s="262"/>
      <c r="X3" s="50"/>
      <c r="Y3" s="284"/>
      <c r="Z3" s="127"/>
      <c r="AA3" s="127"/>
      <c r="AB3" s="448"/>
      <c r="AC3" s="448"/>
      <c r="AD3" s="448"/>
      <c r="AE3" s="127"/>
      <c r="AF3" s="426"/>
      <c r="AG3" s="426"/>
      <c r="AH3" s="426"/>
      <c r="AI3" s="426"/>
      <c r="AJ3" s="426"/>
      <c r="AK3" s="426"/>
      <c r="AL3" s="426"/>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c r="BQ3" s="394"/>
      <c r="BR3" s="394"/>
      <c r="BS3" s="394"/>
    </row>
    <row r="4" spans="1:71" ht="17.25" customHeight="1">
      <c r="A4" s="675" t="s">
        <v>159</v>
      </c>
      <c r="B4" s="676"/>
      <c r="C4" s="676"/>
      <c r="D4" s="676"/>
      <c r="E4" s="676"/>
      <c r="F4" s="676"/>
      <c r="G4" s="676"/>
      <c r="H4" s="676"/>
      <c r="I4" s="676"/>
      <c r="J4" s="676"/>
      <c r="K4" s="676"/>
      <c r="L4" s="676"/>
      <c r="M4" s="677"/>
      <c r="N4" s="283"/>
      <c r="O4" s="79"/>
      <c r="P4" s="678" t="s">
        <v>160</v>
      </c>
      <c r="Q4" s="591"/>
      <c r="R4" s="591"/>
      <c r="S4" s="591"/>
      <c r="T4" s="679"/>
      <c r="U4" s="79"/>
      <c r="V4" s="675" t="s">
        <v>161</v>
      </c>
      <c r="W4" s="676"/>
      <c r="X4" s="677"/>
      <c r="Y4" s="284"/>
      <c r="Z4" s="523"/>
      <c r="AA4" s="127"/>
      <c r="AB4" s="448"/>
      <c r="AC4" s="448"/>
      <c r="AD4" s="448"/>
      <c r="AE4" s="127"/>
      <c r="AF4" s="426"/>
      <c r="AG4" s="426"/>
      <c r="AH4" s="426"/>
      <c r="AI4" s="426"/>
      <c r="AJ4" s="426"/>
      <c r="AK4" s="426"/>
      <c r="AL4" s="426"/>
      <c r="AM4" s="394"/>
      <c r="AN4" s="394"/>
      <c r="AO4" s="394"/>
      <c r="AP4" s="394"/>
      <c r="AQ4" s="394"/>
      <c r="AR4" s="394"/>
      <c r="AS4" s="394"/>
      <c r="AT4" s="394"/>
      <c r="AU4" s="394"/>
      <c r="AV4" s="394"/>
      <c r="AW4" s="394"/>
      <c r="AX4" s="394"/>
      <c r="AY4" s="394"/>
      <c r="AZ4" s="394"/>
      <c r="BA4" s="394"/>
      <c r="BB4" s="394"/>
      <c r="BC4" s="394"/>
      <c r="BD4" s="394"/>
      <c r="BE4" s="394"/>
      <c r="BF4" s="394"/>
      <c r="BG4" s="394"/>
      <c r="BH4" s="394"/>
      <c r="BI4" s="394"/>
      <c r="BJ4" s="394"/>
      <c r="BK4" s="394"/>
      <c r="BL4" s="394"/>
      <c r="BM4" s="394"/>
      <c r="BN4" s="394"/>
      <c r="BO4" s="394"/>
      <c r="BP4" s="394"/>
      <c r="BQ4" s="394"/>
      <c r="BR4" s="394"/>
      <c r="BS4" s="394"/>
    </row>
    <row r="5" spans="1:71" ht="15.75" customHeight="1">
      <c r="A5" s="148"/>
      <c r="B5" s="49"/>
      <c r="C5" s="363"/>
      <c r="D5" s="50"/>
      <c r="E5" s="292"/>
      <c r="F5" s="262"/>
      <c r="G5" s="50"/>
      <c r="H5" s="50"/>
      <c r="I5" s="50"/>
      <c r="J5" s="50"/>
      <c r="K5" s="50"/>
      <c r="L5" s="50"/>
      <c r="M5" s="50"/>
      <c r="N5" s="283"/>
      <c r="O5" s="79"/>
      <c r="P5" s="262"/>
      <c r="Q5" s="262"/>
      <c r="R5" s="262"/>
      <c r="S5" s="50"/>
      <c r="T5" s="50"/>
      <c r="U5" s="79"/>
      <c r="V5" s="698" t="s">
        <v>225</v>
      </c>
      <c r="W5" s="698"/>
      <c r="X5" s="698"/>
      <c r="Y5" s="284"/>
      <c r="Z5" s="524" t="s">
        <v>347</v>
      </c>
      <c r="AA5" s="127" t="str">
        <f>Brongegevens!A10</f>
        <v>T:\rvo\IUC\13 Inhuur derden\01. Mini-comp\01. In behandeling\</v>
      </c>
      <c r="AB5" s="448"/>
      <c r="AC5" s="448"/>
      <c r="AD5" s="448"/>
      <c r="AE5" s="127"/>
      <c r="AF5" s="426"/>
      <c r="AG5" s="426"/>
      <c r="AH5" s="426"/>
      <c r="AI5" s="426"/>
      <c r="AJ5" s="426"/>
      <c r="AK5" s="426"/>
      <c r="AL5" s="426"/>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row>
    <row r="6" spans="1:71" s="106" customFormat="1" ht="17.25" customHeight="1">
      <c r="A6" s="696" t="s">
        <v>0</v>
      </c>
      <c r="B6" s="697"/>
      <c r="C6" s="366" t="str">
        <f>'Aanvraag inhuur'!C9</f>
        <v>Ministerie van Economische Zaken</v>
      </c>
      <c r="D6" s="366"/>
      <c r="E6" s="292"/>
      <c r="F6" s="680" t="s">
        <v>222</v>
      </c>
      <c r="G6" s="680"/>
      <c r="H6" s="680"/>
      <c r="I6" s="672" t="str">
        <f>'Aanvraag inhuur'!C13</f>
        <v>Persoon Y</v>
      </c>
      <c r="J6" s="672"/>
      <c r="K6" s="672"/>
      <c r="L6" s="672"/>
      <c r="M6" s="672"/>
      <c r="N6" s="293"/>
      <c r="O6" s="293"/>
      <c r="P6" s="294" t="s">
        <v>162</v>
      </c>
      <c r="Q6" s="294"/>
      <c r="R6" s="294"/>
      <c r="S6" s="294"/>
      <c r="T6" s="295">
        <f>'Aanvraag inhuur'!C79</f>
        <v>0</v>
      </c>
      <c r="U6" s="293"/>
      <c r="V6" s="699"/>
      <c r="W6" s="699"/>
      <c r="X6" s="699"/>
      <c r="Y6" s="284"/>
      <c r="Z6" s="127" t="s">
        <v>348</v>
      </c>
      <c r="AA6" s="525" t="str">
        <f>CONCATENATE(Brongegevens!A10,"AV",I1,"\")</f>
        <v>T:\rvo\IUC\13 Inhuur derden\01. Mini-comp\01. In behandeling\AV202410166\</v>
      </c>
      <c r="AB6" s="128"/>
      <c r="AC6" s="128"/>
      <c r="AD6" s="128"/>
      <c r="AE6" s="127"/>
      <c r="AF6" s="426"/>
      <c r="AG6" s="426"/>
      <c r="AH6" s="426"/>
      <c r="AI6" s="426"/>
      <c r="AJ6" s="426"/>
      <c r="AK6" s="426"/>
      <c r="AL6" s="426"/>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row>
    <row r="7" spans="1:71" s="106" customFormat="1" ht="17.25" customHeight="1">
      <c r="A7" s="696" t="s">
        <v>1</v>
      </c>
      <c r="B7" s="697"/>
      <c r="C7" s="366" t="str">
        <f>'Aanvraag inhuur'!C10</f>
        <v>RVO</v>
      </c>
      <c r="D7" s="366"/>
      <c r="E7" s="292"/>
      <c r="F7" s="680" t="s">
        <v>144</v>
      </c>
      <c r="G7" s="680"/>
      <c r="H7" s="680"/>
      <c r="I7" s="672" t="str">
        <f>'Aanvraag inhuur'!C14</f>
        <v>Persoon Z</v>
      </c>
      <c r="J7" s="672"/>
      <c r="K7" s="672"/>
      <c r="L7" s="672"/>
      <c r="M7" s="672"/>
      <c r="N7" s="293"/>
      <c r="O7" s="293"/>
      <c r="P7" s="294" t="s">
        <v>226</v>
      </c>
      <c r="Q7" s="294"/>
      <c r="R7" s="294"/>
      <c r="S7" s="294"/>
      <c r="T7" s="295">
        <f>'Aanvraag inhuur'!C80+'Aanvraag inhuur'!C81+'Aanvraag inhuur'!C82+'Aanvraag inhuur'!C83+'Aanvraag inhuur'!C84+'Aanvraag inhuur'!C85+'Aanvraag inhuur'!C86+'Aanvraag inhuur'!C87</f>
        <v>100</v>
      </c>
      <c r="U7" s="296"/>
      <c r="V7" s="699"/>
      <c r="W7" s="699"/>
      <c r="X7" s="699"/>
      <c r="Y7" s="284"/>
      <c r="Z7" s="127" t="s">
        <v>349</v>
      </c>
      <c r="AA7" s="525" t="str">
        <f>CONCATENATE("AV",I1)</f>
        <v>AV202410166</v>
      </c>
      <c r="AB7" s="128"/>
      <c r="AC7" s="128"/>
      <c r="AD7" s="128"/>
      <c r="AE7" s="127"/>
      <c r="AF7" s="426"/>
      <c r="AG7" s="426"/>
      <c r="AH7" s="426"/>
      <c r="AI7" s="426"/>
      <c r="AJ7" s="426"/>
      <c r="AK7" s="426"/>
      <c r="AL7" s="426"/>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row>
    <row r="8" spans="1:71" s="106" customFormat="1" ht="17.25" customHeight="1">
      <c r="A8" s="696" t="s">
        <v>206</v>
      </c>
      <c r="B8" s="697"/>
      <c r="C8" s="366" t="str">
        <f>'Aanvraag inhuur'!C11</f>
        <v>Afdeling X</v>
      </c>
      <c r="D8" s="366"/>
      <c r="E8" s="292"/>
      <c r="F8" s="392">
        <f>'Aanvraag inhuur'!C92</f>
        <v>0</v>
      </c>
      <c r="G8" s="392" t="str">
        <f>'Aanvraag inhuur'!C18</f>
        <v>Adviseur Data management (Medior)</v>
      </c>
      <c r="H8" s="297"/>
      <c r="I8" s="672"/>
      <c r="J8" s="672"/>
      <c r="K8" s="672"/>
      <c r="L8" s="672"/>
      <c r="M8" s="672"/>
      <c r="N8" s="293"/>
      <c r="O8" s="293"/>
      <c r="P8" s="697" t="s">
        <v>239</v>
      </c>
      <c r="Q8" s="697"/>
      <c r="R8" s="697"/>
      <c r="S8" s="697"/>
      <c r="T8" s="365">
        <f>'Aanvraag inhuur'!C136</f>
        <v>0</v>
      </c>
      <c r="U8" s="229"/>
      <c r="V8" s="695" t="s">
        <v>397</v>
      </c>
      <c r="W8" s="695"/>
      <c r="X8" s="297"/>
      <c r="Y8" s="284"/>
      <c r="Z8" s="127" t="s">
        <v>350</v>
      </c>
      <c r="AA8" s="525" t="str">
        <f>CONCATENATE("Offerteformulier ",I1)</f>
        <v>Offerteformulier 202410166</v>
      </c>
      <c r="AB8" s="128"/>
      <c r="AC8" s="128"/>
      <c r="AD8" s="128"/>
      <c r="AE8" s="127"/>
      <c r="AF8" s="426"/>
      <c r="AG8" s="426"/>
      <c r="AH8" s="426"/>
      <c r="AI8" s="426"/>
      <c r="AJ8" s="426"/>
      <c r="AK8" s="426"/>
      <c r="AL8" s="426"/>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row>
    <row r="9" spans="1:71" s="106" customFormat="1" ht="17.25" customHeight="1">
      <c r="A9" s="355" t="s">
        <v>208</v>
      </c>
      <c r="B9" s="298"/>
      <c r="C9" s="354" t="str">
        <f>'Aanvraag inhuur'!C19:D19</f>
        <v>Data Specialisten</v>
      </c>
      <c r="D9" s="354"/>
      <c r="E9" s="292"/>
      <c r="F9" s="392">
        <f>'Aanvraag inhuur'!C93</f>
        <v>0</v>
      </c>
      <c r="G9" s="299"/>
      <c r="H9" s="299"/>
      <c r="I9" s="354"/>
      <c r="J9" s="354"/>
      <c r="K9" s="354"/>
      <c r="L9" s="354"/>
      <c r="M9" s="354"/>
      <c r="N9" s="293"/>
      <c r="O9" s="293"/>
      <c r="P9" s="697" t="s">
        <v>398</v>
      </c>
      <c r="Q9" s="697"/>
      <c r="R9" s="697"/>
      <c r="S9" s="697"/>
      <c r="T9" s="465">
        <v>1</v>
      </c>
      <c r="U9" s="229"/>
      <c r="V9" s="695"/>
      <c r="W9" s="695"/>
      <c r="X9" s="297"/>
      <c r="Y9" s="284"/>
      <c r="Z9" s="524" t="s">
        <v>351</v>
      </c>
      <c r="AA9" s="525" t="str">
        <f>CONCATENATE("Beoordelingsformulier ",I1)</f>
        <v>Beoordelingsformulier 202410166</v>
      </c>
      <c r="AB9" s="128"/>
      <c r="AC9" s="128"/>
      <c r="AD9" s="128"/>
      <c r="AE9" s="127"/>
      <c r="AF9" s="426"/>
      <c r="AG9" s="426"/>
      <c r="AH9" s="426"/>
      <c r="AI9" s="426"/>
      <c r="AJ9" s="426"/>
      <c r="AK9" s="426"/>
      <c r="AL9" s="426"/>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row>
    <row r="10" spans="1:71" s="106" customFormat="1" ht="17.25" customHeight="1">
      <c r="A10" s="355" t="s">
        <v>209</v>
      </c>
      <c r="B10" s="298"/>
      <c r="C10" s="354" t="str">
        <f>'Aanvraag inhuur'!C20:D20</f>
        <v>N.v.t. bij data specialisten</v>
      </c>
      <c r="D10" s="292"/>
      <c r="E10" s="292"/>
      <c r="F10" s="393">
        <f>'Aanvraag inhuur'!C104</f>
        <v>36</v>
      </c>
      <c r="G10" s="299"/>
      <c r="H10" s="299"/>
      <c r="I10" s="672"/>
      <c r="J10" s="672"/>
      <c r="K10" s="672"/>
      <c r="L10" s="672"/>
      <c r="M10" s="672"/>
      <c r="N10" s="293"/>
      <c r="O10" s="293"/>
      <c r="P10" s="674" t="str">
        <f>IF(T9&gt;'Aanvraag inhuur'!C101,"Je wilt aan meer mensen gunnen als in de offerteaanvraag staat.",IF($S$1="Geen gunning","Bij geen gunning dient het aantal medewerkers gunnen 0 te zijn.",""))</f>
        <v/>
      </c>
      <c r="Q10" s="674"/>
      <c r="R10" s="674"/>
      <c r="S10" s="674"/>
      <c r="T10" s="454">
        <f>IF($S$1="Geen gunning",0,T9)</f>
        <v>1</v>
      </c>
      <c r="U10" s="229"/>
      <c r="V10" s="695"/>
      <c r="W10" s="695"/>
      <c r="X10" s="297"/>
      <c r="Y10" s="284"/>
      <c r="Z10" s="526" t="s">
        <v>360</v>
      </c>
      <c r="AA10" s="525" t="str">
        <f>CONCATENATE("NOA ",I1)</f>
        <v>NOA 202410166</v>
      </c>
      <c r="AB10" s="128"/>
      <c r="AC10" s="128"/>
      <c r="AD10" s="128"/>
      <c r="AE10" s="127"/>
      <c r="AF10" s="426"/>
      <c r="AG10" s="426"/>
      <c r="AH10" s="426"/>
      <c r="AI10" s="426"/>
      <c r="AJ10" s="426"/>
      <c r="AK10" s="426"/>
      <c r="AL10" s="426"/>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row>
    <row r="11" spans="1:71" s="106" customFormat="1" ht="17.25" customHeight="1">
      <c r="A11" s="355" t="s">
        <v>220</v>
      </c>
      <c r="B11" s="298"/>
      <c r="C11" s="354">
        <f>'Aanvraag inhuur'!C21:F21</f>
        <v>0</v>
      </c>
      <c r="D11" s="292"/>
      <c r="E11" s="391" t="str">
        <f>'Aanvraag inhuur'!C108</f>
        <v>Conform ROK</v>
      </c>
      <c r="F11" s="393">
        <v>1</v>
      </c>
      <c r="G11" s="299"/>
      <c r="H11" s="299"/>
      <c r="I11" s="354"/>
      <c r="J11" s="354"/>
      <c r="K11" s="354"/>
      <c r="L11" s="354"/>
      <c r="M11" s="354"/>
      <c r="N11" s="293"/>
      <c r="O11" s="293"/>
      <c r="P11" s="674"/>
      <c r="Q11" s="674"/>
      <c r="R11" s="674"/>
      <c r="S11" s="674"/>
      <c r="T11" s="466">
        <f>IF($S$1="Geen gunning",0,'Aanvraag inhuur'!$C$101)</f>
        <v>1</v>
      </c>
      <c r="U11" s="466"/>
      <c r="V11" s="466"/>
      <c r="W11" s="466"/>
      <c r="X11" s="297"/>
      <c r="Y11" s="284"/>
      <c r="Z11" s="524" t="s">
        <v>352</v>
      </c>
      <c r="AA11" s="525" t="str">
        <f>VLOOKUP($C$9,Brongegevens!$S:$AK,19,FALSE)</f>
        <v>ON_Data_Analist</v>
      </c>
      <c r="AB11" s="128"/>
      <c r="AC11" s="128"/>
      <c r="AD11" s="128"/>
      <c r="AE11" s="127"/>
      <c r="AF11" s="426"/>
      <c r="AG11" s="426"/>
      <c r="AH11" s="426"/>
      <c r="AI11" s="426"/>
      <c r="AJ11" s="426"/>
      <c r="AK11" s="426"/>
      <c r="AL11" s="426"/>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row>
    <row r="12" spans="1:71" s="106" customFormat="1" ht="17.25" customHeight="1">
      <c r="A12" s="355"/>
      <c r="B12" s="298"/>
      <c r="C12" s="354">
        <f>'Aanvraag inhuur'!C22</f>
        <v>11</v>
      </c>
      <c r="D12" s="388">
        <f>'Aanvraag inhuur'!C73</f>
        <v>2</v>
      </c>
      <c r="E12" s="292"/>
      <c r="F12" s="680" t="s">
        <v>454</v>
      </c>
      <c r="G12" s="680"/>
      <c r="H12" s="680"/>
      <c r="I12" s="681"/>
      <c r="J12" s="682"/>
      <c r="K12" s="682"/>
      <c r="L12" s="682"/>
      <c r="M12" s="683"/>
      <c r="N12" s="293"/>
      <c r="O12" s="293"/>
      <c r="P12" s="294" t="s">
        <v>407</v>
      </c>
      <c r="Q12" s="294"/>
      <c r="R12" s="294"/>
      <c r="S12" s="294"/>
      <c r="T12" s="478">
        <f>IF($S$1="Geen gunning",0,'Aanvraag inhuur'!$C$92)</f>
        <v>0</v>
      </c>
      <c r="U12" s="466"/>
      <c r="V12" s="466"/>
      <c r="W12" s="466"/>
      <c r="X12" s="297"/>
      <c r="Y12" s="284"/>
      <c r="Z12" s="527"/>
      <c r="AA12" s="525"/>
      <c r="AB12" s="128"/>
      <c r="AC12" s="128"/>
      <c r="AD12" s="128"/>
      <c r="AE12" s="127"/>
      <c r="AF12" s="426"/>
      <c r="AG12" s="426"/>
      <c r="AH12" s="426"/>
      <c r="AI12" s="426"/>
      <c r="AJ12" s="426"/>
      <c r="AK12" s="426"/>
      <c r="AL12" s="426"/>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row>
    <row r="13" spans="1:71" s="106" customFormat="1" ht="46.5" customHeight="1">
      <c r="A13" s="300"/>
      <c r="B13" s="301"/>
      <c r="C13" s="302"/>
      <c r="D13" s="389"/>
      <c r="E13" s="292"/>
      <c r="F13" s="673" t="s">
        <v>185</v>
      </c>
      <c r="G13" s="673"/>
      <c r="H13" s="673"/>
      <c r="I13" s="673"/>
      <c r="J13" s="673" t="s">
        <v>163</v>
      </c>
      <c r="K13" s="673"/>
      <c r="L13" s="673"/>
      <c r="M13" s="673"/>
      <c r="N13" s="673"/>
      <c r="O13" s="303"/>
      <c r="P13" s="673" t="str">
        <f>IF(T12&gt;('Aanvraag inhuur'!C92-3),"Startdatum is meer dan 3 dagen voor startdatum offerteaanvraag. ","")</f>
        <v xml:space="preserve">Startdatum is meer dan 3 dagen voor startdatum offerteaanvraag. </v>
      </c>
      <c r="Q13" s="673"/>
      <c r="R13" s="673"/>
      <c r="S13" s="673"/>
      <c r="T13" s="301"/>
      <c r="U13" s="304"/>
      <c r="V13" s="301"/>
      <c r="W13" s="297"/>
      <c r="X13" s="297"/>
      <c r="Y13" s="288"/>
      <c r="Z13" s="127" t="s">
        <v>832</v>
      </c>
      <c r="AA13" s="528"/>
      <c r="AB13" s="426"/>
      <c r="AC13" s="426"/>
      <c r="AD13" s="426"/>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row>
    <row r="14" spans="1:71" s="281" customFormat="1" ht="40.5" thickBot="1">
      <c r="A14" s="305"/>
      <c r="B14" s="306" t="s">
        <v>164</v>
      </c>
      <c r="C14" s="306" t="s">
        <v>144</v>
      </c>
      <c r="D14" s="306" t="s">
        <v>165</v>
      </c>
      <c r="E14" s="307" t="s">
        <v>166</v>
      </c>
      <c r="F14" s="308" t="s">
        <v>167</v>
      </c>
      <c r="G14" s="309" t="s">
        <v>168</v>
      </c>
      <c r="H14" s="309"/>
      <c r="I14" s="312" t="s">
        <v>224</v>
      </c>
      <c r="J14" s="308" t="s">
        <v>169</v>
      </c>
      <c r="K14" s="311" t="e">
        <f>SMALL(K15:K102,1)</f>
        <v>#NUM!</v>
      </c>
      <c r="L14" s="309" t="s">
        <v>223</v>
      </c>
      <c r="M14" s="309" t="s">
        <v>170</v>
      </c>
      <c r="N14" s="310" t="s">
        <v>171</v>
      </c>
      <c r="O14" s="325" t="s">
        <v>172</v>
      </c>
      <c r="P14" s="670" t="s">
        <v>173</v>
      </c>
      <c r="Q14" s="671"/>
      <c r="R14" s="671"/>
      <c r="S14" s="671"/>
      <c r="T14" s="671"/>
      <c r="U14" s="265"/>
      <c r="V14" s="315"/>
      <c r="W14" s="265"/>
      <c r="X14" s="316"/>
      <c r="Y14" s="317"/>
      <c r="Z14" s="529"/>
      <c r="AA14" s="530" t="s">
        <v>174</v>
      </c>
      <c r="AB14" s="427" t="s">
        <v>339</v>
      </c>
      <c r="AC14" s="427" t="s">
        <v>346</v>
      </c>
      <c r="AD14" s="427" t="s">
        <v>404</v>
      </c>
      <c r="AE14" s="128"/>
      <c r="AF14" s="128"/>
      <c r="AG14" s="128"/>
      <c r="AH14" s="128"/>
      <c r="AI14" s="128"/>
      <c r="AJ14" s="128"/>
      <c r="AK14" s="128"/>
      <c r="AL14" s="128"/>
      <c r="AM14" s="427"/>
      <c r="AN14" s="427"/>
      <c r="AO14" s="427"/>
      <c r="AP14" s="427"/>
      <c r="AQ14" s="427" t="str">
        <f>B14</f>
        <v>Opdrachtnemer</v>
      </c>
      <c r="AR14" s="427">
        <f>AH14</f>
        <v>0</v>
      </c>
      <c r="AS14" s="427" t="str">
        <f>N14</f>
        <v>Totaal score</v>
      </c>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row>
    <row r="15" spans="1:71" s="106" customFormat="1" ht="25" customHeight="1">
      <c r="A15" s="313">
        <v>1</v>
      </c>
      <c r="B15" s="174"/>
      <c r="C15" s="175"/>
      <c r="D15" s="175"/>
      <c r="E15" s="423"/>
      <c r="F15" s="468"/>
      <c r="G15" s="424"/>
      <c r="H15" s="279" t="str">
        <f>CONCATENATE(F15,G15)</f>
        <v/>
      </c>
      <c r="I15" s="469" t="str">
        <f>IF(H15="JaJa","Ja",IF(H15="","","Nee"))</f>
        <v/>
      </c>
      <c r="J15" s="472"/>
      <c r="K15" s="176" t="b">
        <f>IF(J15&gt;0,IF(I15="Ja",J15,"999"))</f>
        <v>0</v>
      </c>
      <c r="L15" s="320">
        <f t="shared" ref="L15:L102" si="0">IF(I15="Ja",IF(J15&gt;0,AA15*$T$6,0),0)</f>
        <v>0</v>
      </c>
      <c r="M15" s="177"/>
      <c r="N15" s="323">
        <f>IF(I15="Ja",L15+M15,0)</f>
        <v>0</v>
      </c>
      <c r="O15" s="186" t="str">
        <f t="shared" ref="O15:O49" si="1">IF($S$1="Gunnen",IF(N15&gt;0,RANK(N15,$N$15:$N$102,0),IF(I15="Nee","Exit","")),"")</f>
        <v/>
      </c>
      <c r="P15" s="667"/>
      <c r="Q15" s="668"/>
      <c r="R15" s="668"/>
      <c r="S15" s="668"/>
      <c r="T15" s="668"/>
      <c r="U15" s="668"/>
      <c r="V15" s="668"/>
      <c r="W15" s="668"/>
      <c r="X15" s="669"/>
      <c r="Y15" s="318"/>
      <c r="Z15" s="426">
        <f>IFERROR(VLOOKUP(D15,#REF!,1,FALSE),0)</f>
        <v>0</v>
      </c>
      <c r="AA15" s="476" t="b">
        <f t="shared" ref="AA15:AA102" si="2">IF(J15&gt;0,IF(J15&lt;999,$K$14/J15,))</f>
        <v>0</v>
      </c>
      <c r="AB15" s="128" t="e">
        <f>VLOOKUP($B15,Leveranciersnamen!$D:$E,2,FALSE)</f>
        <v>#N/A</v>
      </c>
      <c r="AC15" s="128" t="str">
        <f>IF($B15&lt;="","Geen waarde",IFERROR(VLOOKUP(CONCATENATE($C$9,$C$10,$B15),Leveranciersnamen!$A:$A,1,FALSE),"fout"))</f>
        <v>Geen waarde</v>
      </c>
      <c r="AD15" s="128" t="str">
        <f>IF(O15="exit",COUNTA(B$15:B$102)-COUNTIF(O$15:O$102,"Exit")+1,O15)</f>
        <v/>
      </c>
      <c r="AE15" s="128" t="s">
        <v>324</v>
      </c>
      <c r="AF15" s="128"/>
      <c r="AG15" s="128" t="str">
        <f>IF(AC15="fout","fout",IF(B15&lt;&gt;"",VLOOKUP(CONCATENATE(C$9,C$10,$B15),Leveranciersnamen!$A:$F,6,FALSE),""))</f>
        <v/>
      </c>
      <c r="AH15" s="128" t="str">
        <f t="shared" ref="AH15" si="3">IF(N15=0,TEXT(N15,"0,00"),TEXT(N15,"###,00"))</f>
        <v>0,00</v>
      </c>
      <c r="AI15" s="128" t="s">
        <v>325</v>
      </c>
      <c r="AJ15" s="128"/>
      <c r="AK15" s="128"/>
      <c r="AL15" s="128" t="s">
        <v>399</v>
      </c>
      <c r="AM15" s="128"/>
      <c r="AN15" s="128"/>
      <c r="AO15" s="128"/>
      <c r="AP15" s="128"/>
      <c r="AQ15" s="427" t="s">
        <v>461</v>
      </c>
      <c r="AR15" s="427" t="s">
        <v>1077</v>
      </c>
      <c r="AS15" s="427">
        <v>130</v>
      </c>
      <c r="AT15" s="129" t="str">
        <f>AQ15&amp;" met "&amp;AR15&amp;" punten"&amp;IF($AU15=$T$10,".",IF(AND($AU15&lt;$T10,AS$16=0),".",","))</f>
        <v>EY Advisory Netherlands LLP met 130,00 punten.</v>
      </c>
      <c r="AU15" s="128">
        <v>1</v>
      </c>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row>
    <row r="16" spans="1:71" ht="25" customHeight="1">
      <c r="A16" s="313">
        <v>2</v>
      </c>
      <c r="B16" s="178"/>
      <c r="C16" s="179"/>
      <c r="D16" s="179"/>
      <c r="E16" s="181"/>
      <c r="F16" s="425"/>
      <c r="G16" s="277"/>
      <c r="H16" s="183" t="str">
        <f t="shared" ref="H16:H102" si="4">CONCATENATE(F16,G16)</f>
        <v/>
      </c>
      <c r="I16" s="470" t="str">
        <f t="shared" ref="I16:I102" si="5">IF(H16="JaJa","Ja",IF(H16="","","Nee"))</f>
        <v/>
      </c>
      <c r="J16" s="473"/>
      <c r="K16" s="184" t="b">
        <f t="shared" ref="K16:K102" si="6">IF(J16&gt;0,IF(I16="Ja",J16,"999"))</f>
        <v>0</v>
      </c>
      <c r="L16" s="321">
        <f t="shared" si="0"/>
        <v>0</v>
      </c>
      <c r="M16" s="185"/>
      <c r="N16" s="322">
        <f>IF(I16="Ja",L16+M16,0)</f>
        <v>0</v>
      </c>
      <c r="O16" s="186" t="str">
        <f t="shared" si="1"/>
        <v/>
      </c>
      <c r="P16" s="661"/>
      <c r="Q16" s="662"/>
      <c r="R16" s="662"/>
      <c r="S16" s="662"/>
      <c r="T16" s="662"/>
      <c r="U16" s="662"/>
      <c r="V16" s="662"/>
      <c r="W16" s="662"/>
      <c r="X16" s="663"/>
      <c r="Y16" s="318"/>
      <c r="Z16" s="426">
        <f>IFERROR(VLOOKUP(D16,#REF!,1,FALSE),0)</f>
        <v>0</v>
      </c>
      <c r="AA16" s="476" t="b">
        <f t="shared" si="2"/>
        <v>0</v>
      </c>
      <c r="AB16" s="128" t="e">
        <f>VLOOKUP($B16,Leveranciersnamen!$D:$E,2,FALSE)</f>
        <v>#N/A</v>
      </c>
      <c r="AC16" s="128" t="str">
        <f>IF($B16&lt;="","Geen waarde",IFERROR(VLOOKUP(CONCATENATE($C$9,$C$10,$B16),Leveranciersnamen!$A:$A,1,FALSE),"fout"))</f>
        <v>Geen waarde</v>
      </c>
      <c r="AD16" s="128" t="str">
        <f t="shared" ref="AD16:AD79" si="7">IF(O16="exit",COUNTA(B$15:B$102)-COUNTIF(O$15:O$102,"Exit")+1,O16)</f>
        <v/>
      </c>
      <c r="AE16" s="128"/>
      <c r="AF16" s="128"/>
      <c r="AG16" s="128" t="str">
        <f>IF(AC16="fout","fout",IF(B16&lt;&gt;"",VLOOKUP(CONCATENATE(C$9,C$10,$B16),Leveranciersnamen!$A:$F,6,FALSE),""))</f>
        <v/>
      </c>
      <c r="AH16" s="128" t="str">
        <f>IF(N16=0,TEXT(N16,"0,00"),TEXT(N16,"###,00"))</f>
        <v>0,00</v>
      </c>
      <c r="AI16" s="128"/>
      <c r="AJ16" s="128"/>
      <c r="AK16" s="128"/>
      <c r="AL16" s="128"/>
      <c r="AM16" s="394"/>
      <c r="AN16" s="394"/>
      <c r="AO16" s="394"/>
      <c r="AP16" s="394"/>
      <c r="AQ16" s="427">
        <v>0</v>
      </c>
      <c r="AR16" s="427" t="s">
        <v>405</v>
      </c>
      <c r="AS16" s="427">
        <v>0</v>
      </c>
      <c r="AT16" s="129" t="str">
        <f>IF(AU16&lt;=$T$10,IF(AS16=0,"",AT15&amp;CHAR(10)&amp;AQ16&amp;" met "&amp;AR16&amp;" punten"&amp;IF($AU16=$T$10,".",IF(AND($AU16&lt;$T$10,AS17=0),".",","))),"")</f>
        <v/>
      </c>
      <c r="AU16" s="394">
        <v>2</v>
      </c>
      <c r="AV16" s="394"/>
      <c r="AW16" s="394"/>
      <c r="AX16" s="394"/>
      <c r="AY16" s="394"/>
      <c r="AZ16" s="394"/>
      <c r="BA16" s="394"/>
      <c r="BB16" s="394"/>
      <c r="BC16" s="394"/>
      <c r="BD16" s="394"/>
      <c r="BE16" s="394"/>
      <c r="BF16" s="394"/>
      <c r="BG16" s="394"/>
      <c r="BH16" s="394"/>
      <c r="BI16" s="394"/>
      <c r="BJ16" s="394"/>
      <c r="BK16" s="394"/>
      <c r="BL16" s="394"/>
      <c r="BM16" s="394"/>
      <c r="BN16" s="394"/>
      <c r="BO16" s="394"/>
      <c r="BP16" s="394"/>
      <c r="BQ16" s="394"/>
      <c r="BR16" s="394"/>
    </row>
    <row r="17" spans="1:70" ht="25" customHeight="1">
      <c r="A17" s="313">
        <v>3</v>
      </c>
      <c r="B17" s="178"/>
      <c r="C17" s="179"/>
      <c r="D17" s="179"/>
      <c r="E17" s="181"/>
      <c r="F17" s="425"/>
      <c r="G17" s="277"/>
      <c r="H17" s="183" t="str">
        <f t="shared" si="4"/>
        <v/>
      </c>
      <c r="I17" s="470" t="str">
        <f t="shared" si="5"/>
        <v/>
      </c>
      <c r="J17" s="473"/>
      <c r="K17" s="184" t="b">
        <f t="shared" si="6"/>
        <v>0</v>
      </c>
      <c r="L17" s="321">
        <f t="shared" si="0"/>
        <v>0</v>
      </c>
      <c r="M17" s="185"/>
      <c r="N17" s="322">
        <f t="shared" ref="N17:N102" si="8">IF(I17="Ja",L17+M17,0)</f>
        <v>0</v>
      </c>
      <c r="O17" s="186" t="str">
        <f t="shared" si="1"/>
        <v/>
      </c>
      <c r="P17" s="661"/>
      <c r="Q17" s="662"/>
      <c r="R17" s="662"/>
      <c r="S17" s="662"/>
      <c r="T17" s="662"/>
      <c r="U17" s="662"/>
      <c r="V17" s="662"/>
      <c r="W17" s="662"/>
      <c r="X17" s="663"/>
      <c r="Y17" s="318"/>
      <c r="Z17" s="426">
        <f>IFERROR(VLOOKUP(D17,#REF!,1,FALSE),0)</f>
        <v>0</v>
      </c>
      <c r="AA17" s="476" t="b">
        <f t="shared" si="2"/>
        <v>0</v>
      </c>
      <c r="AB17" s="128" t="e">
        <f>VLOOKUP($B17,Leveranciersnamen!$D:$E,2,FALSE)</f>
        <v>#N/A</v>
      </c>
      <c r="AC17" s="128" t="str">
        <f>IF($B17&lt;="","Geen waarde",IFERROR(VLOOKUP(CONCATENATE($C$9,$C$10,$B17),Leveranciersnamen!$A:$A,1,FALSE),"fout"))</f>
        <v>Geen waarde</v>
      </c>
      <c r="AD17" s="128" t="str">
        <f t="shared" si="7"/>
        <v/>
      </c>
      <c r="AE17" s="128"/>
      <c r="AF17" s="128"/>
      <c r="AG17" s="128" t="str">
        <f>IF(AC17="fout","fout",IF(B17&lt;&gt;"",VLOOKUP(CONCATENATE(C$9,C$10,$B17),Leveranciersnamen!$A:$F,6,FALSE),""))</f>
        <v/>
      </c>
      <c r="AH17" s="128" t="str">
        <f t="shared" ref="AH17:AH80" si="9">IF(N17=0,TEXT(N17,"0,00"),TEXT(N17,"###,00"))</f>
        <v>0,00</v>
      </c>
      <c r="AI17" s="128"/>
      <c r="AJ17" s="128"/>
      <c r="AK17" s="128"/>
      <c r="AL17" s="128"/>
      <c r="AM17" s="394"/>
      <c r="AN17" s="394"/>
      <c r="AO17" s="394"/>
      <c r="AP17" s="394"/>
      <c r="AQ17" s="427">
        <v>0</v>
      </c>
      <c r="AR17" s="427" t="s">
        <v>405</v>
      </c>
      <c r="AS17" s="427">
        <v>0</v>
      </c>
      <c r="AT17" s="129" t="str">
        <f t="shared" ref="AT17:AT80" si="10">IF(AU17&lt;=$T$10,IF(AS17=0,"",AT16&amp;CHAR(10)&amp;AQ17&amp;" met "&amp;AR17&amp;" punten"&amp;IF($AU17=$T$10,".",IF(AND($AU17&lt;$T$10,AS18=0),".",","))),"")</f>
        <v/>
      </c>
      <c r="AU17" s="128">
        <v>3</v>
      </c>
      <c r="AV17" s="394"/>
      <c r="AW17" s="394"/>
      <c r="AX17" s="394"/>
      <c r="AY17" s="394"/>
      <c r="AZ17" s="394"/>
      <c r="BA17" s="394"/>
      <c r="BB17" s="394"/>
      <c r="BC17" s="394"/>
      <c r="BD17" s="394"/>
      <c r="BE17" s="394"/>
      <c r="BF17" s="394"/>
      <c r="BG17" s="394"/>
      <c r="BH17" s="394"/>
      <c r="BI17" s="394"/>
      <c r="BJ17" s="394"/>
      <c r="BK17" s="394"/>
      <c r="BL17" s="394"/>
      <c r="BM17" s="394"/>
      <c r="BN17" s="394"/>
      <c r="BO17" s="394"/>
      <c r="BP17" s="394"/>
      <c r="BQ17" s="394"/>
      <c r="BR17" s="394"/>
    </row>
    <row r="18" spans="1:70" ht="25" customHeight="1">
      <c r="A18" s="313">
        <v>4</v>
      </c>
      <c r="B18" s="178"/>
      <c r="C18" s="179"/>
      <c r="D18" s="179"/>
      <c r="E18" s="181"/>
      <c r="F18" s="425"/>
      <c r="G18" s="277"/>
      <c r="H18" s="183" t="str">
        <f t="shared" si="4"/>
        <v/>
      </c>
      <c r="I18" s="470" t="str">
        <f t="shared" si="5"/>
        <v/>
      </c>
      <c r="J18" s="473"/>
      <c r="K18" s="184" t="b">
        <f t="shared" si="6"/>
        <v>0</v>
      </c>
      <c r="L18" s="321">
        <f t="shared" si="0"/>
        <v>0</v>
      </c>
      <c r="M18" s="185"/>
      <c r="N18" s="322">
        <f t="shared" si="8"/>
        <v>0</v>
      </c>
      <c r="O18" s="186" t="str">
        <f t="shared" si="1"/>
        <v/>
      </c>
      <c r="P18" s="661"/>
      <c r="Q18" s="662"/>
      <c r="R18" s="662"/>
      <c r="S18" s="662"/>
      <c r="T18" s="662"/>
      <c r="U18" s="662"/>
      <c r="V18" s="662"/>
      <c r="W18" s="662"/>
      <c r="X18" s="663"/>
      <c r="Y18" s="318"/>
      <c r="Z18" s="426">
        <f>IFERROR(VLOOKUP(D18,#REF!,1,FALSE),0)</f>
        <v>0</v>
      </c>
      <c r="AA18" s="476" t="b">
        <f t="shared" si="2"/>
        <v>0</v>
      </c>
      <c r="AB18" s="128" t="e">
        <f>VLOOKUP($B18,Leveranciersnamen!$D:$E,2,FALSE)</f>
        <v>#N/A</v>
      </c>
      <c r="AC18" s="128" t="str">
        <f>IF($B18&lt;="","Geen waarde",IFERROR(VLOOKUP(CONCATENATE($C$9,$C$10,$B18),Leveranciersnamen!$A:$A,1,FALSE),"fout"))</f>
        <v>Geen waarde</v>
      </c>
      <c r="AD18" s="128" t="str">
        <f t="shared" si="7"/>
        <v/>
      </c>
      <c r="AE18" s="128" t="s">
        <v>326</v>
      </c>
      <c r="AF18" s="128" t="str">
        <f>Brongegevens!F3</f>
        <v>accountteam11@rvo.nl</v>
      </c>
      <c r="AG18" s="128" t="str">
        <f>IF(AC18="fout","fout",IF(B18&lt;&gt;"",VLOOKUP(CONCATENATE(C$9,C$10,$B18),Leveranciersnamen!$A:$F,6,FALSE),""))</f>
        <v/>
      </c>
      <c r="AH18" s="128" t="str">
        <f t="shared" si="9"/>
        <v>0,00</v>
      </c>
      <c r="AI18" s="128" t="s">
        <v>326</v>
      </c>
      <c r="AJ18" s="128" t="str">
        <f>Brongegevens!F3</f>
        <v>accountteam11@rvo.nl</v>
      </c>
      <c r="AK18" s="128"/>
      <c r="AL18" s="128" t="s">
        <v>326</v>
      </c>
      <c r="AM18" s="128" t="str">
        <f>Brongegevens!F3</f>
        <v>accountteam11@rvo.nl</v>
      </c>
      <c r="AN18" s="394"/>
      <c r="AO18" s="394"/>
      <c r="AP18" s="394"/>
      <c r="AQ18" s="427">
        <v>0</v>
      </c>
      <c r="AR18" s="427" t="s">
        <v>405</v>
      </c>
      <c r="AS18" s="427">
        <v>0</v>
      </c>
      <c r="AT18" s="129" t="str">
        <f t="shared" si="10"/>
        <v/>
      </c>
      <c r="AU18" s="394">
        <v>4</v>
      </c>
      <c r="AV18" s="394"/>
      <c r="AW18" s="394"/>
      <c r="AX18" s="394"/>
      <c r="AY18" s="394"/>
      <c r="AZ18" s="394"/>
      <c r="BA18" s="394"/>
      <c r="BB18" s="394"/>
      <c r="BC18" s="394"/>
      <c r="BD18" s="394"/>
      <c r="BE18" s="394"/>
      <c r="BF18" s="394"/>
      <c r="BG18" s="394"/>
      <c r="BH18" s="394"/>
      <c r="BI18" s="394"/>
      <c r="BJ18" s="394"/>
      <c r="BK18" s="394"/>
      <c r="BL18" s="394"/>
      <c r="BM18" s="394"/>
      <c r="BN18" s="394"/>
      <c r="BO18" s="394"/>
      <c r="BP18" s="394"/>
      <c r="BQ18" s="394"/>
      <c r="BR18" s="394"/>
    </row>
    <row r="19" spans="1:70" ht="25" customHeight="1">
      <c r="A19" s="313">
        <v>5</v>
      </c>
      <c r="B19" s="178"/>
      <c r="C19" s="179"/>
      <c r="D19" s="179"/>
      <c r="E19" s="181"/>
      <c r="F19" s="182"/>
      <c r="G19" s="277"/>
      <c r="H19" s="183" t="str">
        <f t="shared" si="4"/>
        <v/>
      </c>
      <c r="I19" s="470" t="str">
        <f t="shared" si="5"/>
        <v/>
      </c>
      <c r="J19" s="473"/>
      <c r="K19" s="184" t="b">
        <f t="shared" si="6"/>
        <v>0</v>
      </c>
      <c r="L19" s="321">
        <f t="shared" si="0"/>
        <v>0</v>
      </c>
      <c r="M19" s="185"/>
      <c r="N19" s="322">
        <f t="shared" si="8"/>
        <v>0</v>
      </c>
      <c r="O19" s="186" t="str">
        <f t="shared" si="1"/>
        <v/>
      </c>
      <c r="P19" s="661"/>
      <c r="Q19" s="662"/>
      <c r="R19" s="662"/>
      <c r="S19" s="662"/>
      <c r="T19" s="662"/>
      <c r="U19" s="662"/>
      <c r="V19" s="662"/>
      <c r="W19" s="662"/>
      <c r="X19" s="663"/>
      <c r="Y19" s="318"/>
      <c r="Z19" s="426">
        <f>IFERROR(VLOOKUP(D19,#REF!,1,FALSE),0)</f>
        <v>0</v>
      </c>
      <c r="AA19" s="476" t="b">
        <f t="shared" si="2"/>
        <v>0</v>
      </c>
      <c r="AB19" s="128" t="e">
        <f>VLOOKUP($B19,Leveranciersnamen!$D:$E,2,FALSE)</f>
        <v>#N/A</v>
      </c>
      <c r="AC19" s="128" t="str">
        <f>IF($B19&lt;="","Geen waarde",IFERROR(VLOOKUP(CONCATENATE($C$9,$C$10,$B19),Leveranciersnamen!$A:$A,1,FALSE),"fout"))</f>
        <v>Geen waarde</v>
      </c>
      <c r="AD19" s="128" t="str">
        <f t="shared" si="7"/>
        <v/>
      </c>
      <c r="AE19" s="128" t="s">
        <v>327</v>
      </c>
      <c r="AF19" s="128" t="str">
        <f>Brongegevens!F3</f>
        <v>accountteam11@rvo.nl</v>
      </c>
      <c r="AG19" s="128" t="str">
        <f>IF(AC19="fout","fout",IF(B19&lt;&gt;"",VLOOKUP(CONCATENATE(C$9,C$10,$B19),Leveranciersnamen!$A:$F,6,FALSE),""))</f>
        <v/>
      </c>
      <c r="AH19" s="128" t="str">
        <f t="shared" si="9"/>
        <v>0,00</v>
      </c>
      <c r="AI19" s="128" t="s">
        <v>327</v>
      </c>
      <c r="AJ19" s="128" t="str">
        <f>Brongegevens!F3</f>
        <v>accountteam11@rvo.nl</v>
      </c>
      <c r="AK19" s="128"/>
      <c r="AL19" s="128" t="s">
        <v>327</v>
      </c>
      <c r="AM19" s="128" t="str">
        <f>Brongegevens!F3</f>
        <v>accountteam11@rvo.nl</v>
      </c>
      <c r="AN19" s="394"/>
      <c r="AO19" s="394"/>
      <c r="AP19" s="394"/>
      <c r="AQ19" s="427">
        <v>0</v>
      </c>
      <c r="AR19" s="427" t="s">
        <v>405</v>
      </c>
      <c r="AS19" s="427">
        <v>0</v>
      </c>
      <c r="AT19" s="129" t="str">
        <f t="shared" si="10"/>
        <v/>
      </c>
      <c r="AU19" s="128">
        <v>5</v>
      </c>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row>
    <row r="20" spans="1:70" ht="25" customHeight="1">
      <c r="A20" s="313">
        <v>6</v>
      </c>
      <c r="B20" s="178"/>
      <c r="C20" s="179"/>
      <c r="D20" s="179"/>
      <c r="E20" s="181"/>
      <c r="F20" s="182"/>
      <c r="G20" s="277"/>
      <c r="H20" s="183" t="str">
        <f t="shared" si="4"/>
        <v/>
      </c>
      <c r="I20" s="470" t="str">
        <f t="shared" si="5"/>
        <v/>
      </c>
      <c r="J20" s="473"/>
      <c r="K20" s="184" t="b">
        <f t="shared" si="6"/>
        <v>0</v>
      </c>
      <c r="L20" s="321">
        <f t="shared" si="0"/>
        <v>0</v>
      </c>
      <c r="M20" s="185"/>
      <c r="N20" s="322">
        <f t="shared" si="8"/>
        <v>0</v>
      </c>
      <c r="O20" s="186" t="str">
        <f t="shared" si="1"/>
        <v/>
      </c>
      <c r="P20" s="661"/>
      <c r="Q20" s="662"/>
      <c r="R20" s="662"/>
      <c r="S20" s="662"/>
      <c r="T20" s="662"/>
      <c r="U20" s="662"/>
      <c r="V20" s="662"/>
      <c r="W20" s="662"/>
      <c r="X20" s="663"/>
      <c r="Y20" s="318"/>
      <c r="Z20" s="426">
        <f>IFERROR(VLOOKUP(D20,#REF!,1,FALSE),0)</f>
        <v>0</v>
      </c>
      <c r="AA20" s="476" t="b">
        <f t="shared" si="2"/>
        <v>0</v>
      </c>
      <c r="AB20" s="128" t="e">
        <f>VLOOKUP($B20,Leveranciersnamen!$D:$E,2,FALSE)</f>
        <v>#N/A</v>
      </c>
      <c r="AC20" s="128" t="str">
        <f>IF($B20&lt;="","Geen waarde",IFERROR(VLOOKUP(CONCATENATE($C$9,$C$10,$B20),Leveranciersnamen!$A:$A,1,FALSE),"fout"))</f>
        <v>Geen waarde</v>
      </c>
      <c r="AD20" s="128" t="str">
        <f t="shared" si="7"/>
        <v/>
      </c>
      <c r="AE20" s="128" t="s">
        <v>328</v>
      </c>
      <c r="AF20" s="128" t="s">
        <v>358</v>
      </c>
      <c r="AG20" s="128" t="str">
        <f>IF(AC20="fout","fout",IF(B20&lt;&gt;"",VLOOKUP(CONCATENATE(C$9,C$10,$B20),Leveranciersnamen!$A:$F,6,FALSE),""))</f>
        <v/>
      </c>
      <c r="AH20" s="128" t="str">
        <f t="shared" si="9"/>
        <v>0,00</v>
      </c>
      <c r="AI20" s="128" t="s">
        <v>328</v>
      </c>
      <c r="AJ20" s="128" t="s">
        <v>355</v>
      </c>
      <c r="AK20" s="128"/>
      <c r="AL20" s="128" t="s">
        <v>328</v>
      </c>
      <c r="AM20" s="128" t="s">
        <v>358</v>
      </c>
      <c r="AN20" s="394"/>
      <c r="AO20" s="394"/>
      <c r="AP20" s="394"/>
      <c r="AQ20" s="427">
        <v>0</v>
      </c>
      <c r="AR20" s="427" t="s">
        <v>405</v>
      </c>
      <c r="AS20" s="427">
        <v>0</v>
      </c>
      <c r="AT20" s="129" t="str">
        <f t="shared" si="10"/>
        <v/>
      </c>
      <c r="AU20" s="394">
        <v>6</v>
      </c>
      <c r="AV20" s="394"/>
      <c r="AW20" s="394"/>
      <c r="AX20" s="394"/>
      <c r="AY20" s="394"/>
      <c r="AZ20" s="394"/>
      <c r="BA20" s="394"/>
      <c r="BB20" s="394"/>
      <c r="BC20" s="394"/>
      <c r="BD20" s="394"/>
      <c r="BE20" s="394"/>
      <c r="BF20" s="394"/>
      <c r="BG20" s="394"/>
      <c r="BH20" s="394"/>
      <c r="BI20" s="394"/>
      <c r="BJ20" s="394"/>
      <c r="BK20" s="394"/>
      <c r="BL20" s="394"/>
      <c r="BM20" s="394"/>
      <c r="BN20" s="394"/>
      <c r="BO20" s="394"/>
      <c r="BP20" s="394"/>
      <c r="BQ20" s="394"/>
      <c r="BR20" s="394"/>
    </row>
    <row r="21" spans="1:70" ht="25" customHeight="1">
      <c r="A21" s="313">
        <v>7</v>
      </c>
      <c r="B21" s="178"/>
      <c r="C21" s="179"/>
      <c r="D21" s="179"/>
      <c r="E21" s="181"/>
      <c r="F21" s="182"/>
      <c r="G21" s="277"/>
      <c r="H21" s="183" t="str">
        <f t="shared" si="4"/>
        <v/>
      </c>
      <c r="I21" s="470" t="str">
        <f t="shared" si="5"/>
        <v/>
      </c>
      <c r="J21" s="473"/>
      <c r="K21" s="184" t="b">
        <f t="shared" si="6"/>
        <v>0</v>
      </c>
      <c r="L21" s="321">
        <f t="shared" si="0"/>
        <v>0</v>
      </c>
      <c r="M21" s="185"/>
      <c r="N21" s="322">
        <f t="shared" si="8"/>
        <v>0</v>
      </c>
      <c r="O21" s="186" t="str">
        <f t="shared" si="1"/>
        <v/>
      </c>
      <c r="P21" s="661"/>
      <c r="Q21" s="662"/>
      <c r="R21" s="662"/>
      <c r="S21" s="662"/>
      <c r="T21" s="662"/>
      <c r="U21" s="662"/>
      <c r="V21" s="662"/>
      <c r="W21" s="662"/>
      <c r="X21" s="663"/>
      <c r="Y21" s="318"/>
      <c r="Z21" s="426">
        <f>IFERROR(VLOOKUP(D21,#REF!,1,FALSE),0)</f>
        <v>0</v>
      </c>
      <c r="AA21" s="476" t="b">
        <f t="shared" si="2"/>
        <v>0</v>
      </c>
      <c r="AB21" s="128" t="e">
        <f>VLOOKUP($B21,Leveranciersnamen!$D:$E,2,FALSE)</f>
        <v>#N/A</v>
      </c>
      <c r="AC21" s="128" t="str">
        <f>IF($B21&lt;="","Geen waarde",IFERROR(VLOOKUP(CONCATENATE($C$9,$C$10,$B21),Leveranciersnamen!$A:$A,1,FALSE),"fout"))</f>
        <v>Geen waarde</v>
      </c>
      <c r="AD21" s="128" t="str">
        <f t="shared" si="7"/>
        <v/>
      </c>
      <c r="AE21" s="128" t="s">
        <v>329</v>
      </c>
      <c r="AF21" s="128" t="s">
        <v>353</v>
      </c>
      <c r="AG21" s="128" t="str">
        <f>IF(AC21="fout","fout",IF(B21&lt;&gt;"",VLOOKUP(CONCATENATE(C$9,C$10,$B21),Leveranciersnamen!$A:$F,6,FALSE),""))</f>
        <v/>
      </c>
      <c r="AH21" s="128" t="str">
        <f t="shared" si="9"/>
        <v>0,00</v>
      </c>
      <c r="AI21" s="128" t="s">
        <v>329</v>
      </c>
      <c r="AJ21" s="128" t="s">
        <v>353</v>
      </c>
      <c r="AK21" s="128"/>
      <c r="AL21" s="128" t="s">
        <v>329</v>
      </c>
      <c r="AM21" s="128" t="s">
        <v>353</v>
      </c>
      <c r="AN21" s="394"/>
      <c r="AO21" s="394"/>
      <c r="AP21" s="394"/>
      <c r="AQ21" s="427">
        <v>0</v>
      </c>
      <c r="AR21" s="427" t="s">
        <v>405</v>
      </c>
      <c r="AS21" s="427">
        <v>0</v>
      </c>
      <c r="AT21" s="129" t="str">
        <f t="shared" si="10"/>
        <v/>
      </c>
      <c r="AU21" s="128">
        <v>7</v>
      </c>
      <c r="AV21" s="394"/>
      <c r="AW21" s="394"/>
      <c r="AX21" s="394"/>
      <c r="AY21" s="394"/>
      <c r="AZ21" s="394"/>
      <c r="BA21" s="394"/>
      <c r="BB21" s="394"/>
      <c r="BC21" s="394"/>
      <c r="BD21" s="394"/>
      <c r="BE21" s="394"/>
      <c r="BF21" s="394"/>
      <c r="BG21" s="394"/>
      <c r="BH21" s="394"/>
      <c r="BI21" s="394"/>
      <c r="BJ21" s="394"/>
      <c r="BK21" s="394"/>
      <c r="BL21" s="394"/>
      <c r="BM21" s="394"/>
      <c r="BN21" s="394"/>
      <c r="BO21" s="394"/>
      <c r="BP21" s="394"/>
      <c r="BQ21" s="394"/>
      <c r="BR21" s="394"/>
    </row>
    <row r="22" spans="1:70" ht="25" customHeight="1">
      <c r="A22" s="313">
        <v>8</v>
      </c>
      <c r="B22" s="178"/>
      <c r="C22" s="179"/>
      <c r="D22" s="179"/>
      <c r="E22" s="181"/>
      <c r="F22" s="182"/>
      <c r="G22" s="277"/>
      <c r="H22" s="183" t="str">
        <f t="shared" si="4"/>
        <v/>
      </c>
      <c r="I22" s="470" t="str">
        <f t="shared" si="5"/>
        <v/>
      </c>
      <c r="J22" s="473"/>
      <c r="K22" s="184" t="b">
        <f t="shared" si="6"/>
        <v>0</v>
      </c>
      <c r="L22" s="321">
        <f t="shared" si="0"/>
        <v>0</v>
      </c>
      <c r="M22" s="185"/>
      <c r="N22" s="322">
        <f t="shared" si="8"/>
        <v>0</v>
      </c>
      <c r="O22" s="186" t="str">
        <f t="shared" si="1"/>
        <v/>
      </c>
      <c r="P22" s="661"/>
      <c r="Q22" s="662"/>
      <c r="R22" s="662"/>
      <c r="S22" s="662"/>
      <c r="T22" s="662"/>
      <c r="U22" s="662"/>
      <c r="V22" s="662"/>
      <c r="W22" s="662"/>
      <c r="X22" s="663"/>
      <c r="Y22" s="318"/>
      <c r="Z22" s="426">
        <f>IFERROR(VLOOKUP(D22,#REF!,1,FALSE),0)</f>
        <v>0</v>
      </c>
      <c r="AA22" s="476" t="b">
        <f t="shared" si="2"/>
        <v>0</v>
      </c>
      <c r="AB22" s="128" t="e">
        <f>VLOOKUP($B22,Leveranciersnamen!$D:$E,2,FALSE)</f>
        <v>#N/A</v>
      </c>
      <c r="AC22" s="128" t="str">
        <f>IF($B22&lt;="","Geen waarde",IFERROR(VLOOKUP(CONCATENATE($C$9,$C$10,$B22),Leveranciersnamen!$A:$A,1,FALSE),"fout"))</f>
        <v>Geen waarde</v>
      </c>
      <c r="AD22" s="128" t="str">
        <f t="shared" si="7"/>
        <v/>
      </c>
      <c r="AE22" s="128" t="s">
        <v>330</v>
      </c>
      <c r="AF22" s="531" t="s">
        <v>402</v>
      </c>
      <c r="AG22" s="128" t="str">
        <f>IF(AC22="fout","fout",IF(B22&lt;&gt;"",VLOOKUP(CONCATENATE(C$9,C$10,$B22),Leveranciersnamen!$A:$F,6,FALSE),""))</f>
        <v/>
      </c>
      <c r="AH22" s="128" t="str">
        <f t="shared" si="9"/>
        <v>0,00</v>
      </c>
      <c r="AI22" s="128" t="s">
        <v>330</v>
      </c>
      <c r="AJ22" s="128" t="s">
        <v>356</v>
      </c>
      <c r="AK22" s="128"/>
      <c r="AL22" s="128" t="s">
        <v>330</v>
      </c>
      <c r="AM22" s="531" t="s">
        <v>400</v>
      </c>
      <c r="AN22" s="394"/>
      <c r="AO22" s="394"/>
      <c r="AP22" s="394"/>
      <c r="AQ22" s="427">
        <v>0</v>
      </c>
      <c r="AR22" s="427" t="s">
        <v>405</v>
      </c>
      <c r="AS22" s="427">
        <v>0</v>
      </c>
      <c r="AT22" s="129" t="str">
        <f t="shared" si="10"/>
        <v/>
      </c>
      <c r="AU22" s="394">
        <v>8</v>
      </c>
      <c r="AV22" s="394"/>
      <c r="AW22" s="394"/>
      <c r="AX22" s="394"/>
      <c r="AY22" s="394"/>
      <c r="AZ22" s="394"/>
      <c r="BA22" s="394"/>
      <c r="BB22" s="394"/>
      <c r="BC22" s="394"/>
      <c r="BD22" s="394"/>
      <c r="BE22" s="394"/>
      <c r="BF22" s="394"/>
      <c r="BG22" s="394"/>
      <c r="BH22" s="394"/>
      <c r="BI22" s="394"/>
      <c r="BJ22" s="394"/>
      <c r="BK22" s="394"/>
      <c r="BL22" s="394"/>
      <c r="BM22" s="394"/>
      <c r="BN22" s="394"/>
      <c r="BO22" s="394"/>
      <c r="BP22" s="394"/>
      <c r="BQ22" s="394"/>
      <c r="BR22" s="394"/>
    </row>
    <row r="23" spans="1:70" ht="25" customHeight="1">
      <c r="A23" s="313">
        <v>9</v>
      </c>
      <c r="B23" s="178"/>
      <c r="C23" s="179"/>
      <c r="D23" s="179"/>
      <c r="E23" s="181"/>
      <c r="F23" s="182"/>
      <c r="G23" s="277"/>
      <c r="H23" s="183" t="str">
        <f t="shared" si="4"/>
        <v/>
      </c>
      <c r="I23" s="470" t="str">
        <f t="shared" si="5"/>
        <v/>
      </c>
      <c r="J23" s="473"/>
      <c r="K23" s="184" t="b">
        <f t="shared" si="6"/>
        <v>0</v>
      </c>
      <c r="L23" s="321">
        <f t="shared" si="0"/>
        <v>0</v>
      </c>
      <c r="M23" s="185"/>
      <c r="N23" s="322">
        <f t="shared" si="8"/>
        <v>0</v>
      </c>
      <c r="O23" s="186" t="str">
        <f t="shared" si="1"/>
        <v/>
      </c>
      <c r="P23" s="661"/>
      <c r="Q23" s="662"/>
      <c r="R23" s="662"/>
      <c r="S23" s="662"/>
      <c r="T23" s="662"/>
      <c r="U23" s="662"/>
      <c r="V23" s="662"/>
      <c r="W23" s="662"/>
      <c r="X23" s="663"/>
      <c r="Y23" s="318"/>
      <c r="Z23" s="426">
        <f>IFERROR(VLOOKUP(D23,#REF!,1,FALSE),0)</f>
        <v>0</v>
      </c>
      <c r="AA23" s="476" t="b">
        <f t="shared" si="2"/>
        <v>0</v>
      </c>
      <c r="AB23" s="128" t="e">
        <f>VLOOKUP($B23,Leveranciersnamen!$D:$E,2,FALSE)</f>
        <v>#N/A</v>
      </c>
      <c r="AC23" s="128" t="str">
        <f>IF($B23&lt;="","Geen waarde",IFERROR(VLOOKUP(CONCATENATE($C$9,$C$10,$B23),Leveranciersnamen!$A:$A,1,FALSE),"fout"))</f>
        <v>Geen waarde</v>
      </c>
      <c r="AD23" s="128" t="str">
        <f t="shared" si="7"/>
        <v/>
      </c>
      <c r="AE23" s="128" t="s">
        <v>165</v>
      </c>
      <c r="AF23" s="128" t="s">
        <v>331</v>
      </c>
      <c r="AG23" s="128" t="str">
        <f>IF(AC23="fout","fout",IF(B23&lt;&gt;"",VLOOKUP(CONCATENATE(C$9,C$10,$B23),Leveranciersnamen!$A:$F,6,FALSE),""))</f>
        <v/>
      </c>
      <c r="AH23" s="128" t="str">
        <f t="shared" si="9"/>
        <v>0,00</v>
      </c>
      <c r="AI23" s="128" t="s">
        <v>165</v>
      </c>
      <c r="AJ23" s="128" t="s">
        <v>332</v>
      </c>
      <c r="AK23" s="128"/>
      <c r="AL23" s="128" t="s">
        <v>165</v>
      </c>
      <c r="AM23" s="128" t="s">
        <v>331</v>
      </c>
      <c r="AN23" s="394"/>
      <c r="AO23" s="394"/>
      <c r="AP23" s="394"/>
      <c r="AQ23" s="427">
        <v>0</v>
      </c>
      <c r="AR23" s="427" t="s">
        <v>405</v>
      </c>
      <c r="AS23" s="427">
        <v>0</v>
      </c>
      <c r="AT23" s="129" t="str">
        <f t="shared" si="10"/>
        <v/>
      </c>
      <c r="AU23" s="128">
        <v>9</v>
      </c>
      <c r="AV23" s="394"/>
      <c r="AW23" s="394"/>
      <c r="AX23" s="394"/>
      <c r="AY23" s="394"/>
      <c r="AZ23" s="394"/>
      <c r="BA23" s="394"/>
      <c r="BB23" s="394"/>
      <c r="BC23" s="394"/>
      <c r="BD23" s="394"/>
      <c r="BE23" s="394"/>
      <c r="BF23" s="394"/>
      <c r="BG23" s="394"/>
      <c r="BH23" s="394"/>
      <c r="BI23" s="394"/>
      <c r="BJ23" s="394"/>
      <c r="BK23" s="394"/>
      <c r="BL23" s="394"/>
      <c r="BM23" s="394"/>
      <c r="BN23" s="394"/>
      <c r="BO23" s="394"/>
      <c r="BP23" s="394"/>
      <c r="BQ23" s="394"/>
      <c r="BR23" s="394"/>
    </row>
    <row r="24" spans="1:70" ht="25" customHeight="1">
      <c r="A24" s="313">
        <v>10</v>
      </c>
      <c r="B24" s="178"/>
      <c r="C24" s="179"/>
      <c r="D24" s="179"/>
      <c r="E24" s="181"/>
      <c r="F24" s="182"/>
      <c r="G24" s="277"/>
      <c r="H24" s="183" t="str">
        <f t="shared" si="4"/>
        <v/>
      </c>
      <c r="I24" s="470" t="str">
        <f t="shared" si="5"/>
        <v/>
      </c>
      <c r="J24" s="473"/>
      <c r="K24" s="184" t="b">
        <f t="shared" si="6"/>
        <v>0</v>
      </c>
      <c r="L24" s="321">
        <f t="shared" si="0"/>
        <v>0</v>
      </c>
      <c r="M24" s="185"/>
      <c r="N24" s="322">
        <f t="shared" si="8"/>
        <v>0</v>
      </c>
      <c r="O24" s="186" t="str">
        <f t="shared" si="1"/>
        <v/>
      </c>
      <c r="P24" s="661"/>
      <c r="Q24" s="662"/>
      <c r="R24" s="662"/>
      <c r="S24" s="662"/>
      <c r="T24" s="662"/>
      <c r="U24" s="662"/>
      <c r="V24" s="662"/>
      <c r="W24" s="662"/>
      <c r="X24" s="663"/>
      <c r="Y24" s="318"/>
      <c r="Z24" s="426">
        <f>IFERROR(VLOOKUP(D24,#REF!,1,FALSE),0)</f>
        <v>0</v>
      </c>
      <c r="AA24" s="476" t="b">
        <f t="shared" si="2"/>
        <v>0</v>
      </c>
      <c r="AB24" s="128" t="e">
        <f>VLOOKUP($B24,Leveranciersnamen!$D:$E,2,FALSE)</f>
        <v>#N/A</v>
      </c>
      <c r="AC24" s="128" t="str">
        <f>IF($B24&lt;="","Geen waarde",IFERROR(VLOOKUP(CONCATENATE($C$9,$C$10,$B24),Leveranciersnamen!$A:$A,1,FALSE),"fout"))</f>
        <v>Geen waarde</v>
      </c>
      <c r="AD24" s="128" t="str">
        <f t="shared" si="7"/>
        <v/>
      </c>
      <c r="AE24" s="128" t="s">
        <v>172</v>
      </c>
      <c r="AF24" s="128" t="s">
        <v>333</v>
      </c>
      <c r="AG24" s="128" t="str">
        <f>IF(AC24="fout","fout",IF(B24&lt;&gt;"",VLOOKUP(CONCATENATE(C$9,C$10,$B24),Leveranciersnamen!$A:$F,6,FALSE),""))</f>
        <v/>
      </c>
      <c r="AH24" s="128" t="str">
        <f t="shared" si="9"/>
        <v>0,00</v>
      </c>
      <c r="AI24" s="128" t="s">
        <v>354</v>
      </c>
      <c r="AJ24" s="128" t="str">
        <f>'Aanvraag inhuur'!$C$110</f>
        <v/>
      </c>
      <c r="AK24" s="128"/>
      <c r="AL24" s="128" t="s">
        <v>172</v>
      </c>
      <c r="AM24" s="128" t="s">
        <v>401</v>
      </c>
      <c r="AN24" s="394"/>
      <c r="AO24" s="394"/>
      <c r="AP24" s="394"/>
      <c r="AQ24" s="427">
        <v>0</v>
      </c>
      <c r="AR24" s="427" t="s">
        <v>405</v>
      </c>
      <c r="AS24" s="427">
        <v>0</v>
      </c>
      <c r="AT24" s="129" t="str">
        <f t="shared" si="10"/>
        <v/>
      </c>
      <c r="AU24" s="394">
        <v>10</v>
      </c>
      <c r="AV24" s="394"/>
      <c r="AW24" s="394"/>
      <c r="AX24" s="394"/>
      <c r="AY24" s="394"/>
      <c r="AZ24" s="394"/>
      <c r="BA24" s="394"/>
      <c r="BB24" s="394"/>
      <c r="BC24" s="394"/>
      <c r="BD24" s="394"/>
      <c r="BE24" s="394"/>
      <c r="BF24" s="394"/>
      <c r="BG24" s="394"/>
      <c r="BH24" s="394"/>
      <c r="BI24" s="394"/>
      <c r="BJ24" s="394"/>
      <c r="BK24" s="394"/>
      <c r="BL24" s="394"/>
      <c r="BM24" s="394"/>
      <c r="BN24" s="394"/>
      <c r="BO24" s="394"/>
      <c r="BP24" s="394"/>
      <c r="BQ24" s="394"/>
      <c r="BR24" s="394"/>
    </row>
    <row r="25" spans="1:70" ht="25" customHeight="1">
      <c r="A25" s="313">
        <v>11</v>
      </c>
      <c r="B25" s="178"/>
      <c r="C25" s="179"/>
      <c r="D25" s="179"/>
      <c r="E25" s="181"/>
      <c r="F25" s="182"/>
      <c r="G25" s="277"/>
      <c r="H25" s="183" t="str">
        <f t="shared" si="4"/>
        <v/>
      </c>
      <c r="I25" s="470" t="str">
        <f t="shared" si="5"/>
        <v/>
      </c>
      <c r="J25" s="473"/>
      <c r="K25" s="184" t="b">
        <f t="shared" si="6"/>
        <v>0</v>
      </c>
      <c r="L25" s="321">
        <f t="shared" si="0"/>
        <v>0</v>
      </c>
      <c r="M25" s="185"/>
      <c r="N25" s="322">
        <f t="shared" si="8"/>
        <v>0</v>
      </c>
      <c r="O25" s="186" t="str">
        <f t="shared" si="1"/>
        <v/>
      </c>
      <c r="P25" s="661"/>
      <c r="Q25" s="662"/>
      <c r="R25" s="662"/>
      <c r="S25" s="662"/>
      <c r="T25" s="662"/>
      <c r="U25" s="662"/>
      <c r="V25" s="662"/>
      <c r="W25" s="662"/>
      <c r="X25" s="663"/>
      <c r="Y25" s="318"/>
      <c r="Z25" s="426">
        <f>IFERROR(VLOOKUP(D25,#REF!,1,FALSE),0)</f>
        <v>0</v>
      </c>
      <c r="AA25" s="476" t="b">
        <f t="shared" si="2"/>
        <v>0</v>
      </c>
      <c r="AB25" s="128" t="e">
        <f>VLOOKUP($B25,Leveranciersnamen!$D:$E,2,FALSE)</f>
        <v>#N/A</v>
      </c>
      <c r="AC25" s="128" t="str">
        <f>IF($B25&lt;="","Geen waarde",IFERROR(VLOOKUP(CONCATENATE($C$9,$C$10,$B25),Leveranciersnamen!$A:$A,1,FALSE),"fout"))</f>
        <v>Geen waarde</v>
      </c>
      <c r="AD25" s="128" t="str">
        <f t="shared" si="7"/>
        <v/>
      </c>
      <c r="AE25" s="128" t="s">
        <v>335</v>
      </c>
      <c r="AF25" s="128" t="s">
        <v>336</v>
      </c>
      <c r="AG25" s="128" t="str">
        <f>IF(AC25="fout","fout",IF(B25&lt;&gt;"",VLOOKUP(CONCATENATE(C$9,C$10,$B25),Leveranciersnamen!$A:$F,6,FALSE),""))</f>
        <v/>
      </c>
      <c r="AH25" s="128" t="str">
        <f t="shared" si="9"/>
        <v>0,00</v>
      </c>
      <c r="AI25" s="128" t="s">
        <v>334</v>
      </c>
      <c r="AJ25" s="532">
        <f>T12</f>
        <v>0</v>
      </c>
      <c r="AK25" s="128"/>
      <c r="AL25" s="128" t="s">
        <v>335</v>
      </c>
      <c r="AM25" s="128" t="s">
        <v>336</v>
      </c>
      <c r="AN25" s="394"/>
      <c r="AO25" s="394"/>
      <c r="AP25" s="394"/>
      <c r="AQ25" s="427">
        <v>0</v>
      </c>
      <c r="AR25" s="427" t="s">
        <v>405</v>
      </c>
      <c r="AS25" s="427">
        <v>0</v>
      </c>
      <c r="AT25" s="129" t="str">
        <f t="shared" si="10"/>
        <v/>
      </c>
      <c r="AU25" s="128">
        <v>11</v>
      </c>
      <c r="AV25" s="394"/>
      <c r="AW25" s="394"/>
      <c r="AX25" s="394"/>
      <c r="AY25" s="394"/>
      <c r="AZ25" s="394"/>
      <c r="BA25" s="394"/>
      <c r="BB25" s="394"/>
      <c r="BC25" s="394"/>
      <c r="BD25" s="394"/>
      <c r="BE25" s="394"/>
      <c r="BF25" s="394"/>
      <c r="BG25" s="394"/>
      <c r="BH25" s="394"/>
      <c r="BI25" s="394"/>
      <c r="BJ25" s="394"/>
      <c r="BK25" s="394"/>
      <c r="BL25" s="394"/>
      <c r="BM25" s="394"/>
      <c r="BN25" s="394"/>
      <c r="BO25" s="394"/>
      <c r="BP25" s="394"/>
      <c r="BQ25" s="394"/>
      <c r="BR25" s="394"/>
    </row>
    <row r="26" spans="1:70" ht="25" customHeight="1">
      <c r="A26" s="313">
        <v>12</v>
      </c>
      <c r="B26" s="178"/>
      <c r="C26" s="179"/>
      <c r="D26" s="179"/>
      <c r="E26" s="181"/>
      <c r="F26" s="182"/>
      <c r="G26" s="277"/>
      <c r="H26" s="183" t="str">
        <f t="shared" si="4"/>
        <v/>
      </c>
      <c r="I26" s="470" t="str">
        <f t="shared" si="5"/>
        <v/>
      </c>
      <c r="J26" s="473"/>
      <c r="K26" s="184" t="b">
        <f t="shared" si="6"/>
        <v>0</v>
      </c>
      <c r="L26" s="321">
        <f t="shared" si="0"/>
        <v>0</v>
      </c>
      <c r="M26" s="185"/>
      <c r="N26" s="322">
        <f t="shared" si="8"/>
        <v>0</v>
      </c>
      <c r="O26" s="186" t="str">
        <f t="shared" si="1"/>
        <v/>
      </c>
      <c r="P26" s="661"/>
      <c r="Q26" s="662"/>
      <c r="R26" s="662"/>
      <c r="S26" s="662"/>
      <c r="T26" s="662"/>
      <c r="U26" s="662"/>
      <c r="V26" s="662"/>
      <c r="W26" s="662"/>
      <c r="X26" s="663"/>
      <c r="Y26" s="318"/>
      <c r="Z26" s="426">
        <f>IFERROR(VLOOKUP(D26,#REF!,1,FALSE),0)</f>
        <v>0</v>
      </c>
      <c r="AA26" s="476" t="b">
        <f t="shared" si="2"/>
        <v>0</v>
      </c>
      <c r="AB26" s="128" t="e">
        <f>VLOOKUP($B26,Leveranciersnamen!$D:$E,2,FALSE)</f>
        <v>#N/A</v>
      </c>
      <c r="AC26" s="128" t="str">
        <f>IF($B26&lt;="","Geen waarde",IFERROR(VLOOKUP(CONCATENATE($C$9,$C$10,$B26),Leveranciersnamen!$A:$A,1,FALSE),"fout"))</f>
        <v>Geen waarde</v>
      </c>
      <c r="AD26" s="128" t="str">
        <f t="shared" si="7"/>
        <v/>
      </c>
      <c r="AE26" s="128"/>
      <c r="AF26" s="128"/>
      <c r="AG26" s="128" t="str">
        <f>IF(AC26="fout","fout",IF(B26&lt;&gt;"",VLOOKUP(CONCATENATE(C$9,C$10,$B26),Leveranciersnamen!$A:$F,6,FALSE),""))</f>
        <v/>
      </c>
      <c r="AH26" s="128" t="str">
        <f t="shared" si="9"/>
        <v>0,00</v>
      </c>
      <c r="AI26" s="128" t="s">
        <v>337</v>
      </c>
      <c r="AJ26" s="128" t="s">
        <v>357</v>
      </c>
      <c r="AK26" s="128"/>
      <c r="AL26" s="128"/>
      <c r="AM26" s="128"/>
      <c r="AN26" s="394"/>
      <c r="AO26" s="394"/>
      <c r="AP26" s="394"/>
      <c r="AQ26" s="427">
        <v>0</v>
      </c>
      <c r="AR26" s="427" t="s">
        <v>405</v>
      </c>
      <c r="AS26" s="427">
        <v>0</v>
      </c>
      <c r="AT26" s="129" t="str">
        <f t="shared" si="10"/>
        <v/>
      </c>
      <c r="AU26" s="394">
        <v>12</v>
      </c>
      <c r="AV26" s="394"/>
      <c r="AW26" s="394"/>
      <c r="AX26" s="394"/>
      <c r="AY26" s="394"/>
      <c r="AZ26" s="394"/>
      <c r="BA26" s="394"/>
      <c r="BB26" s="394"/>
      <c r="BC26" s="394"/>
      <c r="BD26" s="394"/>
      <c r="BE26" s="394"/>
      <c r="BF26" s="394"/>
      <c r="BG26" s="394"/>
      <c r="BH26" s="394"/>
      <c r="BI26" s="394"/>
      <c r="BJ26" s="394"/>
      <c r="BK26" s="394"/>
      <c r="BL26" s="394"/>
      <c r="BM26" s="394"/>
      <c r="BN26" s="394"/>
      <c r="BO26" s="394"/>
      <c r="BP26" s="394"/>
      <c r="BQ26" s="394"/>
      <c r="BR26" s="394"/>
    </row>
    <row r="27" spans="1:70" ht="25" customHeight="1">
      <c r="A27" s="313">
        <v>13</v>
      </c>
      <c r="B27" s="178"/>
      <c r="C27" s="179"/>
      <c r="D27" s="179"/>
      <c r="E27" s="181"/>
      <c r="F27" s="182"/>
      <c r="G27" s="277"/>
      <c r="H27" s="183" t="str">
        <f t="shared" si="4"/>
        <v/>
      </c>
      <c r="I27" s="470" t="str">
        <f t="shared" si="5"/>
        <v/>
      </c>
      <c r="J27" s="473"/>
      <c r="K27" s="184" t="b">
        <f t="shared" si="6"/>
        <v>0</v>
      </c>
      <c r="L27" s="321">
        <f t="shared" si="0"/>
        <v>0</v>
      </c>
      <c r="M27" s="185"/>
      <c r="N27" s="322">
        <f t="shared" si="8"/>
        <v>0</v>
      </c>
      <c r="O27" s="186" t="str">
        <f t="shared" si="1"/>
        <v/>
      </c>
      <c r="P27" s="661"/>
      <c r="Q27" s="662"/>
      <c r="R27" s="662"/>
      <c r="S27" s="662"/>
      <c r="T27" s="662"/>
      <c r="U27" s="662"/>
      <c r="V27" s="662"/>
      <c r="W27" s="662"/>
      <c r="X27" s="663"/>
      <c r="Y27" s="318"/>
      <c r="Z27" s="426">
        <f>IFERROR(VLOOKUP(D27,#REF!,1,FALSE),0)</f>
        <v>0</v>
      </c>
      <c r="AA27" s="476" t="b">
        <f t="shared" si="2"/>
        <v>0</v>
      </c>
      <c r="AB27" s="128" t="e">
        <f>VLOOKUP($B27,Leveranciersnamen!$D:$E,2,FALSE)</f>
        <v>#N/A</v>
      </c>
      <c r="AC27" s="128" t="str">
        <f>IF($B27&lt;="","Geen waarde",IFERROR(VLOOKUP(CONCATENATE($C$9,$C$10,$B27),Leveranciersnamen!$A:$A,1,FALSE),"fout"))</f>
        <v>Geen waarde</v>
      </c>
      <c r="AD27" s="128" t="str">
        <f t="shared" si="7"/>
        <v/>
      </c>
      <c r="AE27" s="128" t="s">
        <v>338</v>
      </c>
      <c r="AF27" s="531" t="s">
        <v>1227</v>
      </c>
      <c r="AG27" s="128" t="str">
        <f>IF(AC27="fout","fout",IF(B27&lt;&gt;"",VLOOKUP(CONCATENATE(C$9,C$10,$B27),Leveranciersnamen!$A:$F,6,FALSE),""))</f>
        <v/>
      </c>
      <c r="AH27" s="128" t="str">
        <f t="shared" si="9"/>
        <v>0,00</v>
      </c>
      <c r="AI27" s="128" t="s">
        <v>338</v>
      </c>
      <c r="AJ27" s="531" t="s">
        <v>1228</v>
      </c>
      <c r="AK27" s="128"/>
      <c r="AL27" s="128" t="s">
        <v>338</v>
      </c>
      <c r="AM27" s="531" t="s">
        <v>1227</v>
      </c>
      <c r="AN27" s="394"/>
      <c r="AO27" s="394"/>
      <c r="AP27" s="394"/>
      <c r="AQ27" s="427">
        <v>0</v>
      </c>
      <c r="AR27" s="427" t="s">
        <v>405</v>
      </c>
      <c r="AS27" s="427">
        <v>0</v>
      </c>
      <c r="AT27" s="129" t="str">
        <f t="shared" si="10"/>
        <v/>
      </c>
      <c r="AU27" s="128">
        <v>13</v>
      </c>
      <c r="AV27" s="394"/>
      <c r="AW27" s="394"/>
      <c r="AX27" s="394"/>
      <c r="AY27" s="394"/>
      <c r="AZ27" s="394"/>
      <c r="BA27" s="394"/>
      <c r="BB27" s="394"/>
      <c r="BC27" s="394"/>
      <c r="BD27" s="394"/>
      <c r="BE27" s="394"/>
      <c r="BF27" s="394"/>
      <c r="BG27" s="394"/>
      <c r="BH27" s="394"/>
      <c r="BI27" s="394"/>
      <c r="BJ27" s="394"/>
      <c r="BK27" s="394"/>
      <c r="BL27" s="394"/>
      <c r="BM27" s="394"/>
      <c r="BN27" s="394"/>
      <c r="BO27" s="394"/>
      <c r="BP27" s="394"/>
      <c r="BQ27" s="394"/>
      <c r="BR27" s="394"/>
    </row>
    <row r="28" spans="1:70" ht="25" customHeight="1">
      <c r="A28" s="313">
        <v>14</v>
      </c>
      <c r="B28" s="178"/>
      <c r="C28" s="179"/>
      <c r="D28" s="179"/>
      <c r="E28" s="181"/>
      <c r="F28" s="182"/>
      <c r="G28" s="277"/>
      <c r="H28" s="183" t="str">
        <f t="shared" si="4"/>
        <v/>
      </c>
      <c r="I28" s="470" t="str">
        <f t="shared" si="5"/>
        <v/>
      </c>
      <c r="J28" s="473"/>
      <c r="K28" s="184" t="b">
        <f t="shared" si="6"/>
        <v>0</v>
      </c>
      <c r="L28" s="321">
        <f t="shared" si="0"/>
        <v>0</v>
      </c>
      <c r="M28" s="185"/>
      <c r="N28" s="322">
        <f t="shared" si="8"/>
        <v>0</v>
      </c>
      <c r="O28" s="186" t="str">
        <f t="shared" si="1"/>
        <v/>
      </c>
      <c r="P28" s="661"/>
      <c r="Q28" s="662"/>
      <c r="R28" s="662"/>
      <c r="S28" s="662"/>
      <c r="T28" s="662"/>
      <c r="U28" s="662"/>
      <c r="V28" s="662"/>
      <c r="W28" s="662"/>
      <c r="X28" s="663"/>
      <c r="Y28" s="318"/>
      <c r="Z28" s="426">
        <f>IFERROR(VLOOKUP(D28,#REF!,1,FALSE),0)</f>
        <v>0</v>
      </c>
      <c r="AA28" s="476" t="b">
        <f t="shared" si="2"/>
        <v>0</v>
      </c>
      <c r="AB28" s="128" t="e">
        <f>VLOOKUP($B28,Leveranciersnamen!$D:$E,2,FALSE)</f>
        <v>#N/A</v>
      </c>
      <c r="AC28" s="128" t="str">
        <f>IF($B28&lt;="","Geen waarde",IFERROR(VLOOKUP(CONCATENATE($C$9,$C$10,$B28),Leveranciersnamen!$A:$A,1,FALSE),"fout"))</f>
        <v>Geen waarde</v>
      </c>
      <c r="AD28" s="128" t="str">
        <f t="shared" si="7"/>
        <v/>
      </c>
      <c r="AE28" s="128" t="e">
        <f>IF(I1&lt;&gt;"",INDEX(AB15:AB115,MATCH(1,O15:O115,0)),"")</f>
        <v>#N/A</v>
      </c>
      <c r="AF28" s="128" t="e">
        <f>IF(I1&lt;&gt;"",TEXT(INDEX(N15:N115,MATCH(1,O15:O115,0)),"###,00"),"")</f>
        <v>#N/A</v>
      </c>
      <c r="AG28" s="128" t="str">
        <f>IF(AC28="fout","fout",IF(B28&lt;&gt;"",VLOOKUP(CONCATENATE(C$9,C$10,$B28),Leveranciersnamen!$A:$F,6,FALSE),""))</f>
        <v/>
      </c>
      <c r="AH28" s="128" t="str">
        <f t="shared" si="9"/>
        <v>0,00</v>
      </c>
      <c r="AI28" s="128" t="str">
        <f>IF(N1&lt;&gt;"",INDEX(F12:F115,MATCH(1,W12:W115,0)),"")</f>
        <v/>
      </c>
      <c r="AJ28" s="128" t="str">
        <f>IF(N1&lt;&gt;"",INDEX(V12:V115,MATCH(1,W12:W115,0)),"")</f>
        <v/>
      </c>
      <c r="AK28" s="128"/>
      <c r="AL28" s="128"/>
      <c r="AM28" s="394"/>
      <c r="AN28" s="394"/>
      <c r="AO28" s="394"/>
      <c r="AP28" s="394"/>
      <c r="AQ28" s="427">
        <v>0</v>
      </c>
      <c r="AR28" s="427" t="s">
        <v>405</v>
      </c>
      <c r="AS28" s="427">
        <v>0</v>
      </c>
      <c r="AT28" s="129" t="str">
        <f t="shared" si="10"/>
        <v/>
      </c>
      <c r="AU28" s="394">
        <v>14</v>
      </c>
      <c r="AV28" s="394"/>
      <c r="AW28" s="394"/>
      <c r="AX28" s="394"/>
      <c r="AY28" s="394"/>
      <c r="AZ28" s="394"/>
      <c r="BA28" s="394"/>
      <c r="BB28" s="394"/>
      <c r="BC28" s="394"/>
      <c r="BD28" s="394"/>
      <c r="BE28" s="394"/>
      <c r="BF28" s="394"/>
      <c r="BG28" s="394"/>
      <c r="BH28" s="394"/>
      <c r="BI28" s="394"/>
      <c r="BJ28" s="394"/>
      <c r="BK28" s="394"/>
      <c r="BL28" s="394"/>
      <c r="BM28" s="394"/>
      <c r="BN28" s="394"/>
      <c r="BO28" s="394"/>
      <c r="BP28" s="394"/>
      <c r="BQ28" s="394"/>
      <c r="BR28" s="394"/>
    </row>
    <row r="29" spans="1:70" ht="25" customHeight="1">
      <c r="A29" s="313">
        <v>15</v>
      </c>
      <c r="B29" s="178"/>
      <c r="C29" s="179"/>
      <c r="D29" s="179"/>
      <c r="E29" s="181"/>
      <c r="F29" s="182"/>
      <c r="G29" s="277"/>
      <c r="H29" s="183" t="str">
        <f t="shared" si="4"/>
        <v/>
      </c>
      <c r="I29" s="470" t="str">
        <f t="shared" si="5"/>
        <v/>
      </c>
      <c r="J29" s="473"/>
      <c r="K29" s="184" t="b">
        <f t="shared" si="6"/>
        <v>0</v>
      </c>
      <c r="L29" s="321">
        <f t="shared" si="0"/>
        <v>0</v>
      </c>
      <c r="M29" s="185"/>
      <c r="N29" s="322">
        <f t="shared" si="8"/>
        <v>0</v>
      </c>
      <c r="O29" s="186" t="str">
        <f t="shared" si="1"/>
        <v/>
      </c>
      <c r="P29" s="661"/>
      <c r="Q29" s="662"/>
      <c r="R29" s="662"/>
      <c r="S29" s="662"/>
      <c r="T29" s="662"/>
      <c r="U29" s="662"/>
      <c r="V29" s="662"/>
      <c r="W29" s="662"/>
      <c r="X29" s="663"/>
      <c r="Y29" s="318"/>
      <c r="Z29" s="426">
        <f>IFERROR(VLOOKUP(D29,#REF!,1,FALSE),0)</f>
        <v>0</v>
      </c>
      <c r="AA29" s="476" t="b">
        <f t="shared" si="2"/>
        <v>0</v>
      </c>
      <c r="AB29" s="128" t="e">
        <f>VLOOKUP($B29,Leveranciersnamen!$D:$E,2,FALSE)</f>
        <v>#N/A</v>
      </c>
      <c r="AC29" s="128" t="str">
        <f>IF($B29&lt;="","Geen waarde",IFERROR(VLOOKUP(CONCATENATE($C$9,$C$10,$B29),Leveranciersnamen!$A:$A,1,FALSE),"fout"))</f>
        <v>Geen waarde</v>
      </c>
      <c r="AD29" s="128" t="str">
        <f t="shared" si="7"/>
        <v/>
      </c>
      <c r="AE29" s="128" t="str">
        <f>IF(I$1&lt;&gt;"",IF(T$10&gt;1,INDEX(AB$15:AB$116,MATCH(2,O$15:O$116,0)),""),"")</f>
        <v/>
      </c>
      <c r="AF29" s="128" t="str">
        <f>IF(I$1&lt;&gt;"",IF(T$10&gt;1,TEXT(INDEX(N$15:N$116,MATCH(2,O$15:O$116,0)),"###,00"),""),"")</f>
        <v/>
      </c>
      <c r="AG29" s="128" t="str">
        <f>IF(AC29="fout","fout",IF(B29&lt;&gt;"",VLOOKUP(CONCATENATE(C$9,C$10,$B29),Leveranciersnamen!$A:$F,6,FALSE),""))</f>
        <v/>
      </c>
      <c r="AH29" s="128" t="str">
        <f t="shared" si="9"/>
        <v>0,00</v>
      </c>
      <c r="AI29" s="128"/>
      <c r="AJ29" s="128" t="str">
        <f>TEXT(AJ28,"###,00")</f>
        <v/>
      </c>
      <c r="AK29" s="128"/>
      <c r="AL29" s="128"/>
      <c r="AM29" s="394"/>
      <c r="AN29" s="394"/>
      <c r="AO29" s="394"/>
      <c r="AP29" s="394"/>
      <c r="AQ29" s="427">
        <v>0</v>
      </c>
      <c r="AR29" s="427" t="s">
        <v>405</v>
      </c>
      <c r="AS29" s="427">
        <v>0</v>
      </c>
      <c r="AT29" s="129" t="str">
        <f t="shared" si="10"/>
        <v/>
      </c>
      <c r="AU29" s="128">
        <v>15</v>
      </c>
      <c r="AV29" s="394"/>
      <c r="AW29" s="394"/>
      <c r="AX29" s="394"/>
      <c r="AY29" s="394"/>
      <c r="AZ29" s="394"/>
      <c r="BA29" s="394"/>
      <c r="BB29" s="394"/>
      <c r="BC29" s="394"/>
      <c r="BD29" s="394"/>
      <c r="BE29" s="394"/>
      <c r="BF29" s="394"/>
      <c r="BG29" s="394"/>
      <c r="BH29" s="394"/>
      <c r="BI29" s="394"/>
      <c r="BJ29" s="394"/>
      <c r="BK29" s="394"/>
      <c r="BL29" s="394"/>
      <c r="BM29" s="394"/>
      <c r="BN29" s="394"/>
      <c r="BO29" s="394"/>
      <c r="BP29" s="394"/>
      <c r="BQ29" s="394"/>
      <c r="BR29" s="394"/>
    </row>
    <row r="30" spans="1:70" ht="25" customHeight="1">
      <c r="A30" s="313">
        <v>16</v>
      </c>
      <c r="B30" s="178"/>
      <c r="C30" s="179"/>
      <c r="D30" s="179"/>
      <c r="E30" s="181"/>
      <c r="F30" s="182"/>
      <c r="G30" s="277"/>
      <c r="H30" s="183" t="str">
        <f t="shared" si="4"/>
        <v/>
      </c>
      <c r="I30" s="470" t="str">
        <f t="shared" si="5"/>
        <v/>
      </c>
      <c r="J30" s="473"/>
      <c r="K30" s="184" t="b">
        <f t="shared" si="6"/>
        <v>0</v>
      </c>
      <c r="L30" s="321">
        <f t="shared" si="0"/>
        <v>0</v>
      </c>
      <c r="M30" s="185"/>
      <c r="N30" s="322">
        <f t="shared" si="8"/>
        <v>0</v>
      </c>
      <c r="O30" s="186" t="str">
        <f t="shared" si="1"/>
        <v/>
      </c>
      <c r="P30" s="661"/>
      <c r="Q30" s="662"/>
      <c r="R30" s="662"/>
      <c r="S30" s="662"/>
      <c r="T30" s="662"/>
      <c r="U30" s="662"/>
      <c r="V30" s="662"/>
      <c r="W30" s="662"/>
      <c r="X30" s="663"/>
      <c r="Y30" s="318"/>
      <c r="Z30" s="426">
        <f>IFERROR(VLOOKUP(D30,#REF!,1,FALSE),0)</f>
        <v>0</v>
      </c>
      <c r="AA30" s="476" t="b">
        <f t="shared" si="2"/>
        <v>0</v>
      </c>
      <c r="AB30" s="128" t="e">
        <f>VLOOKUP($B30,Leveranciersnamen!$D:$E,2,FALSE)</f>
        <v>#N/A</v>
      </c>
      <c r="AC30" s="128" t="str">
        <f>IF($B30&lt;="","Geen waarde",IFERROR(VLOOKUP(CONCATENATE($C$9,$C$10,$B30),Leveranciersnamen!$A:$A,1,FALSE),"fout"))</f>
        <v>Geen waarde</v>
      </c>
      <c r="AD30" s="128" t="str">
        <f t="shared" si="7"/>
        <v/>
      </c>
      <c r="AE30" s="128" t="str">
        <f>IF(I$1&lt;&gt;"",IF(T$9&gt;2,INDEX(AB$15:AB$116,MATCH(3,O$15:O$116,0)),""),"")</f>
        <v/>
      </c>
      <c r="AF30" s="128" t="str">
        <f>IF(I$1&lt;&gt;"",IF(T$9&gt;2,TEXT(INDEX(N$15:N$116,MATCH(3,O$15:O$116,0)),"###,00"),""),"")</f>
        <v/>
      </c>
      <c r="AG30" s="128" t="str">
        <f>IF(AC30="fout","fout",IF(B30&lt;&gt;"",VLOOKUP(CONCATENATE(C$9,C$10,$B30),Leveranciersnamen!$A:$F,6,FALSE),""))</f>
        <v/>
      </c>
      <c r="AH30" s="128" t="str">
        <f t="shared" si="9"/>
        <v>0,00</v>
      </c>
      <c r="AI30" s="128"/>
      <c r="AJ30" s="128"/>
      <c r="AK30" s="128"/>
      <c r="AL30" s="128"/>
      <c r="AM30" s="394"/>
      <c r="AN30" s="394"/>
      <c r="AO30" s="394"/>
      <c r="AP30" s="394"/>
      <c r="AQ30" s="427">
        <v>0</v>
      </c>
      <c r="AR30" s="427" t="s">
        <v>405</v>
      </c>
      <c r="AS30" s="427">
        <v>0</v>
      </c>
      <c r="AT30" s="129" t="str">
        <f t="shared" si="10"/>
        <v/>
      </c>
      <c r="AU30" s="394">
        <v>16</v>
      </c>
      <c r="AV30" s="394"/>
      <c r="AW30" s="394"/>
      <c r="AX30" s="394"/>
      <c r="AY30" s="394"/>
      <c r="AZ30" s="394"/>
      <c r="BA30" s="394"/>
      <c r="BB30" s="394"/>
      <c r="BC30" s="394"/>
      <c r="BD30" s="394"/>
      <c r="BE30" s="394"/>
      <c r="BF30" s="394"/>
      <c r="BG30" s="394"/>
      <c r="BH30" s="394"/>
      <c r="BI30" s="394"/>
      <c r="BJ30" s="394"/>
      <c r="BK30" s="394"/>
      <c r="BL30" s="394"/>
      <c r="BM30" s="394"/>
      <c r="BN30" s="394"/>
      <c r="BO30" s="394"/>
      <c r="BP30" s="394"/>
      <c r="BQ30" s="394"/>
      <c r="BR30" s="394"/>
    </row>
    <row r="31" spans="1:70" ht="25" customHeight="1">
      <c r="A31" s="313">
        <v>17</v>
      </c>
      <c r="B31" s="178"/>
      <c r="C31" s="179"/>
      <c r="D31" s="179"/>
      <c r="E31" s="181"/>
      <c r="F31" s="182"/>
      <c r="G31" s="277"/>
      <c r="H31" s="183" t="str">
        <f t="shared" si="4"/>
        <v/>
      </c>
      <c r="I31" s="470" t="str">
        <f t="shared" si="5"/>
        <v/>
      </c>
      <c r="J31" s="473"/>
      <c r="K31" s="184" t="b">
        <f t="shared" si="6"/>
        <v>0</v>
      </c>
      <c r="L31" s="321">
        <f t="shared" si="0"/>
        <v>0</v>
      </c>
      <c r="M31" s="185"/>
      <c r="N31" s="322">
        <f t="shared" si="8"/>
        <v>0</v>
      </c>
      <c r="O31" s="186" t="str">
        <f t="shared" si="1"/>
        <v/>
      </c>
      <c r="P31" s="661"/>
      <c r="Q31" s="662"/>
      <c r="R31" s="662"/>
      <c r="S31" s="662"/>
      <c r="T31" s="662"/>
      <c r="U31" s="662"/>
      <c r="V31" s="662"/>
      <c r="W31" s="662"/>
      <c r="X31" s="663"/>
      <c r="Y31" s="318"/>
      <c r="Z31" s="426">
        <f>IFERROR(VLOOKUP(D31,#REF!,1,FALSE),0)</f>
        <v>0</v>
      </c>
      <c r="AA31" s="476" t="b">
        <f t="shared" si="2"/>
        <v>0</v>
      </c>
      <c r="AB31" s="128" t="e">
        <f>VLOOKUP($B31,Leveranciersnamen!$D:$E,2,FALSE)</f>
        <v>#N/A</v>
      </c>
      <c r="AC31" s="128" t="str">
        <f>IF($B31&lt;="","Geen waarde",IFERROR(VLOOKUP(CONCATENATE($C$9,$C$10,$B31),Leveranciersnamen!$A:$A,1,FALSE),"fout"))</f>
        <v>Geen waarde</v>
      </c>
      <c r="AD31" s="128" t="str">
        <f t="shared" si="7"/>
        <v/>
      </c>
      <c r="AE31" s="128" t="str">
        <f>IF(I$1&lt;&gt;"",IF(T$9&gt;3,INDEX(AB$15:AB$116,MATCH(4,O$15:O$116,0)),""),"")</f>
        <v/>
      </c>
      <c r="AF31" s="128" t="str">
        <f>IF(I$1&lt;&gt;"",IF(T$9&gt;3,TEXT(INDEX(N$15:N$116,MATCH(4,O$15:O$116,0)),"###,00"),""),"")</f>
        <v/>
      </c>
      <c r="AG31" s="128" t="str">
        <f>IF(AC31="fout","fout",IF(B31&lt;&gt;"",VLOOKUP(CONCATENATE(C$9,C$10,$B31),Leveranciersnamen!$A:$F,6,FALSE),""))</f>
        <v/>
      </c>
      <c r="AH31" s="128" t="str">
        <f t="shared" si="9"/>
        <v>0,00</v>
      </c>
      <c r="AI31" s="128"/>
      <c r="AJ31" s="128"/>
      <c r="AK31" s="128"/>
      <c r="AL31" s="128"/>
      <c r="AM31" s="394"/>
      <c r="AN31" s="394"/>
      <c r="AO31" s="394"/>
      <c r="AP31" s="394"/>
      <c r="AQ31" s="427">
        <v>0</v>
      </c>
      <c r="AR31" s="427" t="s">
        <v>405</v>
      </c>
      <c r="AS31" s="427">
        <v>0</v>
      </c>
      <c r="AT31" s="129" t="str">
        <f t="shared" si="10"/>
        <v/>
      </c>
      <c r="AU31" s="128">
        <v>17</v>
      </c>
      <c r="AV31" s="394"/>
      <c r="AW31" s="394"/>
      <c r="AX31" s="394"/>
      <c r="AY31" s="394"/>
      <c r="AZ31" s="394"/>
      <c r="BA31" s="394"/>
      <c r="BB31" s="394"/>
      <c r="BC31" s="394"/>
      <c r="BD31" s="394"/>
      <c r="BE31" s="394"/>
      <c r="BF31" s="394"/>
      <c r="BG31" s="394"/>
      <c r="BH31" s="394"/>
      <c r="BI31" s="394"/>
      <c r="BJ31" s="394"/>
      <c r="BK31" s="394"/>
      <c r="BL31" s="394"/>
      <c r="BM31" s="394"/>
      <c r="BN31" s="394"/>
      <c r="BO31" s="394"/>
      <c r="BP31" s="394"/>
      <c r="BQ31" s="394"/>
      <c r="BR31" s="394"/>
    </row>
    <row r="32" spans="1:70" ht="25" customHeight="1">
      <c r="A32" s="313">
        <v>18</v>
      </c>
      <c r="B32" s="178"/>
      <c r="C32" s="179"/>
      <c r="D32" s="179"/>
      <c r="E32" s="181"/>
      <c r="F32" s="182"/>
      <c r="G32" s="277"/>
      <c r="H32" s="183" t="str">
        <f t="shared" si="4"/>
        <v/>
      </c>
      <c r="I32" s="470" t="str">
        <f t="shared" si="5"/>
        <v/>
      </c>
      <c r="J32" s="473"/>
      <c r="K32" s="184" t="b">
        <f t="shared" si="6"/>
        <v>0</v>
      </c>
      <c r="L32" s="321">
        <f t="shared" si="0"/>
        <v>0</v>
      </c>
      <c r="M32" s="185"/>
      <c r="N32" s="322">
        <f t="shared" si="8"/>
        <v>0</v>
      </c>
      <c r="O32" s="186" t="str">
        <f t="shared" si="1"/>
        <v/>
      </c>
      <c r="P32" s="661"/>
      <c r="Q32" s="662"/>
      <c r="R32" s="662"/>
      <c r="S32" s="662"/>
      <c r="T32" s="662"/>
      <c r="U32" s="662"/>
      <c r="V32" s="662"/>
      <c r="W32" s="662"/>
      <c r="X32" s="663"/>
      <c r="Y32" s="318"/>
      <c r="Z32" s="426">
        <f>IFERROR(VLOOKUP(D32,#REF!,1,FALSE),0)</f>
        <v>0</v>
      </c>
      <c r="AA32" s="476" t="b">
        <f t="shared" si="2"/>
        <v>0</v>
      </c>
      <c r="AB32" s="128" t="e">
        <f>VLOOKUP($B32,Leveranciersnamen!$D:$E,2,FALSE)</f>
        <v>#N/A</v>
      </c>
      <c r="AC32" s="128" t="str">
        <f>IF($B32&lt;="","Geen waarde",IFERROR(VLOOKUP(CONCATENATE($C$9,$C$10,$B32),Leveranciersnamen!$A:$A,1,FALSE),"fout"))</f>
        <v>Geen waarde</v>
      </c>
      <c r="AD32" s="128" t="str">
        <f t="shared" si="7"/>
        <v/>
      </c>
      <c r="AE32" s="128" t="str">
        <f>IF(I$1&lt;&gt;"",IF(T$9&gt;4,INDEX(AB$15:AB$116,MATCH(5,O$15:O$116,0)),""),"")</f>
        <v/>
      </c>
      <c r="AF32" s="128" t="str">
        <f>IF(I$1&lt;&gt;"",IF(T$9&gt;4,TEXT(INDEX(N$15:N$116,MATCH(5,O$15:O$116,0)),"###,00"),""),"")</f>
        <v/>
      </c>
      <c r="AG32" s="128" t="str">
        <f>IF(AC32="fout","fout",IF(B32&lt;&gt;"",VLOOKUP(CONCATENATE(C$9,C$10,$B32),Leveranciersnamen!$A:$F,6,FALSE),""))</f>
        <v/>
      </c>
      <c r="AH32" s="128" t="str">
        <f t="shared" si="9"/>
        <v>0,00</v>
      </c>
      <c r="AI32" s="128"/>
      <c r="AJ32" s="128"/>
      <c r="AK32" s="128"/>
      <c r="AL32" s="128"/>
      <c r="AM32" s="394"/>
      <c r="AN32" s="394"/>
      <c r="AO32" s="394"/>
      <c r="AP32" s="394"/>
      <c r="AQ32" s="427">
        <v>0</v>
      </c>
      <c r="AR32" s="427" t="s">
        <v>405</v>
      </c>
      <c r="AS32" s="427">
        <v>0</v>
      </c>
      <c r="AT32" s="129" t="str">
        <f t="shared" si="10"/>
        <v/>
      </c>
      <c r="AU32" s="394">
        <v>18</v>
      </c>
      <c r="AV32" s="394"/>
      <c r="AW32" s="394"/>
      <c r="AX32" s="394"/>
      <c r="AY32" s="394"/>
      <c r="AZ32" s="394"/>
      <c r="BA32" s="394"/>
      <c r="BB32" s="394"/>
      <c r="BC32" s="394"/>
      <c r="BD32" s="394"/>
      <c r="BE32" s="394"/>
      <c r="BF32" s="394"/>
      <c r="BG32" s="394"/>
      <c r="BH32" s="394"/>
      <c r="BI32" s="394"/>
      <c r="BJ32" s="394"/>
      <c r="BK32" s="394"/>
      <c r="BL32" s="394"/>
      <c r="BM32" s="394"/>
      <c r="BN32" s="394"/>
      <c r="BO32" s="394"/>
      <c r="BP32" s="394"/>
      <c r="BQ32" s="394"/>
      <c r="BR32" s="394"/>
    </row>
    <row r="33" spans="1:70" ht="25" customHeight="1">
      <c r="A33" s="313">
        <v>19</v>
      </c>
      <c r="B33" s="178"/>
      <c r="C33" s="179"/>
      <c r="D33" s="179"/>
      <c r="E33" s="181"/>
      <c r="F33" s="182"/>
      <c r="G33" s="277"/>
      <c r="H33" s="183" t="str">
        <f t="shared" si="4"/>
        <v/>
      </c>
      <c r="I33" s="470" t="str">
        <f t="shared" si="5"/>
        <v/>
      </c>
      <c r="J33" s="473"/>
      <c r="K33" s="184" t="b">
        <f t="shared" si="6"/>
        <v>0</v>
      </c>
      <c r="L33" s="321">
        <f t="shared" si="0"/>
        <v>0</v>
      </c>
      <c r="M33" s="185"/>
      <c r="N33" s="322">
        <f t="shared" si="8"/>
        <v>0</v>
      </c>
      <c r="O33" s="186" t="str">
        <f t="shared" si="1"/>
        <v/>
      </c>
      <c r="P33" s="661"/>
      <c r="Q33" s="662"/>
      <c r="R33" s="662"/>
      <c r="S33" s="662"/>
      <c r="T33" s="662"/>
      <c r="U33" s="662"/>
      <c r="V33" s="662"/>
      <c r="W33" s="662"/>
      <c r="X33" s="663"/>
      <c r="Y33" s="318"/>
      <c r="Z33" s="426">
        <f>IFERROR(VLOOKUP(D33,#REF!,1,FALSE),0)</f>
        <v>0</v>
      </c>
      <c r="AA33" s="476" t="b">
        <f t="shared" si="2"/>
        <v>0</v>
      </c>
      <c r="AB33" s="128" t="e">
        <f>VLOOKUP($B33,Leveranciersnamen!$D:$E,2,FALSE)</f>
        <v>#N/A</v>
      </c>
      <c r="AC33" s="128" t="str">
        <f>IF($B33&lt;="","Geen waarde",IFERROR(VLOOKUP(CONCATENATE($C$9,$C$10,$B33),Leveranciersnamen!$A:$A,1,FALSE),"fout"))</f>
        <v>Geen waarde</v>
      </c>
      <c r="AD33" s="128" t="str">
        <f t="shared" si="7"/>
        <v/>
      </c>
      <c r="AE33" s="128" t="str">
        <f>IF(I$1&lt;&gt;"",IF(T$9&gt;5,INDEX(AB$15:AB$116,MATCH(6,O$15:O$116,0)),""),"")</f>
        <v/>
      </c>
      <c r="AF33" s="128" t="str">
        <f>IF(I$1&lt;&gt;"",IF(T$9&gt;5,TEXT(INDEX(N$15:N$116,MATCH(6,O$15:O$116,0)),"###,00"),""),"")</f>
        <v/>
      </c>
      <c r="AG33" s="128" t="str">
        <f>IF(AC33="fout","fout",IF(B33&lt;&gt;"",VLOOKUP(CONCATENATE(C$9,C$10,$B33),Leveranciersnamen!$A:$F,6,FALSE),""))</f>
        <v/>
      </c>
      <c r="AH33" s="128" t="str">
        <f t="shared" si="9"/>
        <v>0,00</v>
      </c>
      <c r="AI33" s="128"/>
      <c r="AJ33" s="128"/>
      <c r="AK33" s="128"/>
      <c r="AL33" s="128"/>
      <c r="AM33" s="394"/>
      <c r="AN33" s="394"/>
      <c r="AO33" s="394"/>
      <c r="AP33" s="394"/>
      <c r="AQ33" s="427">
        <v>0</v>
      </c>
      <c r="AR33" s="427" t="s">
        <v>405</v>
      </c>
      <c r="AS33" s="427">
        <v>0</v>
      </c>
      <c r="AT33" s="129" t="str">
        <f t="shared" si="10"/>
        <v/>
      </c>
      <c r="AU33" s="128">
        <v>19</v>
      </c>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row>
    <row r="34" spans="1:70" ht="25" customHeight="1">
      <c r="A34" s="313">
        <v>20</v>
      </c>
      <c r="B34" s="178"/>
      <c r="C34" s="179"/>
      <c r="D34" s="179"/>
      <c r="E34" s="181"/>
      <c r="F34" s="182"/>
      <c r="G34" s="277"/>
      <c r="H34" s="183" t="str">
        <f t="shared" si="4"/>
        <v/>
      </c>
      <c r="I34" s="470" t="str">
        <f t="shared" si="5"/>
        <v/>
      </c>
      <c r="J34" s="473"/>
      <c r="K34" s="184" t="b">
        <f t="shared" si="6"/>
        <v>0</v>
      </c>
      <c r="L34" s="321">
        <f t="shared" si="0"/>
        <v>0</v>
      </c>
      <c r="M34" s="185"/>
      <c r="N34" s="322">
        <f t="shared" si="8"/>
        <v>0</v>
      </c>
      <c r="O34" s="186" t="str">
        <f t="shared" si="1"/>
        <v/>
      </c>
      <c r="P34" s="661"/>
      <c r="Q34" s="662"/>
      <c r="R34" s="662"/>
      <c r="S34" s="662"/>
      <c r="T34" s="662"/>
      <c r="U34" s="662"/>
      <c r="V34" s="662"/>
      <c r="W34" s="662"/>
      <c r="X34" s="663"/>
      <c r="Y34" s="318"/>
      <c r="Z34" s="426">
        <f>IFERROR(VLOOKUP(D34,#REF!,1,FALSE),0)</f>
        <v>0</v>
      </c>
      <c r="AA34" s="476" t="b">
        <f t="shared" si="2"/>
        <v>0</v>
      </c>
      <c r="AB34" s="128" t="e">
        <f>VLOOKUP($B34,Leveranciersnamen!$D:$E,2,FALSE)</f>
        <v>#N/A</v>
      </c>
      <c r="AC34" s="128" t="str">
        <f>IF($B34&lt;="","Geen waarde",IFERROR(VLOOKUP(CONCATENATE($C$9,$C$10,$B34),Leveranciersnamen!$A:$A,1,FALSE),"fout"))</f>
        <v>Geen waarde</v>
      </c>
      <c r="AD34" s="128" t="str">
        <f t="shared" si="7"/>
        <v/>
      </c>
      <c r="AE34" s="128" t="str">
        <f>IF(I$1&lt;&gt;"",IF(T$9&gt;6,INDEX(AB$15:AB$116,MATCH(7,O$15:O$116,0)),""),"")</f>
        <v/>
      </c>
      <c r="AF34" s="128" t="str">
        <f>IF(I$1&lt;&gt;"",IF(T$9&gt;6,TEXT(INDEX(N$15:N$116,MATCH(7,O$15:O$116,0)),"###,00"),""),"")</f>
        <v/>
      </c>
      <c r="AG34" s="128" t="str">
        <f>IF(AC34="fout","fout",IF(B34&lt;&gt;"",VLOOKUP(CONCATENATE(C$9,C$10,$B34),Leveranciersnamen!$A:$F,6,FALSE),""))</f>
        <v/>
      </c>
      <c r="AH34" s="128" t="str">
        <f t="shared" si="9"/>
        <v>0,00</v>
      </c>
      <c r="AI34" s="128"/>
      <c r="AJ34" s="128"/>
      <c r="AK34" s="128"/>
      <c r="AL34" s="128"/>
      <c r="AM34" s="394"/>
      <c r="AN34" s="394"/>
      <c r="AO34" s="394"/>
      <c r="AP34" s="394"/>
      <c r="AQ34" s="427">
        <v>0</v>
      </c>
      <c r="AR34" s="427" t="s">
        <v>405</v>
      </c>
      <c r="AS34" s="427">
        <v>0</v>
      </c>
      <c r="AT34" s="129" t="str">
        <f t="shared" si="10"/>
        <v/>
      </c>
      <c r="AU34" s="394">
        <v>20</v>
      </c>
      <c r="AV34" s="394"/>
      <c r="AW34" s="394"/>
      <c r="AX34" s="394"/>
      <c r="AY34" s="394"/>
      <c r="AZ34" s="394"/>
      <c r="BA34" s="394"/>
      <c r="BB34" s="394"/>
      <c r="BC34" s="394"/>
      <c r="BD34" s="394"/>
      <c r="BE34" s="394"/>
      <c r="BF34" s="394"/>
      <c r="BG34" s="394"/>
      <c r="BH34" s="394"/>
      <c r="BI34" s="394"/>
      <c r="BJ34" s="394"/>
      <c r="BK34" s="394"/>
      <c r="BL34" s="394"/>
      <c r="BM34" s="394"/>
      <c r="BN34" s="394"/>
      <c r="BO34" s="394"/>
      <c r="BP34" s="394"/>
      <c r="BQ34" s="394"/>
      <c r="BR34" s="394"/>
    </row>
    <row r="35" spans="1:70" ht="25" customHeight="1">
      <c r="A35" s="313">
        <v>21</v>
      </c>
      <c r="B35" s="178"/>
      <c r="C35" s="179"/>
      <c r="D35" s="179"/>
      <c r="E35" s="181"/>
      <c r="F35" s="182"/>
      <c r="G35" s="277"/>
      <c r="H35" s="183" t="str">
        <f t="shared" si="4"/>
        <v/>
      </c>
      <c r="I35" s="470" t="str">
        <f t="shared" si="5"/>
        <v/>
      </c>
      <c r="J35" s="473"/>
      <c r="K35" s="184" t="b">
        <f t="shared" si="6"/>
        <v>0</v>
      </c>
      <c r="L35" s="321">
        <f t="shared" si="0"/>
        <v>0</v>
      </c>
      <c r="M35" s="185"/>
      <c r="N35" s="322">
        <f t="shared" si="8"/>
        <v>0</v>
      </c>
      <c r="O35" s="186" t="str">
        <f t="shared" si="1"/>
        <v/>
      </c>
      <c r="P35" s="661"/>
      <c r="Q35" s="662"/>
      <c r="R35" s="662"/>
      <c r="S35" s="662"/>
      <c r="T35" s="662"/>
      <c r="U35" s="662"/>
      <c r="V35" s="662"/>
      <c r="W35" s="662"/>
      <c r="X35" s="663"/>
      <c r="Y35" s="318"/>
      <c r="Z35" s="426">
        <f>IFERROR(VLOOKUP(D35,#REF!,1,FALSE),0)</f>
        <v>0</v>
      </c>
      <c r="AA35" s="476" t="b">
        <f t="shared" si="2"/>
        <v>0</v>
      </c>
      <c r="AB35" s="128" t="e">
        <f>VLOOKUP($B35,Leveranciersnamen!$D:$E,2,FALSE)</f>
        <v>#N/A</v>
      </c>
      <c r="AC35" s="128" t="str">
        <f>IF($B35&lt;="","Geen waarde",IFERROR(VLOOKUP(CONCATENATE($C$9,$C$10,$B35),Leveranciersnamen!$A:$A,1,FALSE),"fout"))</f>
        <v>Geen waarde</v>
      </c>
      <c r="AD35" s="128" t="str">
        <f t="shared" si="7"/>
        <v/>
      </c>
      <c r="AE35" s="128" t="str">
        <f>IF(I$1&lt;&gt;"",IF(T$9&gt;7,INDEX(AB$15:AB$116,MATCH(8,O$15:O$116,0)),""),"")</f>
        <v/>
      </c>
      <c r="AF35" s="128" t="str">
        <f>IF(I$1&lt;&gt;"",IF(T$9&gt;7,TEXT(INDEX(N$15:N$116,MATCH(8,O$15:O$116,0)),"###,00"),""),"")</f>
        <v/>
      </c>
      <c r="AG35" s="128" t="str">
        <f>IF(AC35="fout","fout",IF(B35&lt;&gt;"",VLOOKUP(CONCATENATE(C$9,C$10,$B35),Leveranciersnamen!$A:$F,6,FALSE),""))</f>
        <v/>
      </c>
      <c r="AH35" s="128" t="str">
        <f t="shared" si="9"/>
        <v>0,00</v>
      </c>
      <c r="AI35" s="128"/>
      <c r="AJ35" s="128"/>
      <c r="AK35" s="128"/>
      <c r="AL35" s="128"/>
      <c r="AM35" s="394"/>
      <c r="AN35" s="394"/>
      <c r="AO35" s="394"/>
      <c r="AP35" s="394"/>
      <c r="AQ35" s="427">
        <v>0</v>
      </c>
      <c r="AR35" s="427" t="s">
        <v>405</v>
      </c>
      <c r="AS35" s="427">
        <v>0</v>
      </c>
      <c r="AT35" s="129" t="str">
        <f t="shared" si="10"/>
        <v/>
      </c>
      <c r="AU35" s="128">
        <v>21</v>
      </c>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row>
    <row r="36" spans="1:70" ht="25" customHeight="1">
      <c r="A36" s="313">
        <v>22</v>
      </c>
      <c r="B36" s="178"/>
      <c r="C36" s="179"/>
      <c r="D36" s="179"/>
      <c r="E36" s="181"/>
      <c r="F36" s="182"/>
      <c r="G36" s="277"/>
      <c r="H36" s="183" t="str">
        <f t="shared" si="4"/>
        <v/>
      </c>
      <c r="I36" s="470" t="str">
        <f t="shared" si="5"/>
        <v/>
      </c>
      <c r="J36" s="473"/>
      <c r="K36" s="184" t="b">
        <f t="shared" si="6"/>
        <v>0</v>
      </c>
      <c r="L36" s="321">
        <f t="shared" si="0"/>
        <v>0</v>
      </c>
      <c r="M36" s="185"/>
      <c r="N36" s="322">
        <f t="shared" si="8"/>
        <v>0</v>
      </c>
      <c r="O36" s="186" t="str">
        <f t="shared" si="1"/>
        <v/>
      </c>
      <c r="P36" s="661"/>
      <c r="Q36" s="662"/>
      <c r="R36" s="662"/>
      <c r="S36" s="662"/>
      <c r="T36" s="662"/>
      <c r="U36" s="662"/>
      <c r="V36" s="662"/>
      <c r="W36" s="662"/>
      <c r="X36" s="663"/>
      <c r="Y36" s="318"/>
      <c r="Z36" s="426">
        <f>IFERROR(VLOOKUP(D36,#REF!,1,FALSE),0)</f>
        <v>0</v>
      </c>
      <c r="AA36" s="476" t="b">
        <f t="shared" si="2"/>
        <v>0</v>
      </c>
      <c r="AB36" s="128" t="e">
        <f>VLOOKUP($B36,Leveranciersnamen!$D:$E,2,FALSE)</f>
        <v>#N/A</v>
      </c>
      <c r="AC36" s="128" t="str">
        <f>IF($B36&lt;="","Geen waarde",IFERROR(VLOOKUP(CONCATENATE($C$9,$C$10,$B36),Leveranciersnamen!$A:$A,1,FALSE),"fout"))</f>
        <v>Geen waarde</v>
      </c>
      <c r="AD36" s="128" t="str">
        <f t="shared" si="7"/>
        <v/>
      </c>
      <c r="AE36" s="128" t="str">
        <f>IF(I$1&lt;&gt;"",IF(T$9&gt;8,INDEX(AB$15:AB$116,MATCH(9,O$15:O$116,0)),""),"")</f>
        <v/>
      </c>
      <c r="AF36" s="128" t="str">
        <f>IF(I$1&lt;&gt;"",IF(T$9&gt;8,TEXT(INDEX(N$15:N$116,MATCH(9,O$15:O$116,0)),"###,00"),""),"")</f>
        <v/>
      </c>
      <c r="AG36" s="128" t="str">
        <f>IF(AC36="fout","fout",IF(B36&lt;&gt;"",VLOOKUP(CONCATENATE(C$9,C$10,$B36),Leveranciersnamen!$A:$F,6,FALSE),""))</f>
        <v/>
      </c>
      <c r="AH36" s="128" t="str">
        <f t="shared" si="9"/>
        <v>0,00</v>
      </c>
      <c r="AI36" s="128"/>
      <c r="AJ36" s="128"/>
      <c r="AK36" s="128"/>
      <c r="AL36" s="128"/>
      <c r="AM36" s="394"/>
      <c r="AN36" s="394"/>
      <c r="AO36" s="394"/>
      <c r="AP36" s="394"/>
      <c r="AQ36" s="427">
        <v>0</v>
      </c>
      <c r="AR36" s="427" t="s">
        <v>405</v>
      </c>
      <c r="AS36" s="427">
        <v>0</v>
      </c>
      <c r="AT36" s="129" t="str">
        <f t="shared" si="10"/>
        <v/>
      </c>
      <c r="AU36" s="394">
        <v>22</v>
      </c>
      <c r="AV36" s="394"/>
      <c r="AW36" s="394"/>
      <c r="AX36" s="394"/>
      <c r="AY36" s="394"/>
      <c r="AZ36" s="394"/>
      <c r="BA36" s="394"/>
      <c r="BB36" s="394"/>
      <c r="BC36" s="394"/>
      <c r="BD36" s="394"/>
      <c r="BE36" s="394"/>
      <c r="BF36" s="394"/>
      <c r="BG36" s="394"/>
      <c r="BH36" s="394"/>
      <c r="BI36" s="394"/>
      <c r="BJ36" s="394"/>
      <c r="BK36" s="394"/>
      <c r="BL36" s="394"/>
      <c r="BM36" s="394"/>
      <c r="BN36" s="394"/>
      <c r="BO36" s="394"/>
      <c r="BP36" s="394"/>
      <c r="BQ36" s="394"/>
      <c r="BR36" s="394"/>
    </row>
    <row r="37" spans="1:70" ht="25" customHeight="1">
      <c r="A37" s="313">
        <v>23</v>
      </c>
      <c r="B37" s="178"/>
      <c r="C37" s="179"/>
      <c r="D37" s="179"/>
      <c r="E37" s="181"/>
      <c r="F37" s="182"/>
      <c r="G37" s="277"/>
      <c r="H37" s="183" t="str">
        <f t="shared" si="4"/>
        <v/>
      </c>
      <c r="I37" s="470" t="str">
        <f t="shared" si="5"/>
        <v/>
      </c>
      <c r="J37" s="473"/>
      <c r="K37" s="184" t="b">
        <f t="shared" si="6"/>
        <v>0</v>
      </c>
      <c r="L37" s="321">
        <f t="shared" si="0"/>
        <v>0</v>
      </c>
      <c r="M37" s="185"/>
      <c r="N37" s="322">
        <f t="shared" si="8"/>
        <v>0</v>
      </c>
      <c r="O37" s="186" t="str">
        <f t="shared" si="1"/>
        <v/>
      </c>
      <c r="P37" s="661"/>
      <c r="Q37" s="662"/>
      <c r="R37" s="662"/>
      <c r="S37" s="662"/>
      <c r="T37" s="662"/>
      <c r="U37" s="662"/>
      <c r="V37" s="662"/>
      <c r="W37" s="662"/>
      <c r="X37" s="663"/>
      <c r="Y37" s="318"/>
      <c r="Z37" s="426">
        <f>IFERROR(VLOOKUP(D37,#REF!,1,FALSE),0)</f>
        <v>0</v>
      </c>
      <c r="AA37" s="476" t="b">
        <f t="shared" si="2"/>
        <v>0</v>
      </c>
      <c r="AB37" s="128" t="e">
        <f>VLOOKUP($B37,Leveranciersnamen!$D:$E,2,FALSE)</f>
        <v>#N/A</v>
      </c>
      <c r="AC37" s="128" t="str">
        <f>IF($B37&lt;="","Geen waarde",IFERROR(VLOOKUP(CONCATENATE($C$9,$C$10,$B37),Leveranciersnamen!$A:$A,1,FALSE),"fout"))</f>
        <v>Geen waarde</v>
      </c>
      <c r="AD37" s="128" t="str">
        <f t="shared" si="7"/>
        <v/>
      </c>
      <c r="AE37" s="128" t="str">
        <f>IF(I$1&lt;&gt;"",IF(T$9&gt;9,INDEX(AB$15:AB$116,MATCH(10,O$15:O$116,0)),""),"")</f>
        <v/>
      </c>
      <c r="AF37" s="128" t="str">
        <f>IF(I$1&lt;&gt;"",IF(T$9&gt;9,TEXT(INDEX(N$15:N$116,MATCH(10,O$15:O$116,0)),"###,00"),""),"")</f>
        <v/>
      </c>
      <c r="AG37" s="128" t="str">
        <f>IF(AC37="fout","fout",IF(B37&lt;&gt;"",VLOOKUP(CONCATENATE(C$9,C$10,$B37),Leveranciersnamen!$A:$F,6,FALSE),""))</f>
        <v/>
      </c>
      <c r="AH37" s="128" t="str">
        <f t="shared" si="9"/>
        <v>0,00</v>
      </c>
      <c r="AI37" s="128"/>
      <c r="AJ37" s="128"/>
      <c r="AK37" s="128"/>
      <c r="AL37" s="128"/>
      <c r="AM37" s="394"/>
      <c r="AN37" s="394"/>
      <c r="AO37" s="394"/>
      <c r="AP37" s="394"/>
      <c r="AQ37" s="427">
        <v>0</v>
      </c>
      <c r="AR37" s="427" t="s">
        <v>405</v>
      </c>
      <c r="AS37" s="427">
        <v>0</v>
      </c>
      <c r="AT37" s="129" t="str">
        <f t="shared" si="10"/>
        <v/>
      </c>
      <c r="AU37" s="128">
        <v>23</v>
      </c>
      <c r="AV37" s="394"/>
      <c r="AW37" s="394"/>
      <c r="AX37" s="394"/>
      <c r="AY37" s="394"/>
      <c r="AZ37" s="394"/>
      <c r="BA37" s="394"/>
      <c r="BB37" s="394"/>
      <c r="BC37" s="394"/>
      <c r="BD37" s="394"/>
      <c r="BE37" s="394"/>
      <c r="BF37" s="394"/>
      <c r="BG37" s="394"/>
      <c r="BH37" s="394"/>
      <c r="BI37" s="394"/>
      <c r="BJ37" s="394"/>
      <c r="BK37" s="394"/>
      <c r="BL37" s="394"/>
      <c r="BM37" s="394"/>
      <c r="BN37" s="394"/>
      <c r="BO37" s="394"/>
      <c r="BP37" s="394"/>
      <c r="BQ37" s="394"/>
      <c r="BR37" s="394"/>
    </row>
    <row r="38" spans="1:70" ht="25" customHeight="1">
      <c r="A38" s="313">
        <v>24</v>
      </c>
      <c r="B38" s="178"/>
      <c r="C38" s="179"/>
      <c r="D38" s="179"/>
      <c r="E38" s="181"/>
      <c r="F38" s="182"/>
      <c r="G38" s="277"/>
      <c r="H38" s="183" t="str">
        <f t="shared" si="4"/>
        <v/>
      </c>
      <c r="I38" s="470" t="str">
        <f t="shared" si="5"/>
        <v/>
      </c>
      <c r="J38" s="473"/>
      <c r="K38" s="184" t="b">
        <f t="shared" si="6"/>
        <v>0</v>
      </c>
      <c r="L38" s="321">
        <f t="shared" si="0"/>
        <v>0</v>
      </c>
      <c r="M38" s="185"/>
      <c r="N38" s="322">
        <f t="shared" si="8"/>
        <v>0</v>
      </c>
      <c r="O38" s="186" t="str">
        <f t="shared" si="1"/>
        <v/>
      </c>
      <c r="P38" s="661"/>
      <c r="Q38" s="662"/>
      <c r="R38" s="662"/>
      <c r="S38" s="662"/>
      <c r="T38" s="662"/>
      <c r="U38" s="662"/>
      <c r="V38" s="662"/>
      <c r="W38" s="662"/>
      <c r="X38" s="663"/>
      <c r="Y38" s="318"/>
      <c r="Z38" s="426">
        <f>IFERROR(VLOOKUP(D38,#REF!,1,FALSE),0)</f>
        <v>0</v>
      </c>
      <c r="AA38" s="476" t="b">
        <f t="shared" si="2"/>
        <v>0</v>
      </c>
      <c r="AB38" s="128" t="e">
        <f>VLOOKUP($B38,Leveranciersnamen!$D:$E,2,FALSE)</f>
        <v>#N/A</v>
      </c>
      <c r="AC38" s="128" t="str">
        <f>IF($B38&lt;="","Geen waarde",IFERROR(VLOOKUP(CONCATENATE($C$9,$C$10,$B38),Leveranciersnamen!$A:$A,1,FALSE),"fout"))</f>
        <v>Geen waarde</v>
      </c>
      <c r="AD38" s="128" t="str">
        <f t="shared" si="7"/>
        <v/>
      </c>
      <c r="AE38" s="128" t="str">
        <f t="shared" ref="AE38:AE76" si="11">IF(I$1&lt;&gt;"",IF(T$9&gt;9,INDEX(AB$15:AB$116,MATCH(10,O$15:O$116,0)),""),"")</f>
        <v/>
      </c>
      <c r="AF38" s="128" t="str">
        <f t="shared" ref="AF38:AF76" si="12">IF(I$1&lt;&gt;"",IF(T$9&gt;9,TEXT(INDEX(N$15:N$116,MATCH(10,O$15:O$116,0)),"###,00"),""),"")</f>
        <v/>
      </c>
      <c r="AG38" s="128" t="str">
        <f>IF(AC38="fout","fout",IF(B38&lt;&gt;"",VLOOKUP(CONCATENATE(C$9,C$10,$B38),Leveranciersnamen!$A:$F,6,FALSE),""))</f>
        <v/>
      </c>
      <c r="AH38" s="128" t="str">
        <f t="shared" si="9"/>
        <v>0,00</v>
      </c>
      <c r="AI38" s="128"/>
      <c r="AJ38" s="128"/>
      <c r="AK38" s="128"/>
      <c r="AL38" s="128"/>
      <c r="AM38" s="394"/>
      <c r="AN38" s="394"/>
      <c r="AO38" s="394"/>
      <c r="AP38" s="394"/>
      <c r="AQ38" s="427">
        <v>0</v>
      </c>
      <c r="AR38" s="427" t="s">
        <v>405</v>
      </c>
      <c r="AS38" s="427">
        <v>0</v>
      </c>
      <c r="AT38" s="129" t="str">
        <f t="shared" si="10"/>
        <v/>
      </c>
      <c r="AU38" s="394">
        <v>24</v>
      </c>
      <c r="AV38" s="394"/>
      <c r="AW38" s="394"/>
      <c r="AX38" s="394"/>
      <c r="AY38" s="394"/>
      <c r="AZ38" s="394"/>
      <c r="BA38" s="394"/>
      <c r="BB38" s="394"/>
      <c r="BC38" s="394"/>
      <c r="BD38" s="394"/>
      <c r="BE38" s="394"/>
      <c r="BF38" s="394"/>
      <c r="BG38" s="394"/>
      <c r="BH38" s="394"/>
      <c r="BI38" s="394"/>
      <c r="BJ38" s="394"/>
      <c r="BK38" s="394"/>
      <c r="BL38" s="394"/>
      <c r="BM38" s="394"/>
      <c r="BN38" s="394"/>
      <c r="BO38" s="394"/>
      <c r="BP38" s="394"/>
      <c r="BQ38" s="394"/>
      <c r="BR38" s="394"/>
    </row>
    <row r="39" spans="1:70" ht="25" customHeight="1">
      <c r="A39" s="313">
        <v>25</v>
      </c>
      <c r="B39" s="178"/>
      <c r="C39" s="179"/>
      <c r="D39" s="179"/>
      <c r="E39" s="181"/>
      <c r="F39" s="182"/>
      <c r="G39" s="277"/>
      <c r="H39" s="183" t="str">
        <f t="shared" si="4"/>
        <v/>
      </c>
      <c r="I39" s="470" t="str">
        <f t="shared" si="5"/>
        <v/>
      </c>
      <c r="J39" s="473"/>
      <c r="K39" s="184" t="b">
        <f t="shared" si="6"/>
        <v>0</v>
      </c>
      <c r="L39" s="321">
        <f t="shared" si="0"/>
        <v>0</v>
      </c>
      <c r="M39" s="185"/>
      <c r="N39" s="322">
        <f t="shared" si="8"/>
        <v>0</v>
      </c>
      <c r="O39" s="186" t="str">
        <f t="shared" si="1"/>
        <v/>
      </c>
      <c r="P39" s="661"/>
      <c r="Q39" s="662"/>
      <c r="R39" s="662"/>
      <c r="S39" s="662"/>
      <c r="T39" s="662"/>
      <c r="U39" s="662"/>
      <c r="V39" s="662"/>
      <c r="W39" s="662"/>
      <c r="X39" s="663"/>
      <c r="Y39" s="318"/>
      <c r="Z39" s="426">
        <f>IFERROR(VLOOKUP(D39,#REF!,1,FALSE),0)</f>
        <v>0</v>
      </c>
      <c r="AA39" s="476" t="b">
        <f t="shared" si="2"/>
        <v>0</v>
      </c>
      <c r="AB39" s="128" t="e">
        <f>VLOOKUP($B39,Leveranciersnamen!$D:$E,2,FALSE)</f>
        <v>#N/A</v>
      </c>
      <c r="AC39" s="128" t="str">
        <f>IF($B39&lt;="","Geen waarde",IFERROR(VLOOKUP(CONCATENATE($C$9,$C$10,$B39),Leveranciersnamen!$A:$A,1,FALSE),"fout"))</f>
        <v>Geen waarde</v>
      </c>
      <c r="AD39" s="128" t="str">
        <f t="shared" si="7"/>
        <v/>
      </c>
      <c r="AE39" s="128" t="str">
        <f t="shared" si="11"/>
        <v/>
      </c>
      <c r="AF39" s="128" t="str">
        <f t="shared" si="12"/>
        <v/>
      </c>
      <c r="AG39" s="128" t="str">
        <f>IF(AC39="fout","fout",IF(B39&lt;&gt;"",VLOOKUP(CONCATENATE(C$9,C$10,$B39),Leveranciersnamen!$A:$F,6,FALSE),""))</f>
        <v/>
      </c>
      <c r="AH39" s="128" t="str">
        <f t="shared" si="9"/>
        <v>0,00</v>
      </c>
      <c r="AI39" s="128"/>
      <c r="AJ39" s="128"/>
      <c r="AK39" s="128"/>
      <c r="AL39" s="128"/>
      <c r="AM39" s="394"/>
      <c r="AN39" s="394"/>
      <c r="AO39" s="394"/>
      <c r="AP39" s="394"/>
      <c r="AQ39" s="427">
        <v>0</v>
      </c>
      <c r="AR39" s="427" t="s">
        <v>405</v>
      </c>
      <c r="AS39" s="427">
        <v>0</v>
      </c>
      <c r="AT39" s="129" t="str">
        <f t="shared" si="10"/>
        <v/>
      </c>
      <c r="AU39" s="128">
        <v>25</v>
      </c>
      <c r="AV39" s="394"/>
      <c r="AW39" s="394"/>
      <c r="AX39" s="394"/>
      <c r="AY39" s="394"/>
      <c r="AZ39" s="394"/>
      <c r="BA39" s="394"/>
      <c r="BB39" s="394"/>
      <c r="BC39" s="394"/>
      <c r="BD39" s="394"/>
      <c r="BE39" s="394"/>
      <c r="BF39" s="394"/>
      <c r="BG39" s="394"/>
      <c r="BH39" s="394"/>
      <c r="BI39" s="394"/>
      <c r="BJ39" s="394"/>
      <c r="BK39" s="394"/>
      <c r="BL39" s="394"/>
      <c r="BM39" s="394"/>
      <c r="BN39" s="394"/>
      <c r="BO39" s="394"/>
      <c r="BP39" s="394"/>
      <c r="BQ39" s="394"/>
      <c r="BR39" s="394"/>
    </row>
    <row r="40" spans="1:70" ht="25" customHeight="1">
      <c r="A40" s="313">
        <v>26</v>
      </c>
      <c r="B40" s="178"/>
      <c r="C40" s="179"/>
      <c r="D40" s="179"/>
      <c r="E40" s="181"/>
      <c r="F40" s="182"/>
      <c r="G40" s="277"/>
      <c r="H40" s="183" t="str">
        <f t="shared" si="4"/>
        <v/>
      </c>
      <c r="I40" s="470" t="str">
        <f t="shared" si="5"/>
        <v/>
      </c>
      <c r="J40" s="473"/>
      <c r="K40" s="184" t="b">
        <f t="shared" si="6"/>
        <v>0</v>
      </c>
      <c r="L40" s="321">
        <f t="shared" si="0"/>
        <v>0</v>
      </c>
      <c r="M40" s="185"/>
      <c r="N40" s="322">
        <f t="shared" si="8"/>
        <v>0</v>
      </c>
      <c r="O40" s="186" t="str">
        <f t="shared" si="1"/>
        <v/>
      </c>
      <c r="P40" s="661"/>
      <c r="Q40" s="662"/>
      <c r="R40" s="662"/>
      <c r="S40" s="662"/>
      <c r="T40" s="662"/>
      <c r="U40" s="662"/>
      <c r="V40" s="662"/>
      <c r="W40" s="662"/>
      <c r="X40" s="663"/>
      <c r="Y40" s="318"/>
      <c r="Z40" s="426">
        <f>IFERROR(VLOOKUP(D40,#REF!,1,FALSE),0)</f>
        <v>0</v>
      </c>
      <c r="AA40" s="476" t="b">
        <f t="shared" si="2"/>
        <v>0</v>
      </c>
      <c r="AB40" s="128" t="e">
        <f>VLOOKUP($B40,Leveranciersnamen!$D:$E,2,FALSE)</f>
        <v>#N/A</v>
      </c>
      <c r="AC40" s="128" t="str">
        <f>IF($B40&lt;="","Geen waarde",IFERROR(VLOOKUP(CONCATENATE($C$9,$C$10,$B40),Leveranciersnamen!$A:$A,1,FALSE),"fout"))</f>
        <v>Geen waarde</v>
      </c>
      <c r="AD40" s="128" t="str">
        <f t="shared" si="7"/>
        <v/>
      </c>
      <c r="AE40" s="128" t="str">
        <f t="shared" si="11"/>
        <v/>
      </c>
      <c r="AF40" s="128" t="str">
        <f t="shared" si="12"/>
        <v/>
      </c>
      <c r="AG40" s="128" t="str">
        <f>IF(AC40="fout","fout",IF(B40&lt;&gt;"",VLOOKUP(CONCATENATE(C$9,C$10,$B40),Leveranciersnamen!$A:$F,6,FALSE),""))</f>
        <v/>
      </c>
      <c r="AH40" s="128" t="str">
        <f t="shared" si="9"/>
        <v>0,00</v>
      </c>
      <c r="AI40" s="128"/>
      <c r="AJ40" s="128"/>
      <c r="AK40" s="128"/>
      <c r="AL40" s="128"/>
      <c r="AM40" s="394"/>
      <c r="AN40" s="394"/>
      <c r="AO40" s="394"/>
      <c r="AP40" s="394"/>
      <c r="AQ40" s="427">
        <v>0</v>
      </c>
      <c r="AR40" s="427" t="s">
        <v>405</v>
      </c>
      <c r="AS40" s="427">
        <v>0</v>
      </c>
      <c r="AT40" s="129" t="str">
        <f t="shared" si="10"/>
        <v/>
      </c>
      <c r="AU40" s="394">
        <v>26</v>
      </c>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row>
    <row r="41" spans="1:70" ht="25" customHeight="1">
      <c r="A41" s="313">
        <v>27</v>
      </c>
      <c r="B41" s="178"/>
      <c r="C41" s="179"/>
      <c r="D41" s="179"/>
      <c r="E41" s="181"/>
      <c r="F41" s="182"/>
      <c r="G41" s="277"/>
      <c r="H41" s="183" t="str">
        <f t="shared" si="4"/>
        <v/>
      </c>
      <c r="I41" s="470" t="str">
        <f t="shared" si="5"/>
        <v/>
      </c>
      <c r="J41" s="473"/>
      <c r="K41" s="184" t="b">
        <f t="shared" si="6"/>
        <v>0</v>
      </c>
      <c r="L41" s="321">
        <f t="shared" si="0"/>
        <v>0</v>
      </c>
      <c r="M41" s="185"/>
      <c r="N41" s="322">
        <f t="shared" si="8"/>
        <v>0</v>
      </c>
      <c r="O41" s="186" t="str">
        <f t="shared" si="1"/>
        <v/>
      </c>
      <c r="P41" s="661"/>
      <c r="Q41" s="662"/>
      <c r="R41" s="662"/>
      <c r="S41" s="662"/>
      <c r="T41" s="662"/>
      <c r="U41" s="662"/>
      <c r="V41" s="662"/>
      <c r="W41" s="662"/>
      <c r="X41" s="663"/>
      <c r="Y41" s="318"/>
      <c r="Z41" s="426">
        <f>IFERROR(VLOOKUP(D41,#REF!,1,FALSE),0)</f>
        <v>0</v>
      </c>
      <c r="AA41" s="476" t="b">
        <f t="shared" si="2"/>
        <v>0</v>
      </c>
      <c r="AB41" s="128" t="e">
        <f>VLOOKUP($B41,Leveranciersnamen!$D:$E,2,FALSE)</f>
        <v>#N/A</v>
      </c>
      <c r="AC41" s="128" t="str">
        <f>IF($B41&lt;="","Geen waarde",IFERROR(VLOOKUP(CONCATENATE($C$9,$C$10,$B41),Leveranciersnamen!$A:$A,1,FALSE),"fout"))</f>
        <v>Geen waarde</v>
      </c>
      <c r="AD41" s="128" t="str">
        <f t="shared" si="7"/>
        <v/>
      </c>
      <c r="AE41" s="128" t="str">
        <f t="shared" si="11"/>
        <v/>
      </c>
      <c r="AF41" s="128" t="str">
        <f t="shared" si="12"/>
        <v/>
      </c>
      <c r="AG41" s="128" t="str">
        <f>IF(AC41="fout","fout",IF(B41&lt;&gt;"",VLOOKUP(CONCATENATE(C$9,C$10,$B41),Leveranciersnamen!$A:$F,6,FALSE),""))</f>
        <v/>
      </c>
      <c r="AH41" s="128" t="str">
        <f t="shared" si="9"/>
        <v>0,00</v>
      </c>
      <c r="AI41" s="128"/>
      <c r="AJ41" s="128"/>
      <c r="AK41" s="128"/>
      <c r="AL41" s="128"/>
      <c r="AM41" s="394"/>
      <c r="AN41" s="394"/>
      <c r="AO41" s="394"/>
      <c r="AP41" s="394"/>
      <c r="AQ41" s="427">
        <v>0</v>
      </c>
      <c r="AR41" s="427" t="s">
        <v>405</v>
      </c>
      <c r="AS41" s="427">
        <v>0</v>
      </c>
      <c r="AT41" s="129" t="str">
        <f t="shared" si="10"/>
        <v/>
      </c>
      <c r="AU41" s="128">
        <v>27</v>
      </c>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row>
    <row r="42" spans="1:70" ht="25" customHeight="1">
      <c r="A42" s="313">
        <v>28</v>
      </c>
      <c r="B42" s="178"/>
      <c r="C42" s="179"/>
      <c r="D42" s="179"/>
      <c r="E42" s="181"/>
      <c r="F42" s="182"/>
      <c r="G42" s="277"/>
      <c r="H42" s="183" t="str">
        <f t="shared" si="4"/>
        <v/>
      </c>
      <c r="I42" s="470" t="str">
        <f t="shared" si="5"/>
        <v/>
      </c>
      <c r="J42" s="473"/>
      <c r="K42" s="184" t="b">
        <f t="shared" si="6"/>
        <v>0</v>
      </c>
      <c r="L42" s="321">
        <f t="shared" si="0"/>
        <v>0</v>
      </c>
      <c r="M42" s="185"/>
      <c r="N42" s="322">
        <f t="shared" si="8"/>
        <v>0</v>
      </c>
      <c r="O42" s="186" t="str">
        <f t="shared" si="1"/>
        <v/>
      </c>
      <c r="P42" s="661"/>
      <c r="Q42" s="662"/>
      <c r="R42" s="662"/>
      <c r="S42" s="662"/>
      <c r="T42" s="662"/>
      <c r="U42" s="662"/>
      <c r="V42" s="662"/>
      <c r="W42" s="662"/>
      <c r="X42" s="663"/>
      <c r="Y42" s="318"/>
      <c r="Z42" s="426">
        <f>IFERROR(VLOOKUP(D42,#REF!,1,FALSE),0)</f>
        <v>0</v>
      </c>
      <c r="AA42" s="476" t="b">
        <f t="shared" si="2"/>
        <v>0</v>
      </c>
      <c r="AB42" s="128" t="e">
        <f>VLOOKUP($B42,Leveranciersnamen!$D:$E,2,FALSE)</f>
        <v>#N/A</v>
      </c>
      <c r="AC42" s="128" t="str">
        <f>IF($B42&lt;="","Geen waarde",IFERROR(VLOOKUP(CONCATENATE($C$9,$C$10,$B42),Leveranciersnamen!$A:$A,1,FALSE),"fout"))</f>
        <v>Geen waarde</v>
      </c>
      <c r="AD42" s="128" t="str">
        <f t="shared" si="7"/>
        <v/>
      </c>
      <c r="AE42" s="128" t="str">
        <f t="shared" si="11"/>
        <v/>
      </c>
      <c r="AF42" s="128" t="str">
        <f t="shared" si="12"/>
        <v/>
      </c>
      <c r="AG42" s="128" t="str">
        <f>IF(AC42="fout","fout",IF(B42&lt;&gt;"",VLOOKUP(CONCATENATE(C$9,C$10,$B42),Leveranciersnamen!$A:$F,6,FALSE),""))</f>
        <v/>
      </c>
      <c r="AH42" s="128" t="str">
        <f t="shared" si="9"/>
        <v>0,00</v>
      </c>
      <c r="AI42" s="128"/>
      <c r="AJ42" s="128"/>
      <c r="AK42" s="128"/>
      <c r="AL42" s="128"/>
      <c r="AM42" s="394"/>
      <c r="AN42" s="394"/>
      <c r="AO42" s="394"/>
      <c r="AP42" s="394"/>
      <c r="AQ42" s="427">
        <v>0</v>
      </c>
      <c r="AR42" s="427" t="s">
        <v>405</v>
      </c>
      <c r="AS42" s="427">
        <v>0</v>
      </c>
      <c r="AT42" s="129" t="str">
        <f t="shared" si="10"/>
        <v/>
      </c>
      <c r="AU42" s="394">
        <v>28</v>
      </c>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row>
    <row r="43" spans="1:70" ht="25" customHeight="1">
      <c r="A43" s="313">
        <v>29</v>
      </c>
      <c r="B43" s="178"/>
      <c r="C43" s="179"/>
      <c r="D43" s="179"/>
      <c r="E43" s="181"/>
      <c r="F43" s="182"/>
      <c r="G43" s="277"/>
      <c r="H43" s="183" t="str">
        <f t="shared" si="4"/>
        <v/>
      </c>
      <c r="I43" s="470" t="str">
        <f t="shared" si="5"/>
        <v/>
      </c>
      <c r="J43" s="473"/>
      <c r="K43" s="184" t="b">
        <f t="shared" si="6"/>
        <v>0</v>
      </c>
      <c r="L43" s="321">
        <f t="shared" si="0"/>
        <v>0</v>
      </c>
      <c r="M43" s="185"/>
      <c r="N43" s="322">
        <f t="shared" si="8"/>
        <v>0</v>
      </c>
      <c r="O43" s="186" t="str">
        <f t="shared" si="1"/>
        <v/>
      </c>
      <c r="P43" s="661"/>
      <c r="Q43" s="662"/>
      <c r="R43" s="662"/>
      <c r="S43" s="662"/>
      <c r="T43" s="662"/>
      <c r="U43" s="662"/>
      <c r="V43" s="662"/>
      <c r="W43" s="662"/>
      <c r="X43" s="663"/>
      <c r="Y43" s="318"/>
      <c r="Z43" s="426">
        <f>IFERROR(VLOOKUP(D43,#REF!,1,FALSE),0)</f>
        <v>0</v>
      </c>
      <c r="AA43" s="476" t="b">
        <f t="shared" si="2"/>
        <v>0</v>
      </c>
      <c r="AB43" s="128" t="e">
        <f>VLOOKUP($B43,Leveranciersnamen!$D:$E,2,FALSE)</f>
        <v>#N/A</v>
      </c>
      <c r="AC43" s="128" t="str">
        <f>IF($B43&lt;="","Geen waarde",IFERROR(VLOOKUP(CONCATENATE($C$9,$C$10,$B43),Leveranciersnamen!$A:$A,1,FALSE),"fout"))</f>
        <v>Geen waarde</v>
      </c>
      <c r="AD43" s="128" t="str">
        <f t="shared" si="7"/>
        <v/>
      </c>
      <c r="AE43" s="128" t="str">
        <f t="shared" si="11"/>
        <v/>
      </c>
      <c r="AF43" s="128" t="str">
        <f t="shared" si="12"/>
        <v/>
      </c>
      <c r="AG43" s="128" t="str">
        <f>IF(AC43="fout","fout",IF(B43&lt;&gt;"",VLOOKUP(CONCATENATE(C$9,C$10,$B43),Leveranciersnamen!$A:$F,6,FALSE),""))</f>
        <v/>
      </c>
      <c r="AH43" s="128" t="str">
        <f t="shared" si="9"/>
        <v>0,00</v>
      </c>
      <c r="AI43" s="128"/>
      <c r="AJ43" s="128"/>
      <c r="AK43" s="128"/>
      <c r="AL43" s="128"/>
      <c r="AM43" s="394"/>
      <c r="AN43" s="394"/>
      <c r="AO43" s="394"/>
      <c r="AP43" s="394"/>
      <c r="AQ43" s="427">
        <v>0</v>
      </c>
      <c r="AR43" s="427" t="s">
        <v>405</v>
      </c>
      <c r="AS43" s="427">
        <v>0</v>
      </c>
      <c r="AT43" s="129" t="str">
        <f t="shared" si="10"/>
        <v/>
      </c>
      <c r="AU43" s="128">
        <v>29</v>
      </c>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row>
    <row r="44" spans="1:70" ht="25" customHeight="1">
      <c r="A44" s="313">
        <v>30</v>
      </c>
      <c r="B44" s="178"/>
      <c r="C44" s="179"/>
      <c r="D44" s="179"/>
      <c r="E44" s="181"/>
      <c r="F44" s="182"/>
      <c r="G44" s="277"/>
      <c r="H44" s="183" t="str">
        <f t="shared" si="4"/>
        <v/>
      </c>
      <c r="I44" s="470" t="str">
        <f t="shared" si="5"/>
        <v/>
      </c>
      <c r="J44" s="473"/>
      <c r="K44" s="184" t="b">
        <f t="shared" si="6"/>
        <v>0</v>
      </c>
      <c r="L44" s="321">
        <f t="shared" si="0"/>
        <v>0</v>
      </c>
      <c r="M44" s="185"/>
      <c r="N44" s="322">
        <f t="shared" si="8"/>
        <v>0</v>
      </c>
      <c r="O44" s="186" t="str">
        <f t="shared" si="1"/>
        <v/>
      </c>
      <c r="P44" s="661"/>
      <c r="Q44" s="662"/>
      <c r="R44" s="662"/>
      <c r="S44" s="662"/>
      <c r="T44" s="662"/>
      <c r="U44" s="662"/>
      <c r="V44" s="662"/>
      <c r="W44" s="662"/>
      <c r="X44" s="663"/>
      <c r="Y44" s="318"/>
      <c r="Z44" s="426">
        <f>IFERROR(VLOOKUP(D44,#REF!,1,FALSE),0)</f>
        <v>0</v>
      </c>
      <c r="AA44" s="476" t="b">
        <f t="shared" si="2"/>
        <v>0</v>
      </c>
      <c r="AB44" s="128" t="e">
        <f>VLOOKUP($B44,Leveranciersnamen!$D:$E,2,FALSE)</f>
        <v>#N/A</v>
      </c>
      <c r="AC44" s="128" t="str">
        <f>IF($B44&lt;="","Geen waarde",IFERROR(VLOOKUP(CONCATENATE($C$9,$C$10,$B44),Leveranciersnamen!$A:$A,1,FALSE),"fout"))</f>
        <v>Geen waarde</v>
      </c>
      <c r="AD44" s="128" t="str">
        <f t="shared" si="7"/>
        <v/>
      </c>
      <c r="AE44" s="128" t="str">
        <f t="shared" si="11"/>
        <v/>
      </c>
      <c r="AF44" s="128" t="str">
        <f t="shared" si="12"/>
        <v/>
      </c>
      <c r="AG44" s="128" t="str">
        <f>IF(AC44="fout","fout",IF(B44&lt;&gt;"",VLOOKUP(CONCATENATE(C$9,C$10,$B44),Leveranciersnamen!$A:$F,6,FALSE),""))</f>
        <v/>
      </c>
      <c r="AH44" s="128" t="str">
        <f t="shared" si="9"/>
        <v>0,00</v>
      </c>
      <c r="AI44" s="128"/>
      <c r="AJ44" s="128"/>
      <c r="AK44" s="128"/>
      <c r="AL44" s="128"/>
      <c r="AM44" s="394"/>
      <c r="AN44" s="394"/>
      <c r="AO44" s="394"/>
      <c r="AP44" s="394"/>
      <c r="AQ44" s="427">
        <v>0</v>
      </c>
      <c r="AR44" s="427" t="s">
        <v>405</v>
      </c>
      <c r="AS44" s="427">
        <v>0</v>
      </c>
      <c r="AT44" s="129" t="str">
        <f t="shared" si="10"/>
        <v/>
      </c>
      <c r="AU44" s="394">
        <v>30</v>
      </c>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row>
    <row r="45" spans="1:70" ht="25" customHeight="1">
      <c r="A45" s="313">
        <v>31</v>
      </c>
      <c r="B45" s="178"/>
      <c r="C45" s="179"/>
      <c r="D45" s="179"/>
      <c r="E45" s="181"/>
      <c r="F45" s="182"/>
      <c r="G45" s="277"/>
      <c r="H45" s="183" t="str">
        <f t="shared" si="4"/>
        <v/>
      </c>
      <c r="I45" s="470" t="str">
        <f t="shared" si="5"/>
        <v/>
      </c>
      <c r="J45" s="473"/>
      <c r="K45" s="184" t="b">
        <f t="shared" si="6"/>
        <v>0</v>
      </c>
      <c r="L45" s="321">
        <f t="shared" si="0"/>
        <v>0</v>
      </c>
      <c r="M45" s="185"/>
      <c r="N45" s="322">
        <f t="shared" si="8"/>
        <v>0</v>
      </c>
      <c r="O45" s="186" t="str">
        <f t="shared" si="1"/>
        <v/>
      </c>
      <c r="P45" s="661"/>
      <c r="Q45" s="662"/>
      <c r="R45" s="662"/>
      <c r="S45" s="662"/>
      <c r="T45" s="662"/>
      <c r="U45" s="662"/>
      <c r="V45" s="662"/>
      <c r="W45" s="662"/>
      <c r="X45" s="663"/>
      <c r="Y45" s="318"/>
      <c r="Z45" s="426">
        <f>IFERROR(VLOOKUP(D45,#REF!,1,FALSE),0)</f>
        <v>0</v>
      </c>
      <c r="AA45" s="476" t="b">
        <f t="shared" si="2"/>
        <v>0</v>
      </c>
      <c r="AB45" s="128" t="e">
        <f>VLOOKUP($B45,Leveranciersnamen!$D:$E,2,FALSE)</f>
        <v>#N/A</v>
      </c>
      <c r="AC45" s="128" t="str">
        <f>IF($B45&lt;="","Geen waarde",IFERROR(VLOOKUP(CONCATENATE($C$9,$C$10,$B45),Leveranciersnamen!$A:$A,1,FALSE),"fout"))</f>
        <v>Geen waarde</v>
      </c>
      <c r="AD45" s="128" t="str">
        <f t="shared" si="7"/>
        <v/>
      </c>
      <c r="AE45" s="128" t="str">
        <f t="shared" si="11"/>
        <v/>
      </c>
      <c r="AF45" s="128" t="str">
        <f t="shared" si="12"/>
        <v/>
      </c>
      <c r="AG45" s="128" t="str">
        <f>IF(AC45="fout","fout",IF(B45&lt;&gt;"",VLOOKUP(CONCATENATE(C$9,C$10,$B45),Leveranciersnamen!$A:$F,6,FALSE),""))</f>
        <v/>
      </c>
      <c r="AH45" s="128" t="str">
        <f t="shared" si="9"/>
        <v>0,00</v>
      </c>
      <c r="AI45" s="128"/>
      <c r="AJ45" s="128"/>
      <c r="AK45" s="128"/>
      <c r="AL45" s="128"/>
      <c r="AM45" s="394"/>
      <c r="AN45" s="394"/>
      <c r="AO45" s="394"/>
      <c r="AP45" s="394"/>
      <c r="AQ45" s="427">
        <v>0</v>
      </c>
      <c r="AR45" s="427" t="s">
        <v>405</v>
      </c>
      <c r="AS45" s="427">
        <v>0</v>
      </c>
      <c r="AT45" s="129" t="str">
        <f t="shared" si="10"/>
        <v/>
      </c>
      <c r="AU45" s="128">
        <v>31</v>
      </c>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row>
    <row r="46" spans="1:70" ht="25" customHeight="1">
      <c r="A46" s="313">
        <v>32</v>
      </c>
      <c r="B46" s="178"/>
      <c r="C46" s="179"/>
      <c r="D46" s="179"/>
      <c r="E46" s="181"/>
      <c r="F46" s="182"/>
      <c r="G46" s="277"/>
      <c r="H46" s="183" t="str">
        <f t="shared" si="4"/>
        <v/>
      </c>
      <c r="I46" s="470" t="str">
        <f t="shared" si="5"/>
        <v/>
      </c>
      <c r="J46" s="473"/>
      <c r="K46" s="184" t="b">
        <f t="shared" si="6"/>
        <v>0</v>
      </c>
      <c r="L46" s="321">
        <f t="shared" si="0"/>
        <v>0</v>
      </c>
      <c r="M46" s="185"/>
      <c r="N46" s="322">
        <f t="shared" si="8"/>
        <v>0</v>
      </c>
      <c r="O46" s="186" t="str">
        <f t="shared" si="1"/>
        <v/>
      </c>
      <c r="P46" s="661"/>
      <c r="Q46" s="662"/>
      <c r="R46" s="662"/>
      <c r="S46" s="662"/>
      <c r="T46" s="662"/>
      <c r="U46" s="662"/>
      <c r="V46" s="662"/>
      <c r="W46" s="662"/>
      <c r="X46" s="663"/>
      <c r="Y46" s="318"/>
      <c r="Z46" s="426">
        <f>IFERROR(VLOOKUP(D46,#REF!,1,FALSE),0)</f>
        <v>0</v>
      </c>
      <c r="AA46" s="476" t="b">
        <f t="shared" si="2"/>
        <v>0</v>
      </c>
      <c r="AB46" s="128" t="e">
        <f>VLOOKUP($B46,Leveranciersnamen!$D:$E,2,FALSE)</f>
        <v>#N/A</v>
      </c>
      <c r="AC46" s="128" t="str">
        <f>IF($B46&lt;="","Geen waarde",IFERROR(VLOOKUP(CONCATENATE($C$9,$C$10,$B46),Leveranciersnamen!$A:$A,1,FALSE),"fout"))</f>
        <v>Geen waarde</v>
      </c>
      <c r="AD46" s="128" t="str">
        <f t="shared" si="7"/>
        <v/>
      </c>
      <c r="AE46" s="128" t="str">
        <f t="shared" si="11"/>
        <v/>
      </c>
      <c r="AF46" s="128" t="str">
        <f t="shared" si="12"/>
        <v/>
      </c>
      <c r="AG46" s="128" t="str">
        <f>IF(AC46="fout","fout",IF(B46&lt;&gt;"",VLOOKUP(CONCATENATE(C$9,C$10,$B46),Leveranciersnamen!$A:$F,6,FALSE),""))</f>
        <v/>
      </c>
      <c r="AH46" s="128" t="str">
        <f t="shared" si="9"/>
        <v>0,00</v>
      </c>
      <c r="AI46" s="128"/>
      <c r="AJ46" s="128"/>
      <c r="AK46" s="128"/>
      <c r="AL46" s="128"/>
      <c r="AM46" s="394"/>
      <c r="AN46" s="394"/>
      <c r="AO46" s="394"/>
      <c r="AP46" s="394"/>
      <c r="AQ46" s="427">
        <v>0</v>
      </c>
      <c r="AR46" s="427" t="s">
        <v>405</v>
      </c>
      <c r="AS46" s="427">
        <v>0</v>
      </c>
      <c r="AT46" s="129" t="str">
        <f t="shared" si="10"/>
        <v/>
      </c>
      <c r="AU46" s="394">
        <v>32</v>
      </c>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row>
    <row r="47" spans="1:70" ht="25" customHeight="1">
      <c r="A47" s="313">
        <v>33</v>
      </c>
      <c r="B47" s="178"/>
      <c r="C47" s="179"/>
      <c r="D47" s="179"/>
      <c r="E47" s="181"/>
      <c r="F47" s="182"/>
      <c r="G47" s="277"/>
      <c r="H47" s="183" t="str">
        <f t="shared" si="4"/>
        <v/>
      </c>
      <c r="I47" s="470" t="str">
        <f t="shared" si="5"/>
        <v/>
      </c>
      <c r="J47" s="473"/>
      <c r="K47" s="184" t="b">
        <f t="shared" si="6"/>
        <v>0</v>
      </c>
      <c r="L47" s="321">
        <f t="shared" si="0"/>
        <v>0</v>
      </c>
      <c r="M47" s="185"/>
      <c r="N47" s="322">
        <f t="shared" si="8"/>
        <v>0</v>
      </c>
      <c r="O47" s="186" t="str">
        <f t="shared" si="1"/>
        <v/>
      </c>
      <c r="P47" s="661"/>
      <c r="Q47" s="662"/>
      <c r="R47" s="662"/>
      <c r="S47" s="662"/>
      <c r="T47" s="662"/>
      <c r="U47" s="662"/>
      <c r="V47" s="662"/>
      <c r="W47" s="662"/>
      <c r="X47" s="663"/>
      <c r="Y47" s="318"/>
      <c r="Z47" s="426">
        <f>IFERROR(VLOOKUP(D47,#REF!,1,FALSE),0)</f>
        <v>0</v>
      </c>
      <c r="AA47" s="476" t="b">
        <f t="shared" si="2"/>
        <v>0</v>
      </c>
      <c r="AB47" s="128" t="e">
        <f>VLOOKUP($B47,Leveranciersnamen!$D:$E,2,FALSE)</f>
        <v>#N/A</v>
      </c>
      <c r="AC47" s="128" t="str">
        <f>IF($B47&lt;="","Geen waarde",IFERROR(VLOOKUP(CONCATENATE($C$9,$C$10,$B47),Leveranciersnamen!$A:$A,1,FALSE),"fout"))</f>
        <v>Geen waarde</v>
      </c>
      <c r="AD47" s="128" t="str">
        <f t="shared" si="7"/>
        <v/>
      </c>
      <c r="AE47" s="128" t="str">
        <f t="shared" si="11"/>
        <v/>
      </c>
      <c r="AF47" s="128" t="str">
        <f t="shared" si="12"/>
        <v/>
      </c>
      <c r="AG47" s="128" t="str">
        <f>IF(AC47="fout","fout",IF(B47&lt;&gt;"",VLOOKUP(CONCATENATE(C$9,C$10,$B47),Leveranciersnamen!$A:$F,6,FALSE),""))</f>
        <v/>
      </c>
      <c r="AH47" s="128" t="str">
        <f t="shared" si="9"/>
        <v>0,00</v>
      </c>
      <c r="AI47" s="128"/>
      <c r="AJ47" s="128"/>
      <c r="AK47" s="128"/>
      <c r="AL47" s="128"/>
      <c r="AM47" s="394"/>
      <c r="AN47" s="394"/>
      <c r="AO47" s="394"/>
      <c r="AP47" s="394"/>
      <c r="AQ47" s="427">
        <v>0</v>
      </c>
      <c r="AR47" s="427" t="s">
        <v>405</v>
      </c>
      <c r="AS47" s="427">
        <v>0</v>
      </c>
      <c r="AT47" s="129" t="str">
        <f t="shared" si="10"/>
        <v/>
      </c>
      <c r="AU47" s="128">
        <v>33</v>
      </c>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row>
    <row r="48" spans="1:70" ht="25" customHeight="1">
      <c r="A48" s="313">
        <v>34</v>
      </c>
      <c r="B48" s="178"/>
      <c r="C48" s="179"/>
      <c r="D48" s="179"/>
      <c r="E48" s="181"/>
      <c r="F48" s="182"/>
      <c r="G48" s="277"/>
      <c r="H48" s="183" t="str">
        <f t="shared" si="4"/>
        <v/>
      </c>
      <c r="I48" s="470" t="str">
        <f t="shared" si="5"/>
        <v/>
      </c>
      <c r="J48" s="473"/>
      <c r="K48" s="184" t="b">
        <f t="shared" si="6"/>
        <v>0</v>
      </c>
      <c r="L48" s="321">
        <f t="shared" si="0"/>
        <v>0</v>
      </c>
      <c r="M48" s="185"/>
      <c r="N48" s="322">
        <f t="shared" si="8"/>
        <v>0</v>
      </c>
      <c r="O48" s="186" t="str">
        <f t="shared" si="1"/>
        <v/>
      </c>
      <c r="P48" s="661"/>
      <c r="Q48" s="662"/>
      <c r="R48" s="662"/>
      <c r="S48" s="662"/>
      <c r="T48" s="662"/>
      <c r="U48" s="662"/>
      <c r="V48" s="662"/>
      <c r="W48" s="662"/>
      <c r="X48" s="663"/>
      <c r="Y48" s="318"/>
      <c r="Z48" s="426">
        <f>IFERROR(VLOOKUP(D48,#REF!,1,FALSE),0)</f>
        <v>0</v>
      </c>
      <c r="AA48" s="476" t="b">
        <f t="shared" si="2"/>
        <v>0</v>
      </c>
      <c r="AB48" s="128" t="e">
        <f>VLOOKUP($B48,Leveranciersnamen!$D:$E,2,FALSE)</f>
        <v>#N/A</v>
      </c>
      <c r="AC48" s="128" t="str">
        <f>IF($B48&lt;="","Geen waarde",IFERROR(VLOOKUP(CONCATENATE($C$9,$C$10,$B48),Leveranciersnamen!$A:$A,1,FALSE),"fout"))</f>
        <v>Geen waarde</v>
      </c>
      <c r="AD48" s="128" t="str">
        <f t="shared" si="7"/>
        <v/>
      </c>
      <c r="AE48" s="128" t="str">
        <f t="shared" si="11"/>
        <v/>
      </c>
      <c r="AF48" s="128" t="str">
        <f t="shared" si="12"/>
        <v/>
      </c>
      <c r="AG48" s="128" t="str">
        <f>IF(AC48="fout","fout",IF(B48&lt;&gt;"",VLOOKUP(CONCATENATE(C$9,C$10,$B48),Leveranciersnamen!$A:$F,6,FALSE),""))</f>
        <v/>
      </c>
      <c r="AH48" s="128" t="str">
        <f t="shared" si="9"/>
        <v>0,00</v>
      </c>
      <c r="AI48" s="128"/>
      <c r="AJ48" s="128"/>
      <c r="AK48" s="128"/>
      <c r="AL48" s="128"/>
      <c r="AM48" s="394"/>
      <c r="AN48" s="394"/>
      <c r="AO48" s="394"/>
      <c r="AP48" s="394"/>
      <c r="AQ48" s="427">
        <v>0</v>
      </c>
      <c r="AR48" s="427" t="s">
        <v>405</v>
      </c>
      <c r="AS48" s="427">
        <v>0</v>
      </c>
      <c r="AT48" s="129" t="str">
        <f t="shared" si="10"/>
        <v/>
      </c>
      <c r="AU48" s="394">
        <v>34</v>
      </c>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row>
    <row r="49" spans="1:70" ht="25" customHeight="1">
      <c r="A49" s="313">
        <v>35</v>
      </c>
      <c r="B49" s="178"/>
      <c r="C49" s="179"/>
      <c r="D49" s="179"/>
      <c r="E49" s="181"/>
      <c r="F49" s="182"/>
      <c r="G49" s="277"/>
      <c r="H49" s="183" t="str">
        <f t="shared" si="4"/>
        <v/>
      </c>
      <c r="I49" s="470" t="str">
        <f t="shared" si="5"/>
        <v/>
      </c>
      <c r="J49" s="473"/>
      <c r="K49" s="184" t="b">
        <f t="shared" si="6"/>
        <v>0</v>
      </c>
      <c r="L49" s="321">
        <f t="shared" si="0"/>
        <v>0</v>
      </c>
      <c r="M49" s="185"/>
      <c r="N49" s="322">
        <f t="shared" si="8"/>
        <v>0</v>
      </c>
      <c r="O49" s="186" t="str">
        <f t="shared" si="1"/>
        <v/>
      </c>
      <c r="P49" s="661"/>
      <c r="Q49" s="662"/>
      <c r="R49" s="662"/>
      <c r="S49" s="662"/>
      <c r="T49" s="662"/>
      <c r="U49" s="662"/>
      <c r="V49" s="662"/>
      <c r="W49" s="662"/>
      <c r="X49" s="663"/>
      <c r="Y49" s="318"/>
      <c r="Z49" s="426">
        <f>IFERROR(VLOOKUP(D49,#REF!,1,FALSE),0)</f>
        <v>0</v>
      </c>
      <c r="AA49" s="476" t="b">
        <f t="shared" si="2"/>
        <v>0</v>
      </c>
      <c r="AB49" s="128" t="e">
        <f>VLOOKUP($B49,Leveranciersnamen!$D:$E,2,FALSE)</f>
        <v>#N/A</v>
      </c>
      <c r="AC49" s="128" t="str">
        <f>IF($B49&lt;="","Geen waarde",IFERROR(VLOOKUP(CONCATENATE($C$9,$C$10,$B49),Leveranciersnamen!$A:$A,1,FALSE),"fout"))</f>
        <v>Geen waarde</v>
      </c>
      <c r="AD49" s="128" t="str">
        <f t="shared" si="7"/>
        <v/>
      </c>
      <c r="AE49" s="128" t="str">
        <f t="shared" si="11"/>
        <v/>
      </c>
      <c r="AF49" s="128" t="str">
        <f t="shared" si="12"/>
        <v/>
      </c>
      <c r="AG49" s="128" t="str">
        <f>IF(AC49="fout","fout",IF(B49&lt;&gt;"",VLOOKUP(CONCATENATE(C$9,C$10,$B49),Leveranciersnamen!$A:$F,6,FALSE),""))</f>
        <v/>
      </c>
      <c r="AH49" s="128" t="str">
        <f t="shared" si="9"/>
        <v>0,00</v>
      </c>
      <c r="AI49" s="128"/>
      <c r="AJ49" s="128"/>
      <c r="AK49" s="128"/>
      <c r="AL49" s="128"/>
      <c r="AM49" s="394"/>
      <c r="AN49" s="394"/>
      <c r="AO49" s="394"/>
      <c r="AP49" s="394"/>
      <c r="AQ49" s="427">
        <v>0</v>
      </c>
      <c r="AR49" s="427" t="s">
        <v>405</v>
      </c>
      <c r="AS49" s="427">
        <v>0</v>
      </c>
      <c r="AT49" s="129" t="str">
        <f t="shared" si="10"/>
        <v/>
      </c>
      <c r="AU49" s="128">
        <v>35</v>
      </c>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row>
    <row r="50" spans="1:70" ht="25" customHeight="1">
      <c r="A50" s="313">
        <v>36</v>
      </c>
      <c r="B50" s="459"/>
      <c r="C50" s="460"/>
      <c r="D50" s="460"/>
      <c r="E50" s="461"/>
      <c r="F50" s="462"/>
      <c r="G50" s="463"/>
      <c r="H50" s="183" t="str">
        <f t="shared" si="4"/>
        <v/>
      </c>
      <c r="I50" s="470" t="str">
        <f t="shared" si="5"/>
        <v/>
      </c>
      <c r="J50" s="474"/>
      <c r="K50" s="184" t="b">
        <f t="shared" si="6"/>
        <v>0</v>
      </c>
      <c r="L50" s="321">
        <f t="shared" si="0"/>
        <v>0</v>
      </c>
      <c r="M50" s="464"/>
      <c r="N50" s="322">
        <f t="shared" si="8"/>
        <v>0</v>
      </c>
      <c r="O50" s="186" t="str">
        <f t="shared" ref="O50:O102" si="13">IF($S$1="Gunnen",IF(N50&gt;0,RANK(N50,$N$15:$N$102,0),IF(I50="Nee","Exit","")),"")</f>
        <v/>
      </c>
      <c r="P50" s="661"/>
      <c r="Q50" s="662"/>
      <c r="R50" s="662"/>
      <c r="S50" s="662"/>
      <c r="T50" s="662"/>
      <c r="U50" s="662"/>
      <c r="V50" s="662"/>
      <c r="W50" s="662"/>
      <c r="X50" s="663"/>
      <c r="Y50" s="318"/>
      <c r="Z50" s="426">
        <f>IFERROR(VLOOKUP(D50,#REF!,1,FALSE),0)</f>
        <v>0</v>
      </c>
      <c r="AA50" s="476" t="b">
        <f t="shared" ref="AA50:AA101" si="14">IF(J50&gt;0,IF(J50&lt;999,$K$14/J50,))</f>
        <v>0</v>
      </c>
      <c r="AB50" s="128" t="e">
        <f>VLOOKUP($B50,Leveranciersnamen!$D:$E,2,FALSE)</f>
        <v>#N/A</v>
      </c>
      <c r="AC50" s="128" t="str">
        <f>IF($B50&lt;="","Geen waarde",IFERROR(VLOOKUP(CONCATENATE($C$9,$C$10,$B50),Leveranciersnamen!$A:$A,1,FALSE),"fout"))</f>
        <v>Geen waarde</v>
      </c>
      <c r="AD50" s="128" t="str">
        <f t="shared" si="7"/>
        <v/>
      </c>
      <c r="AE50" s="128" t="str">
        <f t="shared" si="11"/>
        <v/>
      </c>
      <c r="AF50" s="128" t="str">
        <f t="shared" si="12"/>
        <v/>
      </c>
      <c r="AG50" s="128" t="str">
        <f>IF(AC50="fout","fout",IF(B50&lt;&gt;"",VLOOKUP(CONCATENATE(C$9,C$10,$B50),Leveranciersnamen!$A:$F,6,FALSE),""))</f>
        <v/>
      </c>
      <c r="AH50" s="128" t="str">
        <f t="shared" si="9"/>
        <v>0,00</v>
      </c>
      <c r="AI50" s="128"/>
      <c r="AJ50" s="128"/>
      <c r="AK50" s="128"/>
      <c r="AL50" s="128"/>
      <c r="AM50" s="394"/>
      <c r="AN50" s="394"/>
      <c r="AO50" s="394"/>
      <c r="AP50" s="394"/>
      <c r="AQ50" s="427">
        <v>0</v>
      </c>
      <c r="AR50" s="427" t="s">
        <v>405</v>
      </c>
      <c r="AS50" s="427">
        <v>0</v>
      </c>
      <c r="AT50" s="129" t="str">
        <f t="shared" si="10"/>
        <v/>
      </c>
      <c r="AU50" s="394">
        <v>36</v>
      </c>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row>
    <row r="51" spans="1:70" ht="25" customHeight="1">
      <c r="A51" s="313">
        <v>37</v>
      </c>
      <c r="B51" s="459"/>
      <c r="C51" s="460"/>
      <c r="D51" s="460"/>
      <c r="E51" s="461"/>
      <c r="F51" s="462"/>
      <c r="G51" s="463"/>
      <c r="H51" s="183" t="str">
        <f t="shared" si="4"/>
        <v/>
      </c>
      <c r="I51" s="470" t="str">
        <f t="shared" si="5"/>
        <v/>
      </c>
      <c r="J51" s="474"/>
      <c r="K51" s="184" t="b">
        <f t="shared" si="6"/>
        <v>0</v>
      </c>
      <c r="L51" s="321">
        <f t="shared" si="0"/>
        <v>0</v>
      </c>
      <c r="M51" s="464"/>
      <c r="N51" s="322">
        <f t="shared" si="8"/>
        <v>0</v>
      </c>
      <c r="O51" s="186" t="str">
        <f t="shared" si="13"/>
        <v/>
      </c>
      <c r="P51" s="661"/>
      <c r="Q51" s="662"/>
      <c r="R51" s="662"/>
      <c r="S51" s="662"/>
      <c r="T51" s="662"/>
      <c r="U51" s="662"/>
      <c r="V51" s="662"/>
      <c r="W51" s="662"/>
      <c r="X51" s="663"/>
      <c r="Y51" s="318"/>
      <c r="Z51" s="426">
        <f>IFERROR(VLOOKUP(D51,#REF!,1,FALSE),0)</f>
        <v>0</v>
      </c>
      <c r="AA51" s="476" t="b">
        <f t="shared" si="14"/>
        <v>0</v>
      </c>
      <c r="AB51" s="128" t="e">
        <f>VLOOKUP($B51,Leveranciersnamen!$D:$E,2,FALSE)</f>
        <v>#N/A</v>
      </c>
      <c r="AC51" s="128" t="str">
        <f>IF($B51&lt;="","Geen waarde",IFERROR(VLOOKUP(CONCATENATE($C$9,$C$10,$B51),Leveranciersnamen!$A:$A,1,FALSE),"fout"))</f>
        <v>Geen waarde</v>
      </c>
      <c r="AD51" s="128" t="str">
        <f t="shared" si="7"/>
        <v/>
      </c>
      <c r="AE51" s="128" t="str">
        <f t="shared" si="11"/>
        <v/>
      </c>
      <c r="AF51" s="128" t="str">
        <f t="shared" si="12"/>
        <v/>
      </c>
      <c r="AG51" s="128" t="str">
        <f>IF(AC51="fout","fout",IF(B51&lt;&gt;"",VLOOKUP(CONCATENATE(C$9,C$10,$B51),Leveranciersnamen!$A:$F,6,FALSE),""))</f>
        <v/>
      </c>
      <c r="AH51" s="128" t="str">
        <f t="shared" si="9"/>
        <v>0,00</v>
      </c>
      <c r="AI51" s="128"/>
      <c r="AJ51" s="128"/>
      <c r="AK51" s="128"/>
      <c r="AL51" s="128"/>
      <c r="AM51" s="394"/>
      <c r="AN51" s="394"/>
      <c r="AO51" s="394"/>
      <c r="AP51" s="394"/>
      <c r="AQ51" s="427">
        <v>0</v>
      </c>
      <c r="AR51" s="427" t="s">
        <v>405</v>
      </c>
      <c r="AS51" s="427">
        <v>0</v>
      </c>
      <c r="AT51" s="129" t="str">
        <f t="shared" si="10"/>
        <v/>
      </c>
      <c r="AU51" s="128">
        <v>37</v>
      </c>
      <c r="AV51" s="394"/>
      <c r="AW51" s="394"/>
      <c r="AX51" s="394"/>
      <c r="AY51" s="394"/>
      <c r="AZ51" s="394"/>
      <c r="BA51" s="394"/>
      <c r="BB51" s="394"/>
      <c r="BC51" s="394"/>
      <c r="BD51" s="394"/>
      <c r="BE51" s="394"/>
      <c r="BF51" s="394"/>
      <c r="BG51" s="394"/>
      <c r="BH51" s="394"/>
      <c r="BI51" s="394"/>
      <c r="BJ51" s="394"/>
      <c r="BK51" s="394"/>
      <c r="BL51" s="394"/>
      <c r="BM51" s="394"/>
      <c r="BN51" s="394"/>
      <c r="BO51" s="394"/>
      <c r="BP51" s="394"/>
      <c r="BQ51" s="394"/>
      <c r="BR51" s="394"/>
    </row>
    <row r="52" spans="1:70" ht="25" customHeight="1">
      <c r="A52" s="313">
        <v>38</v>
      </c>
      <c r="B52" s="459"/>
      <c r="C52" s="460"/>
      <c r="D52" s="460"/>
      <c r="E52" s="461"/>
      <c r="F52" s="462"/>
      <c r="G52" s="463"/>
      <c r="H52" s="183" t="str">
        <f t="shared" si="4"/>
        <v/>
      </c>
      <c r="I52" s="470" t="str">
        <f t="shared" si="5"/>
        <v/>
      </c>
      <c r="J52" s="474"/>
      <c r="K52" s="184" t="b">
        <f t="shared" si="6"/>
        <v>0</v>
      </c>
      <c r="L52" s="321">
        <f t="shared" si="0"/>
        <v>0</v>
      </c>
      <c r="M52" s="464"/>
      <c r="N52" s="322">
        <f t="shared" si="8"/>
        <v>0</v>
      </c>
      <c r="O52" s="186" t="str">
        <f t="shared" si="13"/>
        <v/>
      </c>
      <c r="P52" s="661"/>
      <c r="Q52" s="662"/>
      <c r="R52" s="662"/>
      <c r="S52" s="662"/>
      <c r="T52" s="662"/>
      <c r="U52" s="662"/>
      <c r="V52" s="662"/>
      <c r="W52" s="662"/>
      <c r="X52" s="663"/>
      <c r="Y52" s="318"/>
      <c r="Z52" s="426">
        <f>IFERROR(VLOOKUP(D52,#REF!,1,FALSE),0)</f>
        <v>0</v>
      </c>
      <c r="AA52" s="476" t="b">
        <f t="shared" si="14"/>
        <v>0</v>
      </c>
      <c r="AB52" s="128" t="e">
        <f>VLOOKUP($B52,Leveranciersnamen!$D:$E,2,FALSE)</f>
        <v>#N/A</v>
      </c>
      <c r="AC52" s="128" t="str">
        <f>IF($B52&lt;="","Geen waarde",IFERROR(VLOOKUP(CONCATENATE($C$9,$C$10,$B52),Leveranciersnamen!$A:$A,1,FALSE),"fout"))</f>
        <v>Geen waarde</v>
      </c>
      <c r="AD52" s="128" t="str">
        <f t="shared" si="7"/>
        <v/>
      </c>
      <c r="AE52" s="128" t="str">
        <f t="shared" si="11"/>
        <v/>
      </c>
      <c r="AF52" s="128" t="str">
        <f t="shared" si="12"/>
        <v/>
      </c>
      <c r="AG52" s="128" t="str">
        <f>IF(AC52="fout","fout",IF(B52&lt;&gt;"",VLOOKUP(CONCATENATE(C$9,C$10,$B52),Leveranciersnamen!$A:$F,6,FALSE),""))</f>
        <v/>
      </c>
      <c r="AH52" s="128" t="str">
        <f t="shared" si="9"/>
        <v>0,00</v>
      </c>
      <c r="AI52" s="128"/>
      <c r="AJ52" s="128"/>
      <c r="AK52" s="128"/>
      <c r="AL52" s="128"/>
      <c r="AM52" s="394"/>
      <c r="AN52" s="394"/>
      <c r="AO52" s="394"/>
      <c r="AP52" s="394"/>
      <c r="AQ52" s="427">
        <v>0</v>
      </c>
      <c r="AR52" s="427" t="s">
        <v>405</v>
      </c>
      <c r="AS52" s="427">
        <v>0</v>
      </c>
      <c r="AT52" s="129" t="str">
        <f t="shared" si="10"/>
        <v/>
      </c>
      <c r="AU52" s="394">
        <v>38</v>
      </c>
      <c r="AV52" s="394"/>
      <c r="AW52" s="394"/>
      <c r="AX52" s="394"/>
      <c r="AY52" s="394"/>
      <c r="AZ52" s="394"/>
      <c r="BA52" s="394"/>
      <c r="BB52" s="394"/>
      <c r="BC52" s="394"/>
      <c r="BD52" s="394"/>
      <c r="BE52" s="394"/>
      <c r="BF52" s="394"/>
      <c r="BG52" s="394"/>
      <c r="BH52" s="394"/>
      <c r="BI52" s="394"/>
      <c r="BJ52" s="394"/>
      <c r="BK52" s="394"/>
      <c r="BL52" s="394"/>
      <c r="BM52" s="394"/>
      <c r="BN52" s="394"/>
      <c r="BO52" s="394"/>
      <c r="BP52" s="394"/>
      <c r="BQ52" s="394"/>
      <c r="BR52" s="394"/>
    </row>
    <row r="53" spans="1:70" ht="25" hidden="1" customHeight="1">
      <c r="A53" s="313">
        <v>39</v>
      </c>
      <c r="B53" s="459"/>
      <c r="C53" s="460"/>
      <c r="D53" s="460"/>
      <c r="E53" s="461"/>
      <c r="F53" s="462"/>
      <c r="G53" s="463"/>
      <c r="H53" s="183" t="str">
        <f t="shared" si="4"/>
        <v/>
      </c>
      <c r="I53" s="470" t="str">
        <f t="shared" si="5"/>
        <v/>
      </c>
      <c r="J53" s="474"/>
      <c r="K53" s="184" t="b">
        <f t="shared" si="6"/>
        <v>0</v>
      </c>
      <c r="L53" s="321">
        <f t="shared" si="0"/>
        <v>0</v>
      </c>
      <c r="M53" s="464"/>
      <c r="N53" s="322">
        <f t="shared" si="8"/>
        <v>0</v>
      </c>
      <c r="O53" s="186" t="str">
        <f t="shared" si="13"/>
        <v/>
      </c>
      <c r="P53" s="661"/>
      <c r="Q53" s="662"/>
      <c r="R53" s="662"/>
      <c r="S53" s="662"/>
      <c r="T53" s="662"/>
      <c r="U53" s="662"/>
      <c r="V53" s="662"/>
      <c r="W53" s="662"/>
      <c r="X53" s="663"/>
      <c r="Y53" s="318"/>
      <c r="Z53" s="426">
        <f>IFERROR(VLOOKUP(D53,#REF!,1,FALSE),0)</f>
        <v>0</v>
      </c>
      <c r="AA53" s="476" t="b">
        <f t="shared" si="14"/>
        <v>0</v>
      </c>
      <c r="AB53" s="128" t="e">
        <f>VLOOKUP($B53,Leveranciersnamen!$D:$E,2,FALSE)</f>
        <v>#N/A</v>
      </c>
      <c r="AC53" s="128" t="str">
        <f>IF($B53&lt;="","Geen waarde",IFERROR(VLOOKUP(CONCATENATE($C$9,$C$10,$B53),Leveranciersnamen!$A:$A,1,FALSE),"fout"))</f>
        <v>Geen waarde</v>
      </c>
      <c r="AD53" s="128" t="str">
        <f t="shared" si="7"/>
        <v/>
      </c>
      <c r="AE53" s="128" t="str">
        <f t="shared" si="11"/>
        <v/>
      </c>
      <c r="AF53" s="128" t="str">
        <f t="shared" si="12"/>
        <v/>
      </c>
      <c r="AG53" s="128" t="str">
        <f>IF(AC53="fout","fout",IF(B53&lt;&gt;"",VLOOKUP(CONCATENATE(C$9,C$10,$B53),Leveranciersnamen!$A:$F,6,FALSE),""))</f>
        <v/>
      </c>
      <c r="AH53" s="128" t="str">
        <f t="shared" si="9"/>
        <v>0,00</v>
      </c>
      <c r="AI53" s="128"/>
      <c r="AJ53" s="128"/>
      <c r="AK53" s="128"/>
      <c r="AL53" s="128"/>
      <c r="AM53" s="394"/>
      <c r="AN53" s="394"/>
      <c r="AO53" s="394"/>
      <c r="AP53" s="394"/>
      <c r="AQ53" s="427">
        <f t="shared" ref="AQ53:AQ78" si="15">B53</f>
        <v>0</v>
      </c>
      <c r="AR53" s="427" t="str">
        <f t="shared" ref="AR53:AR78" si="16">AH53</f>
        <v>0,00</v>
      </c>
      <c r="AS53" s="427">
        <f t="shared" ref="AS53:AS78" si="17">N53</f>
        <v>0</v>
      </c>
      <c r="AT53" s="129" t="str">
        <f t="shared" si="10"/>
        <v/>
      </c>
      <c r="AU53" s="128">
        <v>39</v>
      </c>
      <c r="AV53" s="394"/>
      <c r="AW53" s="394"/>
      <c r="AX53" s="394"/>
      <c r="AY53" s="394"/>
      <c r="AZ53" s="394"/>
      <c r="BA53" s="394"/>
      <c r="BB53" s="394"/>
      <c r="BC53" s="394"/>
      <c r="BD53" s="394"/>
      <c r="BE53" s="394"/>
      <c r="BF53" s="394"/>
      <c r="BG53" s="394"/>
      <c r="BH53" s="394"/>
      <c r="BI53" s="394"/>
      <c r="BJ53" s="394"/>
      <c r="BK53" s="394"/>
      <c r="BL53" s="394"/>
      <c r="BM53" s="394"/>
      <c r="BN53" s="394"/>
      <c r="BO53" s="394"/>
      <c r="BP53" s="394"/>
      <c r="BQ53" s="394"/>
      <c r="BR53" s="394"/>
    </row>
    <row r="54" spans="1:70" ht="25" hidden="1" customHeight="1">
      <c r="A54" s="313">
        <v>40</v>
      </c>
      <c r="B54" s="459"/>
      <c r="C54" s="460"/>
      <c r="D54" s="460"/>
      <c r="E54" s="461"/>
      <c r="F54" s="462"/>
      <c r="G54" s="463"/>
      <c r="H54" s="183" t="str">
        <f t="shared" si="4"/>
        <v/>
      </c>
      <c r="I54" s="470" t="str">
        <f t="shared" si="5"/>
        <v/>
      </c>
      <c r="J54" s="474"/>
      <c r="K54" s="184" t="b">
        <f t="shared" si="6"/>
        <v>0</v>
      </c>
      <c r="L54" s="321">
        <f t="shared" si="0"/>
        <v>0</v>
      </c>
      <c r="M54" s="464"/>
      <c r="N54" s="322">
        <f t="shared" si="8"/>
        <v>0</v>
      </c>
      <c r="O54" s="186" t="str">
        <f t="shared" si="13"/>
        <v/>
      </c>
      <c r="P54" s="661"/>
      <c r="Q54" s="662"/>
      <c r="R54" s="662"/>
      <c r="S54" s="662"/>
      <c r="T54" s="662"/>
      <c r="U54" s="662"/>
      <c r="V54" s="662"/>
      <c r="W54" s="662"/>
      <c r="X54" s="663"/>
      <c r="Y54" s="318"/>
      <c r="Z54" s="426">
        <f>IFERROR(VLOOKUP(D54,#REF!,1,FALSE),0)</f>
        <v>0</v>
      </c>
      <c r="AA54" s="476" t="b">
        <f t="shared" si="14"/>
        <v>0</v>
      </c>
      <c r="AB54" s="128" t="e">
        <f>VLOOKUP($B54,Leveranciersnamen!$D:$E,2,FALSE)</f>
        <v>#N/A</v>
      </c>
      <c r="AC54" s="128" t="str">
        <f>IF($B54&lt;="","Geen waarde",IFERROR(VLOOKUP(CONCATENATE($C$9,$C$10,$B54),Leveranciersnamen!$A:$A,1,FALSE),"fout"))</f>
        <v>Geen waarde</v>
      </c>
      <c r="AD54" s="128" t="str">
        <f t="shared" si="7"/>
        <v/>
      </c>
      <c r="AE54" s="128" t="str">
        <f t="shared" si="11"/>
        <v/>
      </c>
      <c r="AF54" s="128" t="str">
        <f t="shared" si="12"/>
        <v/>
      </c>
      <c r="AG54" s="128" t="str">
        <f>IF(AC54="fout","fout",IF(B54&lt;&gt;"",VLOOKUP(CONCATENATE(C$9,C$10,$B54),Leveranciersnamen!$A:$F,6,FALSE),""))</f>
        <v/>
      </c>
      <c r="AH54" s="128" t="str">
        <f t="shared" si="9"/>
        <v>0,00</v>
      </c>
      <c r="AI54" s="128"/>
      <c r="AJ54" s="128"/>
      <c r="AK54" s="128"/>
      <c r="AL54" s="128"/>
      <c r="AM54" s="394"/>
      <c r="AN54" s="394"/>
      <c r="AO54" s="394"/>
      <c r="AP54" s="394"/>
      <c r="AQ54" s="427">
        <f t="shared" si="15"/>
        <v>0</v>
      </c>
      <c r="AR54" s="427" t="str">
        <f t="shared" si="16"/>
        <v>0,00</v>
      </c>
      <c r="AS54" s="427">
        <f t="shared" si="17"/>
        <v>0</v>
      </c>
      <c r="AT54" s="129" t="str">
        <f t="shared" si="10"/>
        <v/>
      </c>
      <c r="AU54" s="394">
        <v>40</v>
      </c>
      <c r="AV54" s="394"/>
      <c r="AW54" s="394"/>
      <c r="AX54" s="394"/>
      <c r="AY54" s="394"/>
      <c r="AZ54" s="394"/>
      <c r="BA54" s="394"/>
      <c r="BB54" s="394"/>
      <c r="BC54" s="394"/>
      <c r="BD54" s="394"/>
      <c r="BE54" s="394"/>
      <c r="BF54" s="394"/>
      <c r="BG54" s="394"/>
      <c r="BH54" s="394"/>
      <c r="BI54" s="394"/>
      <c r="BJ54" s="394"/>
      <c r="BK54" s="394"/>
      <c r="BL54" s="394"/>
      <c r="BM54" s="394"/>
      <c r="BN54" s="394"/>
      <c r="BO54" s="394"/>
      <c r="BP54" s="394"/>
      <c r="BQ54" s="394"/>
      <c r="BR54" s="394"/>
    </row>
    <row r="55" spans="1:70" ht="25" hidden="1" customHeight="1">
      <c r="A55" s="313">
        <v>41</v>
      </c>
      <c r="B55" s="459"/>
      <c r="C55" s="460"/>
      <c r="D55" s="460"/>
      <c r="E55" s="461"/>
      <c r="F55" s="462"/>
      <c r="G55" s="463"/>
      <c r="H55" s="183" t="str">
        <f t="shared" si="4"/>
        <v/>
      </c>
      <c r="I55" s="470" t="str">
        <f t="shared" si="5"/>
        <v/>
      </c>
      <c r="J55" s="474"/>
      <c r="K55" s="184" t="b">
        <f t="shared" si="6"/>
        <v>0</v>
      </c>
      <c r="L55" s="321">
        <f t="shared" si="0"/>
        <v>0</v>
      </c>
      <c r="M55" s="464"/>
      <c r="N55" s="322">
        <f t="shared" si="8"/>
        <v>0</v>
      </c>
      <c r="O55" s="186" t="str">
        <f t="shared" si="13"/>
        <v/>
      </c>
      <c r="P55" s="661"/>
      <c r="Q55" s="662"/>
      <c r="R55" s="662"/>
      <c r="S55" s="662"/>
      <c r="T55" s="662"/>
      <c r="U55" s="662"/>
      <c r="V55" s="662"/>
      <c r="W55" s="662"/>
      <c r="X55" s="663"/>
      <c r="Y55" s="318"/>
      <c r="Z55" s="426">
        <f>IFERROR(VLOOKUP(D55,#REF!,1,FALSE),0)</f>
        <v>0</v>
      </c>
      <c r="AA55" s="476" t="b">
        <f t="shared" si="14"/>
        <v>0</v>
      </c>
      <c r="AB55" s="128" t="e">
        <f>VLOOKUP($B55,Leveranciersnamen!$D:$E,2,FALSE)</f>
        <v>#N/A</v>
      </c>
      <c r="AC55" s="128" t="str">
        <f>IF($B55&lt;="","Geen waarde",IFERROR(VLOOKUP(CONCATENATE($C$9,$C$10,$B55),Leveranciersnamen!$A:$A,1,FALSE),"fout"))</f>
        <v>Geen waarde</v>
      </c>
      <c r="AD55" s="128" t="str">
        <f t="shared" si="7"/>
        <v/>
      </c>
      <c r="AE55" s="128" t="str">
        <f t="shared" si="11"/>
        <v/>
      </c>
      <c r="AF55" s="128" t="str">
        <f t="shared" si="12"/>
        <v/>
      </c>
      <c r="AG55" s="128" t="str">
        <f>IF(AC55="fout","fout",IF(B55&lt;&gt;"",VLOOKUP(CONCATENATE(C$9,C$10,$B55),Leveranciersnamen!$A:$F,6,FALSE),""))</f>
        <v/>
      </c>
      <c r="AH55" s="128" t="str">
        <f t="shared" si="9"/>
        <v>0,00</v>
      </c>
      <c r="AI55" s="128"/>
      <c r="AJ55" s="128"/>
      <c r="AK55" s="128"/>
      <c r="AL55" s="128"/>
      <c r="AM55" s="394"/>
      <c r="AN55" s="394"/>
      <c r="AO55" s="394"/>
      <c r="AP55" s="394"/>
      <c r="AQ55" s="427">
        <f t="shared" si="15"/>
        <v>0</v>
      </c>
      <c r="AR55" s="427" t="str">
        <f t="shared" si="16"/>
        <v>0,00</v>
      </c>
      <c r="AS55" s="427">
        <f t="shared" si="17"/>
        <v>0</v>
      </c>
      <c r="AT55" s="129" t="str">
        <f t="shared" si="10"/>
        <v/>
      </c>
      <c r="AU55" s="128">
        <v>41</v>
      </c>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row>
    <row r="56" spans="1:70" ht="25" hidden="1" customHeight="1">
      <c r="A56" s="313">
        <v>42</v>
      </c>
      <c r="B56" s="459"/>
      <c r="C56" s="460"/>
      <c r="D56" s="460"/>
      <c r="E56" s="461"/>
      <c r="F56" s="462"/>
      <c r="G56" s="463"/>
      <c r="H56" s="183" t="str">
        <f t="shared" si="4"/>
        <v/>
      </c>
      <c r="I56" s="470" t="str">
        <f t="shared" si="5"/>
        <v/>
      </c>
      <c r="J56" s="474"/>
      <c r="K56" s="184" t="b">
        <f t="shared" si="6"/>
        <v>0</v>
      </c>
      <c r="L56" s="321">
        <f t="shared" si="0"/>
        <v>0</v>
      </c>
      <c r="M56" s="464"/>
      <c r="N56" s="322">
        <f t="shared" si="8"/>
        <v>0</v>
      </c>
      <c r="O56" s="186" t="str">
        <f t="shared" si="13"/>
        <v/>
      </c>
      <c r="P56" s="661"/>
      <c r="Q56" s="662"/>
      <c r="R56" s="662"/>
      <c r="S56" s="662"/>
      <c r="T56" s="662"/>
      <c r="U56" s="662"/>
      <c r="V56" s="662"/>
      <c r="W56" s="662"/>
      <c r="X56" s="663"/>
      <c r="Y56" s="318"/>
      <c r="Z56" s="426">
        <f>IFERROR(VLOOKUP(D56,#REF!,1,FALSE),0)</f>
        <v>0</v>
      </c>
      <c r="AA56" s="476" t="b">
        <f t="shared" si="14"/>
        <v>0</v>
      </c>
      <c r="AB56" s="128" t="e">
        <f>VLOOKUP($B56,Leveranciersnamen!$D:$E,2,FALSE)</f>
        <v>#N/A</v>
      </c>
      <c r="AC56" s="128" t="str">
        <f>IF($B56&lt;="","Geen waarde",IFERROR(VLOOKUP(CONCATENATE($C$9,$C$10,$B56),Leveranciersnamen!$A:$A,1,FALSE),"fout"))</f>
        <v>Geen waarde</v>
      </c>
      <c r="AD56" s="128" t="str">
        <f t="shared" si="7"/>
        <v/>
      </c>
      <c r="AE56" s="128" t="str">
        <f t="shared" si="11"/>
        <v/>
      </c>
      <c r="AF56" s="128" t="str">
        <f t="shared" si="12"/>
        <v/>
      </c>
      <c r="AG56" s="128" t="str">
        <f>IF(AC56="fout","fout",IF(B56&lt;&gt;"",VLOOKUP(CONCATENATE(C$9,C$10,$B56),Leveranciersnamen!$A:$F,6,FALSE),""))</f>
        <v/>
      </c>
      <c r="AH56" s="128" t="str">
        <f t="shared" si="9"/>
        <v>0,00</v>
      </c>
      <c r="AI56" s="128"/>
      <c r="AJ56" s="128"/>
      <c r="AK56" s="128"/>
      <c r="AL56" s="128"/>
      <c r="AM56" s="394"/>
      <c r="AN56" s="394"/>
      <c r="AO56" s="394"/>
      <c r="AP56" s="394"/>
      <c r="AQ56" s="427">
        <f t="shared" si="15"/>
        <v>0</v>
      </c>
      <c r="AR56" s="427" t="str">
        <f t="shared" si="16"/>
        <v>0,00</v>
      </c>
      <c r="AS56" s="427">
        <f t="shared" si="17"/>
        <v>0</v>
      </c>
      <c r="AT56" s="129" t="str">
        <f t="shared" si="10"/>
        <v/>
      </c>
      <c r="AU56" s="394">
        <v>42</v>
      </c>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row>
    <row r="57" spans="1:70" ht="25" hidden="1" customHeight="1">
      <c r="A57" s="313">
        <v>43</v>
      </c>
      <c r="B57" s="459"/>
      <c r="C57" s="460"/>
      <c r="D57" s="460"/>
      <c r="E57" s="461"/>
      <c r="F57" s="462"/>
      <c r="G57" s="463"/>
      <c r="H57" s="183" t="str">
        <f t="shared" si="4"/>
        <v/>
      </c>
      <c r="I57" s="470" t="str">
        <f t="shared" si="5"/>
        <v/>
      </c>
      <c r="J57" s="474"/>
      <c r="K57" s="184" t="b">
        <f t="shared" si="6"/>
        <v>0</v>
      </c>
      <c r="L57" s="321">
        <f t="shared" si="0"/>
        <v>0</v>
      </c>
      <c r="M57" s="464"/>
      <c r="N57" s="322">
        <f t="shared" si="8"/>
        <v>0</v>
      </c>
      <c r="O57" s="186" t="str">
        <f t="shared" si="13"/>
        <v/>
      </c>
      <c r="P57" s="661"/>
      <c r="Q57" s="662"/>
      <c r="R57" s="662"/>
      <c r="S57" s="662"/>
      <c r="T57" s="662"/>
      <c r="U57" s="662"/>
      <c r="V57" s="662"/>
      <c r="W57" s="662"/>
      <c r="X57" s="663"/>
      <c r="Y57" s="318"/>
      <c r="Z57" s="426">
        <f>IFERROR(VLOOKUP(D57,#REF!,1,FALSE),0)</f>
        <v>0</v>
      </c>
      <c r="AA57" s="476" t="b">
        <f t="shared" si="14"/>
        <v>0</v>
      </c>
      <c r="AB57" s="128" t="e">
        <f>VLOOKUP($B57,Leveranciersnamen!$D:$E,2,FALSE)</f>
        <v>#N/A</v>
      </c>
      <c r="AC57" s="128" t="str">
        <f>IF($B57&lt;="","Geen waarde",IFERROR(VLOOKUP(CONCATENATE($C$9,$C$10,$B57),Leveranciersnamen!$A:$A,1,FALSE),"fout"))</f>
        <v>Geen waarde</v>
      </c>
      <c r="AD57" s="128" t="str">
        <f t="shared" si="7"/>
        <v/>
      </c>
      <c r="AE57" s="128" t="str">
        <f t="shared" si="11"/>
        <v/>
      </c>
      <c r="AF57" s="128" t="str">
        <f t="shared" si="12"/>
        <v/>
      </c>
      <c r="AG57" s="128" t="str">
        <f>IF(AC57="fout","fout",IF(B57&lt;&gt;"",VLOOKUP(CONCATENATE(C$9,C$10,$B57),Leveranciersnamen!$A:$F,6,FALSE),""))</f>
        <v/>
      </c>
      <c r="AH57" s="128" t="str">
        <f t="shared" si="9"/>
        <v>0,00</v>
      </c>
      <c r="AI57" s="128"/>
      <c r="AJ57" s="128"/>
      <c r="AK57" s="128"/>
      <c r="AL57" s="128"/>
      <c r="AM57" s="394"/>
      <c r="AN57" s="394"/>
      <c r="AO57" s="394"/>
      <c r="AP57" s="394"/>
      <c r="AQ57" s="427">
        <f t="shared" si="15"/>
        <v>0</v>
      </c>
      <c r="AR57" s="427" t="str">
        <f t="shared" si="16"/>
        <v>0,00</v>
      </c>
      <c r="AS57" s="427">
        <f t="shared" si="17"/>
        <v>0</v>
      </c>
      <c r="AT57" s="129" t="str">
        <f t="shared" si="10"/>
        <v/>
      </c>
      <c r="AU57" s="128">
        <v>43</v>
      </c>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row>
    <row r="58" spans="1:70" ht="25" hidden="1" customHeight="1">
      <c r="A58" s="313">
        <v>44</v>
      </c>
      <c r="B58" s="459"/>
      <c r="C58" s="460"/>
      <c r="D58" s="460"/>
      <c r="E58" s="461"/>
      <c r="F58" s="462"/>
      <c r="G58" s="463"/>
      <c r="H58" s="183" t="str">
        <f t="shared" si="4"/>
        <v/>
      </c>
      <c r="I58" s="470" t="str">
        <f t="shared" si="5"/>
        <v/>
      </c>
      <c r="J58" s="474"/>
      <c r="K58" s="184" t="b">
        <f t="shared" si="6"/>
        <v>0</v>
      </c>
      <c r="L58" s="321">
        <f t="shared" si="0"/>
        <v>0</v>
      </c>
      <c r="M58" s="464"/>
      <c r="N58" s="322">
        <f t="shared" si="8"/>
        <v>0</v>
      </c>
      <c r="O58" s="186" t="str">
        <f t="shared" si="13"/>
        <v/>
      </c>
      <c r="P58" s="661"/>
      <c r="Q58" s="662"/>
      <c r="R58" s="662"/>
      <c r="S58" s="662"/>
      <c r="T58" s="662"/>
      <c r="U58" s="662"/>
      <c r="V58" s="662"/>
      <c r="W58" s="662"/>
      <c r="X58" s="663"/>
      <c r="Y58" s="318"/>
      <c r="Z58" s="426">
        <f>IFERROR(VLOOKUP(D58,#REF!,1,FALSE),0)</f>
        <v>0</v>
      </c>
      <c r="AA58" s="476" t="b">
        <f t="shared" si="14"/>
        <v>0</v>
      </c>
      <c r="AB58" s="128" t="e">
        <f>VLOOKUP($B58,Leveranciersnamen!$D:$E,2,FALSE)</f>
        <v>#N/A</v>
      </c>
      <c r="AC58" s="128" t="str">
        <f>IF($B58&lt;="","Geen waarde",IFERROR(VLOOKUP(CONCATENATE($C$9,$C$10,$B58),Leveranciersnamen!$A:$A,1,FALSE),"fout"))</f>
        <v>Geen waarde</v>
      </c>
      <c r="AD58" s="128" t="str">
        <f t="shared" si="7"/>
        <v/>
      </c>
      <c r="AE58" s="128" t="str">
        <f t="shared" si="11"/>
        <v/>
      </c>
      <c r="AF58" s="128" t="str">
        <f t="shared" si="12"/>
        <v/>
      </c>
      <c r="AG58" s="128" t="str">
        <f>IF(AC58="fout","fout",IF(B58&lt;&gt;"",VLOOKUP(CONCATENATE(C$9,C$10,$B58),Leveranciersnamen!$A:$F,6,FALSE),""))</f>
        <v/>
      </c>
      <c r="AH58" s="128" t="str">
        <f t="shared" si="9"/>
        <v>0,00</v>
      </c>
      <c r="AI58" s="128"/>
      <c r="AJ58" s="128"/>
      <c r="AK58" s="128"/>
      <c r="AL58" s="128"/>
      <c r="AM58" s="394"/>
      <c r="AN58" s="394"/>
      <c r="AO58" s="394"/>
      <c r="AP58" s="394"/>
      <c r="AQ58" s="427">
        <f t="shared" si="15"/>
        <v>0</v>
      </c>
      <c r="AR58" s="427" t="str">
        <f t="shared" si="16"/>
        <v>0,00</v>
      </c>
      <c r="AS58" s="427">
        <f t="shared" si="17"/>
        <v>0</v>
      </c>
      <c r="AT58" s="129" t="str">
        <f t="shared" si="10"/>
        <v/>
      </c>
      <c r="AU58" s="394">
        <v>44</v>
      </c>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row>
    <row r="59" spans="1:70" ht="25" hidden="1" customHeight="1">
      <c r="A59" s="313">
        <v>45</v>
      </c>
      <c r="B59" s="459"/>
      <c r="C59" s="460"/>
      <c r="D59" s="460"/>
      <c r="E59" s="461"/>
      <c r="F59" s="462"/>
      <c r="G59" s="463"/>
      <c r="H59" s="183" t="str">
        <f t="shared" si="4"/>
        <v/>
      </c>
      <c r="I59" s="470" t="str">
        <f t="shared" si="5"/>
        <v/>
      </c>
      <c r="J59" s="474"/>
      <c r="K59" s="184" t="b">
        <f t="shared" si="6"/>
        <v>0</v>
      </c>
      <c r="L59" s="321">
        <f t="shared" si="0"/>
        <v>0</v>
      </c>
      <c r="M59" s="464"/>
      <c r="N59" s="322">
        <f t="shared" si="8"/>
        <v>0</v>
      </c>
      <c r="O59" s="186" t="str">
        <f t="shared" si="13"/>
        <v/>
      </c>
      <c r="P59" s="661"/>
      <c r="Q59" s="662"/>
      <c r="R59" s="662"/>
      <c r="S59" s="662"/>
      <c r="T59" s="662"/>
      <c r="U59" s="662"/>
      <c r="V59" s="662"/>
      <c r="W59" s="662"/>
      <c r="X59" s="663"/>
      <c r="Y59" s="318"/>
      <c r="Z59" s="426">
        <f>IFERROR(VLOOKUP(D59,#REF!,1,FALSE),0)</f>
        <v>0</v>
      </c>
      <c r="AA59" s="476" t="b">
        <f t="shared" si="14"/>
        <v>0</v>
      </c>
      <c r="AB59" s="128" t="e">
        <f>VLOOKUP($B59,Leveranciersnamen!$D:$E,2,FALSE)</f>
        <v>#N/A</v>
      </c>
      <c r="AC59" s="128" t="str">
        <f>IF($B59&lt;="","Geen waarde",IFERROR(VLOOKUP(CONCATENATE($C$9,$C$10,$B59),Leveranciersnamen!$A:$A,1,FALSE),"fout"))</f>
        <v>Geen waarde</v>
      </c>
      <c r="AD59" s="128" t="str">
        <f t="shared" si="7"/>
        <v/>
      </c>
      <c r="AE59" s="128" t="str">
        <f t="shared" si="11"/>
        <v/>
      </c>
      <c r="AF59" s="128" t="str">
        <f t="shared" si="12"/>
        <v/>
      </c>
      <c r="AG59" s="128" t="str">
        <f>IF(AC59="fout","fout",IF(B59&lt;&gt;"",VLOOKUP(CONCATENATE(C$9,C$10,$B59),Leveranciersnamen!$A:$F,6,FALSE),""))</f>
        <v/>
      </c>
      <c r="AH59" s="128" t="str">
        <f t="shared" si="9"/>
        <v>0,00</v>
      </c>
      <c r="AI59" s="128"/>
      <c r="AJ59" s="128"/>
      <c r="AK59" s="128"/>
      <c r="AL59" s="128"/>
      <c r="AM59" s="394"/>
      <c r="AN59" s="394"/>
      <c r="AO59" s="394"/>
      <c r="AP59" s="394"/>
      <c r="AQ59" s="427">
        <f t="shared" si="15"/>
        <v>0</v>
      </c>
      <c r="AR59" s="427" t="str">
        <f t="shared" si="16"/>
        <v>0,00</v>
      </c>
      <c r="AS59" s="427">
        <f t="shared" si="17"/>
        <v>0</v>
      </c>
      <c r="AT59" s="129" t="str">
        <f t="shared" si="10"/>
        <v/>
      </c>
      <c r="AU59" s="128">
        <v>45</v>
      </c>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row>
    <row r="60" spans="1:70" ht="25" hidden="1" customHeight="1">
      <c r="A60" s="313">
        <v>46</v>
      </c>
      <c r="B60" s="459"/>
      <c r="C60" s="460"/>
      <c r="D60" s="460"/>
      <c r="E60" s="461"/>
      <c r="F60" s="462"/>
      <c r="G60" s="463"/>
      <c r="H60" s="183" t="str">
        <f t="shared" si="4"/>
        <v/>
      </c>
      <c r="I60" s="470" t="str">
        <f t="shared" si="5"/>
        <v/>
      </c>
      <c r="J60" s="474"/>
      <c r="K60" s="184" t="b">
        <f t="shared" si="6"/>
        <v>0</v>
      </c>
      <c r="L60" s="321">
        <f t="shared" si="0"/>
        <v>0</v>
      </c>
      <c r="M60" s="464"/>
      <c r="N60" s="322">
        <f t="shared" si="8"/>
        <v>0</v>
      </c>
      <c r="O60" s="186" t="str">
        <f t="shared" si="13"/>
        <v/>
      </c>
      <c r="P60" s="661"/>
      <c r="Q60" s="662"/>
      <c r="R60" s="662"/>
      <c r="S60" s="662"/>
      <c r="T60" s="662"/>
      <c r="U60" s="662"/>
      <c r="V60" s="662"/>
      <c r="W60" s="662"/>
      <c r="X60" s="663"/>
      <c r="Y60" s="318"/>
      <c r="Z60" s="426">
        <f>IFERROR(VLOOKUP(D60,#REF!,1,FALSE),0)</f>
        <v>0</v>
      </c>
      <c r="AA60" s="476" t="b">
        <f t="shared" si="14"/>
        <v>0</v>
      </c>
      <c r="AB60" s="128" t="e">
        <f>VLOOKUP($B60,Leveranciersnamen!$D:$E,2,FALSE)</f>
        <v>#N/A</v>
      </c>
      <c r="AC60" s="128" t="str">
        <f>IF($B60&lt;="","Geen waarde",IFERROR(VLOOKUP(CONCATENATE($C$9,$C$10,$B60),Leveranciersnamen!$A:$A,1,FALSE),"fout"))</f>
        <v>Geen waarde</v>
      </c>
      <c r="AD60" s="128" t="str">
        <f t="shared" si="7"/>
        <v/>
      </c>
      <c r="AE60" s="128" t="str">
        <f t="shared" si="11"/>
        <v/>
      </c>
      <c r="AF60" s="128" t="str">
        <f t="shared" si="12"/>
        <v/>
      </c>
      <c r="AG60" s="128" t="str">
        <f>IF(AC60="fout","fout",IF(B60&lt;&gt;"",VLOOKUP(CONCATENATE(C$9,C$10,$B60),Leveranciersnamen!$A:$F,6,FALSE),""))</f>
        <v/>
      </c>
      <c r="AH60" s="128" t="str">
        <f t="shared" si="9"/>
        <v>0,00</v>
      </c>
      <c r="AI60" s="128"/>
      <c r="AJ60" s="128"/>
      <c r="AK60" s="128"/>
      <c r="AL60" s="128"/>
      <c r="AM60" s="394"/>
      <c r="AN60" s="394"/>
      <c r="AO60" s="394"/>
      <c r="AP60" s="394"/>
      <c r="AQ60" s="427">
        <f t="shared" si="15"/>
        <v>0</v>
      </c>
      <c r="AR60" s="427" t="str">
        <f t="shared" si="16"/>
        <v>0,00</v>
      </c>
      <c r="AS60" s="427">
        <f t="shared" si="17"/>
        <v>0</v>
      </c>
      <c r="AT60" s="129" t="str">
        <f t="shared" si="10"/>
        <v/>
      </c>
      <c r="AU60" s="394">
        <v>46</v>
      </c>
      <c r="AV60" s="394"/>
      <c r="AW60" s="394"/>
      <c r="AX60" s="394"/>
      <c r="AY60" s="394"/>
      <c r="AZ60" s="394"/>
      <c r="BA60" s="394"/>
      <c r="BB60" s="394"/>
      <c r="BC60" s="394"/>
      <c r="BD60" s="394"/>
      <c r="BE60" s="394"/>
      <c r="BF60" s="394"/>
      <c r="BG60" s="394"/>
      <c r="BH60" s="394"/>
      <c r="BI60" s="394"/>
      <c r="BJ60" s="394"/>
      <c r="BK60" s="394"/>
      <c r="BL60" s="394"/>
      <c r="BM60" s="394"/>
      <c r="BN60" s="394"/>
      <c r="BO60" s="394"/>
      <c r="BP60" s="394"/>
      <c r="BQ60" s="394"/>
      <c r="BR60" s="394"/>
    </row>
    <row r="61" spans="1:70" ht="25" hidden="1" customHeight="1">
      <c r="A61" s="313">
        <v>47</v>
      </c>
      <c r="B61" s="459"/>
      <c r="C61" s="460"/>
      <c r="D61" s="460"/>
      <c r="E61" s="461"/>
      <c r="F61" s="462"/>
      <c r="G61" s="463"/>
      <c r="H61" s="183" t="str">
        <f t="shared" si="4"/>
        <v/>
      </c>
      <c r="I61" s="470" t="str">
        <f t="shared" si="5"/>
        <v/>
      </c>
      <c r="J61" s="474"/>
      <c r="K61" s="184" t="b">
        <f t="shared" si="6"/>
        <v>0</v>
      </c>
      <c r="L61" s="321">
        <f t="shared" si="0"/>
        <v>0</v>
      </c>
      <c r="M61" s="464"/>
      <c r="N61" s="322">
        <f t="shared" si="8"/>
        <v>0</v>
      </c>
      <c r="O61" s="186" t="str">
        <f t="shared" si="13"/>
        <v/>
      </c>
      <c r="P61" s="661"/>
      <c r="Q61" s="662"/>
      <c r="R61" s="662"/>
      <c r="S61" s="662"/>
      <c r="T61" s="662"/>
      <c r="U61" s="662"/>
      <c r="V61" s="662"/>
      <c r="W61" s="662"/>
      <c r="X61" s="663"/>
      <c r="Y61" s="318"/>
      <c r="Z61" s="426">
        <f>IFERROR(VLOOKUP(D61,#REF!,1,FALSE),0)</f>
        <v>0</v>
      </c>
      <c r="AA61" s="476" t="b">
        <f t="shared" si="14"/>
        <v>0</v>
      </c>
      <c r="AB61" s="128" t="e">
        <f>VLOOKUP($B61,Leveranciersnamen!$D:$E,2,FALSE)</f>
        <v>#N/A</v>
      </c>
      <c r="AC61" s="128" t="str">
        <f>IF($B61&lt;="","Geen waarde",IFERROR(VLOOKUP(CONCATENATE($C$9,$C$10,$B61),Leveranciersnamen!$A:$A,1,FALSE),"fout"))</f>
        <v>Geen waarde</v>
      </c>
      <c r="AD61" s="128" t="str">
        <f t="shared" si="7"/>
        <v/>
      </c>
      <c r="AE61" s="128" t="str">
        <f t="shared" si="11"/>
        <v/>
      </c>
      <c r="AF61" s="128" t="str">
        <f t="shared" si="12"/>
        <v/>
      </c>
      <c r="AG61" s="128" t="str">
        <f>IF(AC61="fout","fout",IF(B61&lt;&gt;"",VLOOKUP(CONCATENATE(C$9,C$10,$B61),Leveranciersnamen!$A:$F,6,FALSE),""))</f>
        <v/>
      </c>
      <c r="AH61" s="128" t="str">
        <f t="shared" si="9"/>
        <v>0,00</v>
      </c>
      <c r="AI61" s="128"/>
      <c r="AJ61" s="128"/>
      <c r="AK61" s="128"/>
      <c r="AL61" s="128"/>
      <c r="AM61" s="394"/>
      <c r="AN61" s="394"/>
      <c r="AO61" s="394"/>
      <c r="AP61" s="394"/>
      <c r="AQ61" s="427">
        <f t="shared" si="15"/>
        <v>0</v>
      </c>
      <c r="AR61" s="427" t="str">
        <f t="shared" si="16"/>
        <v>0,00</v>
      </c>
      <c r="AS61" s="427">
        <f t="shared" si="17"/>
        <v>0</v>
      </c>
      <c r="AT61" s="129" t="str">
        <f t="shared" si="10"/>
        <v/>
      </c>
      <c r="AU61" s="128">
        <v>47</v>
      </c>
      <c r="AV61" s="394"/>
      <c r="AW61" s="394"/>
      <c r="AX61" s="394"/>
      <c r="AY61" s="394"/>
      <c r="AZ61" s="394"/>
      <c r="BA61" s="394"/>
      <c r="BB61" s="394"/>
      <c r="BC61" s="394"/>
      <c r="BD61" s="394"/>
      <c r="BE61" s="394"/>
      <c r="BF61" s="394"/>
      <c r="BG61" s="394"/>
      <c r="BH61" s="394"/>
      <c r="BI61" s="394"/>
      <c r="BJ61" s="394"/>
      <c r="BK61" s="394"/>
      <c r="BL61" s="394"/>
      <c r="BM61" s="394"/>
      <c r="BN61" s="394"/>
      <c r="BO61" s="394"/>
      <c r="BP61" s="394"/>
      <c r="BQ61" s="394"/>
      <c r="BR61" s="394"/>
    </row>
    <row r="62" spans="1:70" ht="25" hidden="1" customHeight="1">
      <c r="A62" s="313">
        <v>48</v>
      </c>
      <c r="B62" s="459"/>
      <c r="C62" s="460"/>
      <c r="D62" s="460"/>
      <c r="E62" s="461"/>
      <c r="F62" s="462"/>
      <c r="G62" s="463"/>
      <c r="H62" s="183" t="str">
        <f t="shared" si="4"/>
        <v/>
      </c>
      <c r="I62" s="470" t="str">
        <f t="shared" si="5"/>
        <v/>
      </c>
      <c r="J62" s="474"/>
      <c r="K62" s="184" t="b">
        <f t="shared" si="6"/>
        <v>0</v>
      </c>
      <c r="L62" s="321">
        <f t="shared" si="0"/>
        <v>0</v>
      </c>
      <c r="M62" s="464"/>
      <c r="N62" s="322">
        <f t="shared" si="8"/>
        <v>0</v>
      </c>
      <c r="O62" s="186" t="str">
        <f t="shared" si="13"/>
        <v/>
      </c>
      <c r="P62" s="661"/>
      <c r="Q62" s="662"/>
      <c r="R62" s="662"/>
      <c r="S62" s="662"/>
      <c r="T62" s="662"/>
      <c r="U62" s="662"/>
      <c r="V62" s="662"/>
      <c r="W62" s="662"/>
      <c r="X62" s="663"/>
      <c r="Y62" s="318"/>
      <c r="Z62" s="426">
        <f>IFERROR(VLOOKUP(D62,#REF!,1,FALSE),0)</f>
        <v>0</v>
      </c>
      <c r="AA62" s="476" t="b">
        <f t="shared" si="14"/>
        <v>0</v>
      </c>
      <c r="AB62" s="128" t="e">
        <f>VLOOKUP($B62,Leveranciersnamen!$D:$E,2,FALSE)</f>
        <v>#N/A</v>
      </c>
      <c r="AC62" s="128" t="str">
        <f>IF($B62&lt;="","Geen waarde",IFERROR(VLOOKUP(CONCATENATE($C$9,$C$10,$B62),Leveranciersnamen!$A:$A,1,FALSE),"fout"))</f>
        <v>Geen waarde</v>
      </c>
      <c r="AD62" s="128" t="str">
        <f t="shared" si="7"/>
        <v/>
      </c>
      <c r="AE62" s="128" t="str">
        <f t="shared" si="11"/>
        <v/>
      </c>
      <c r="AF62" s="128" t="str">
        <f t="shared" si="12"/>
        <v/>
      </c>
      <c r="AG62" s="128" t="str">
        <f>IF(AC62="fout","fout",IF(B62&lt;&gt;"",VLOOKUP(CONCATENATE(C$9,C$10,$B62),Leveranciersnamen!$A:$F,6,FALSE),""))</f>
        <v/>
      </c>
      <c r="AH62" s="128" t="str">
        <f t="shared" si="9"/>
        <v>0,00</v>
      </c>
      <c r="AI62" s="128"/>
      <c r="AJ62" s="128"/>
      <c r="AK62" s="128"/>
      <c r="AL62" s="128"/>
      <c r="AM62" s="394"/>
      <c r="AN62" s="394"/>
      <c r="AO62" s="394"/>
      <c r="AP62" s="394"/>
      <c r="AQ62" s="427">
        <f t="shared" si="15"/>
        <v>0</v>
      </c>
      <c r="AR62" s="427" t="str">
        <f t="shared" si="16"/>
        <v>0,00</v>
      </c>
      <c r="AS62" s="427">
        <f t="shared" si="17"/>
        <v>0</v>
      </c>
      <c r="AT62" s="129" t="str">
        <f t="shared" si="10"/>
        <v/>
      </c>
      <c r="AU62" s="394">
        <v>48</v>
      </c>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row>
    <row r="63" spans="1:70" ht="25" hidden="1" customHeight="1">
      <c r="A63" s="313">
        <v>49</v>
      </c>
      <c r="B63" s="459"/>
      <c r="C63" s="460"/>
      <c r="D63" s="460"/>
      <c r="E63" s="461"/>
      <c r="F63" s="462"/>
      <c r="G63" s="463"/>
      <c r="H63" s="183" t="str">
        <f t="shared" si="4"/>
        <v/>
      </c>
      <c r="I63" s="470" t="str">
        <f t="shared" si="5"/>
        <v/>
      </c>
      <c r="J63" s="474"/>
      <c r="K63" s="184" t="b">
        <f t="shared" si="6"/>
        <v>0</v>
      </c>
      <c r="L63" s="321">
        <f t="shared" si="0"/>
        <v>0</v>
      </c>
      <c r="M63" s="464"/>
      <c r="N63" s="322">
        <f t="shared" si="8"/>
        <v>0</v>
      </c>
      <c r="O63" s="186" t="str">
        <f t="shared" si="13"/>
        <v/>
      </c>
      <c r="P63" s="661"/>
      <c r="Q63" s="662"/>
      <c r="R63" s="662"/>
      <c r="S63" s="662"/>
      <c r="T63" s="662"/>
      <c r="U63" s="662"/>
      <c r="V63" s="662"/>
      <c r="W63" s="662"/>
      <c r="X63" s="663"/>
      <c r="Y63" s="318"/>
      <c r="Z63" s="426">
        <f>IFERROR(VLOOKUP(D63,#REF!,1,FALSE),0)</f>
        <v>0</v>
      </c>
      <c r="AA63" s="476" t="b">
        <f t="shared" si="14"/>
        <v>0</v>
      </c>
      <c r="AB63" s="128" t="e">
        <f>VLOOKUP($B63,Leveranciersnamen!$D:$E,2,FALSE)</f>
        <v>#N/A</v>
      </c>
      <c r="AC63" s="128" t="str">
        <f>IF($B63&lt;="","Geen waarde",IFERROR(VLOOKUP(CONCATENATE($C$9,$C$10,$B63),Leveranciersnamen!$A:$A,1,FALSE),"fout"))</f>
        <v>Geen waarde</v>
      </c>
      <c r="AD63" s="128" t="str">
        <f t="shared" si="7"/>
        <v/>
      </c>
      <c r="AE63" s="128" t="str">
        <f t="shared" si="11"/>
        <v/>
      </c>
      <c r="AF63" s="128" t="str">
        <f t="shared" si="12"/>
        <v/>
      </c>
      <c r="AG63" s="128" t="str">
        <f>IF(AC63="fout","fout",IF(B63&lt;&gt;"",VLOOKUP(CONCATENATE(C$9,C$10,$B63),Leveranciersnamen!$A:$F,6,FALSE),""))</f>
        <v/>
      </c>
      <c r="AH63" s="128" t="str">
        <f t="shared" si="9"/>
        <v>0,00</v>
      </c>
      <c r="AI63" s="128"/>
      <c r="AJ63" s="128"/>
      <c r="AK63" s="128"/>
      <c r="AL63" s="128"/>
      <c r="AM63" s="394"/>
      <c r="AN63" s="394"/>
      <c r="AO63" s="394"/>
      <c r="AP63" s="394"/>
      <c r="AQ63" s="427">
        <f t="shared" si="15"/>
        <v>0</v>
      </c>
      <c r="AR63" s="427" t="str">
        <f t="shared" si="16"/>
        <v>0,00</v>
      </c>
      <c r="AS63" s="427">
        <f t="shared" si="17"/>
        <v>0</v>
      </c>
      <c r="AT63" s="129" t="str">
        <f t="shared" si="10"/>
        <v/>
      </c>
      <c r="AU63" s="128">
        <v>49</v>
      </c>
      <c r="AV63" s="394"/>
      <c r="AW63" s="394"/>
      <c r="AX63" s="394"/>
      <c r="AY63" s="394"/>
      <c r="AZ63" s="394"/>
      <c r="BA63" s="394"/>
      <c r="BB63" s="394"/>
      <c r="BC63" s="394"/>
      <c r="BD63" s="394"/>
      <c r="BE63" s="394"/>
      <c r="BF63" s="394"/>
      <c r="BG63" s="394"/>
      <c r="BH63" s="394"/>
      <c r="BI63" s="394"/>
      <c r="BJ63" s="394"/>
      <c r="BK63" s="394"/>
      <c r="BL63" s="394"/>
      <c r="BM63" s="394"/>
      <c r="BN63" s="394"/>
      <c r="BO63" s="394"/>
      <c r="BP63" s="394"/>
      <c r="BQ63" s="394"/>
      <c r="BR63" s="394"/>
    </row>
    <row r="64" spans="1:70" ht="25" hidden="1" customHeight="1">
      <c r="A64" s="313">
        <v>50</v>
      </c>
      <c r="B64" s="459"/>
      <c r="C64" s="460"/>
      <c r="D64" s="460"/>
      <c r="E64" s="461"/>
      <c r="F64" s="462"/>
      <c r="G64" s="463"/>
      <c r="H64" s="183" t="str">
        <f t="shared" si="4"/>
        <v/>
      </c>
      <c r="I64" s="470" t="str">
        <f t="shared" si="5"/>
        <v/>
      </c>
      <c r="J64" s="474"/>
      <c r="K64" s="184" t="b">
        <f t="shared" si="6"/>
        <v>0</v>
      </c>
      <c r="L64" s="321">
        <f t="shared" si="0"/>
        <v>0</v>
      </c>
      <c r="M64" s="464"/>
      <c r="N64" s="322">
        <f t="shared" si="8"/>
        <v>0</v>
      </c>
      <c r="O64" s="186" t="str">
        <f t="shared" si="13"/>
        <v/>
      </c>
      <c r="P64" s="661"/>
      <c r="Q64" s="662"/>
      <c r="R64" s="662"/>
      <c r="S64" s="662"/>
      <c r="T64" s="662"/>
      <c r="U64" s="662"/>
      <c r="V64" s="662"/>
      <c r="W64" s="662"/>
      <c r="X64" s="663"/>
      <c r="Y64" s="318"/>
      <c r="Z64" s="426">
        <f>IFERROR(VLOOKUP(D64,#REF!,1,FALSE),0)</f>
        <v>0</v>
      </c>
      <c r="AA64" s="476" t="b">
        <f t="shared" si="14"/>
        <v>0</v>
      </c>
      <c r="AB64" s="128" t="e">
        <f>VLOOKUP($B64,Leveranciersnamen!$D:$E,2,FALSE)</f>
        <v>#N/A</v>
      </c>
      <c r="AC64" s="128" t="str">
        <f>IF($B64&lt;="","Geen waarde",IFERROR(VLOOKUP(CONCATENATE($C$9,$C$10,$B64),Leveranciersnamen!$A:$A,1,FALSE),"fout"))</f>
        <v>Geen waarde</v>
      </c>
      <c r="AD64" s="128" t="str">
        <f t="shared" si="7"/>
        <v/>
      </c>
      <c r="AE64" s="128" t="str">
        <f t="shared" si="11"/>
        <v/>
      </c>
      <c r="AF64" s="128" t="str">
        <f t="shared" si="12"/>
        <v/>
      </c>
      <c r="AG64" s="128" t="str">
        <f>IF(AC64="fout","fout",IF(B64&lt;&gt;"",VLOOKUP(CONCATENATE(C$9,C$10,$B64),Leveranciersnamen!$A:$F,6,FALSE),""))</f>
        <v/>
      </c>
      <c r="AH64" s="128" t="str">
        <f t="shared" si="9"/>
        <v>0,00</v>
      </c>
      <c r="AI64" s="128"/>
      <c r="AJ64" s="128"/>
      <c r="AK64" s="128"/>
      <c r="AL64" s="128"/>
      <c r="AM64" s="394"/>
      <c r="AN64" s="394"/>
      <c r="AO64" s="394"/>
      <c r="AP64" s="394"/>
      <c r="AQ64" s="427">
        <f t="shared" si="15"/>
        <v>0</v>
      </c>
      <c r="AR64" s="427" t="str">
        <f t="shared" si="16"/>
        <v>0,00</v>
      </c>
      <c r="AS64" s="427">
        <f t="shared" si="17"/>
        <v>0</v>
      </c>
      <c r="AT64" s="129" t="str">
        <f t="shared" si="10"/>
        <v/>
      </c>
      <c r="AU64" s="394">
        <v>50</v>
      </c>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row>
    <row r="65" spans="1:70" ht="25" hidden="1" customHeight="1">
      <c r="A65" s="313">
        <v>51</v>
      </c>
      <c r="B65" s="459"/>
      <c r="C65" s="460"/>
      <c r="D65" s="460"/>
      <c r="E65" s="461"/>
      <c r="F65" s="462"/>
      <c r="G65" s="463"/>
      <c r="H65" s="183" t="str">
        <f t="shared" si="4"/>
        <v/>
      </c>
      <c r="I65" s="470" t="str">
        <f t="shared" si="5"/>
        <v/>
      </c>
      <c r="J65" s="474"/>
      <c r="K65" s="184" t="b">
        <f t="shared" si="6"/>
        <v>0</v>
      </c>
      <c r="L65" s="321">
        <f t="shared" si="0"/>
        <v>0</v>
      </c>
      <c r="M65" s="464"/>
      <c r="N65" s="322">
        <f t="shared" si="8"/>
        <v>0</v>
      </c>
      <c r="O65" s="186" t="str">
        <f t="shared" si="13"/>
        <v/>
      </c>
      <c r="P65" s="661"/>
      <c r="Q65" s="662"/>
      <c r="R65" s="662"/>
      <c r="S65" s="662"/>
      <c r="T65" s="662"/>
      <c r="U65" s="662"/>
      <c r="V65" s="662"/>
      <c r="W65" s="662"/>
      <c r="X65" s="663"/>
      <c r="Y65" s="318"/>
      <c r="Z65" s="426">
        <f>IFERROR(VLOOKUP(D65,#REF!,1,FALSE),0)</f>
        <v>0</v>
      </c>
      <c r="AA65" s="476" t="b">
        <f t="shared" si="14"/>
        <v>0</v>
      </c>
      <c r="AB65" s="128" t="e">
        <f>VLOOKUP($B65,Leveranciersnamen!$D:$E,2,FALSE)</f>
        <v>#N/A</v>
      </c>
      <c r="AC65" s="128" t="str">
        <f>IF($B65&lt;="","Geen waarde",IFERROR(VLOOKUP(CONCATENATE($C$9,$C$10,$B65),Leveranciersnamen!$A:$A,1,FALSE),"fout"))</f>
        <v>Geen waarde</v>
      </c>
      <c r="AD65" s="128" t="str">
        <f t="shared" si="7"/>
        <v/>
      </c>
      <c r="AE65" s="128" t="str">
        <f t="shared" si="11"/>
        <v/>
      </c>
      <c r="AF65" s="128" t="str">
        <f t="shared" si="12"/>
        <v/>
      </c>
      <c r="AG65" s="128" t="str">
        <f>IF(AC65="fout","fout",IF(B65&lt;&gt;"",VLOOKUP(CONCATENATE(C$9,C$10,$B65),Leveranciersnamen!$A:$F,6,FALSE),""))</f>
        <v/>
      </c>
      <c r="AH65" s="128" t="str">
        <f t="shared" si="9"/>
        <v>0,00</v>
      </c>
      <c r="AI65" s="128"/>
      <c r="AJ65" s="128"/>
      <c r="AK65" s="128"/>
      <c r="AL65" s="128"/>
      <c r="AM65" s="394"/>
      <c r="AN65" s="394"/>
      <c r="AO65" s="394"/>
      <c r="AP65" s="394"/>
      <c r="AQ65" s="427">
        <f t="shared" si="15"/>
        <v>0</v>
      </c>
      <c r="AR65" s="427" t="str">
        <f t="shared" si="16"/>
        <v>0,00</v>
      </c>
      <c r="AS65" s="427">
        <f t="shared" si="17"/>
        <v>0</v>
      </c>
      <c r="AT65" s="129" t="str">
        <f t="shared" si="10"/>
        <v/>
      </c>
      <c r="AU65" s="128">
        <v>51</v>
      </c>
      <c r="AV65" s="394"/>
      <c r="AW65" s="394"/>
      <c r="AX65" s="394"/>
      <c r="AY65" s="394"/>
      <c r="AZ65" s="394"/>
      <c r="BA65" s="394"/>
      <c r="BB65" s="394"/>
      <c r="BC65" s="394"/>
      <c r="BD65" s="394"/>
      <c r="BE65" s="394"/>
      <c r="BF65" s="394"/>
      <c r="BG65" s="394"/>
      <c r="BH65" s="394"/>
      <c r="BI65" s="394"/>
      <c r="BJ65" s="394"/>
      <c r="BK65" s="394"/>
      <c r="BL65" s="394"/>
      <c r="BM65" s="394"/>
      <c r="BN65" s="394"/>
      <c r="BO65" s="394"/>
      <c r="BP65" s="394"/>
      <c r="BQ65" s="394"/>
      <c r="BR65" s="394"/>
    </row>
    <row r="66" spans="1:70" ht="25" hidden="1" customHeight="1">
      <c r="A66" s="313">
        <v>52</v>
      </c>
      <c r="B66" s="459"/>
      <c r="C66" s="460"/>
      <c r="D66" s="460"/>
      <c r="E66" s="461"/>
      <c r="F66" s="462"/>
      <c r="G66" s="463"/>
      <c r="H66" s="183" t="str">
        <f t="shared" si="4"/>
        <v/>
      </c>
      <c r="I66" s="470" t="str">
        <f t="shared" si="5"/>
        <v/>
      </c>
      <c r="J66" s="474"/>
      <c r="K66" s="184" t="b">
        <f t="shared" si="6"/>
        <v>0</v>
      </c>
      <c r="L66" s="321">
        <f t="shared" si="0"/>
        <v>0</v>
      </c>
      <c r="M66" s="464"/>
      <c r="N66" s="322">
        <f t="shared" si="8"/>
        <v>0</v>
      </c>
      <c r="O66" s="186" t="str">
        <f t="shared" si="13"/>
        <v/>
      </c>
      <c r="P66" s="661"/>
      <c r="Q66" s="662"/>
      <c r="R66" s="662"/>
      <c r="S66" s="662"/>
      <c r="T66" s="662"/>
      <c r="U66" s="662"/>
      <c r="V66" s="662"/>
      <c r="W66" s="662"/>
      <c r="X66" s="663"/>
      <c r="Y66" s="318"/>
      <c r="Z66" s="426">
        <f>IFERROR(VLOOKUP(D66,#REF!,1,FALSE),0)</f>
        <v>0</v>
      </c>
      <c r="AA66" s="476" t="b">
        <f t="shared" si="14"/>
        <v>0</v>
      </c>
      <c r="AB66" s="128" t="e">
        <f>VLOOKUP($B66,Leveranciersnamen!$D:$E,2,FALSE)</f>
        <v>#N/A</v>
      </c>
      <c r="AC66" s="128" t="str">
        <f>IF($B66&lt;="","Geen waarde",IFERROR(VLOOKUP(CONCATENATE($C$9,$C$10,$B66),Leveranciersnamen!$A:$A,1,FALSE),"fout"))</f>
        <v>Geen waarde</v>
      </c>
      <c r="AD66" s="128" t="str">
        <f t="shared" si="7"/>
        <v/>
      </c>
      <c r="AE66" s="128" t="str">
        <f t="shared" si="11"/>
        <v/>
      </c>
      <c r="AF66" s="128" t="str">
        <f t="shared" si="12"/>
        <v/>
      </c>
      <c r="AG66" s="128" t="str">
        <f>IF(AC66="fout","fout",IF(B66&lt;&gt;"",VLOOKUP(CONCATENATE(C$9,C$10,$B66),Leveranciersnamen!$A:$F,6,FALSE),""))</f>
        <v/>
      </c>
      <c r="AH66" s="128" t="str">
        <f t="shared" si="9"/>
        <v>0,00</v>
      </c>
      <c r="AI66" s="128"/>
      <c r="AJ66" s="128"/>
      <c r="AK66" s="128"/>
      <c r="AL66" s="128"/>
      <c r="AM66" s="394"/>
      <c r="AN66" s="394"/>
      <c r="AO66" s="394"/>
      <c r="AP66" s="394"/>
      <c r="AQ66" s="427">
        <f t="shared" si="15"/>
        <v>0</v>
      </c>
      <c r="AR66" s="427" t="str">
        <f t="shared" si="16"/>
        <v>0,00</v>
      </c>
      <c r="AS66" s="427">
        <f t="shared" si="17"/>
        <v>0</v>
      </c>
      <c r="AT66" s="129" t="str">
        <f t="shared" si="10"/>
        <v/>
      </c>
      <c r="AU66" s="394">
        <v>52</v>
      </c>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row>
    <row r="67" spans="1:70" ht="25" hidden="1" customHeight="1">
      <c r="A67" s="313">
        <v>53</v>
      </c>
      <c r="B67" s="459"/>
      <c r="C67" s="460"/>
      <c r="D67" s="460"/>
      <c r="E67" s="461"/>
      <c r="F67" s="462"/>
      <c r="G67" s="463"/>
      <c r="H67" s="183" t="str">
        <f t="shared" si="4"/>
        <v/>
      </c>
      <c r="I67" s="470" t="str">
        <f t="shared" si="5"/>
        <v/>
      </c>
      <c r="J67" s="474"/>
      <c r="K67" s="184" t="b">
        <f t="shared" si="6"/>
        <v>0</v>
      </c>
      <c r="L67" s="321">
        <f t="shared" si="0"/>
        <v>0</v>
      </c>
      <c r="M67" s="464"/>
      <c r="N67" s="322">
        <f t="shared" si="8"/>
        <v>0</v>
      </c>
      <c r="O67" s="186" t="str">
        <f t="shared" si="13"/>
        <v/>
      </c>
      <c r="P67" s="661"/>
      <c r="Q67" s="662"/>
      <c r="R67" s="662"/>
      <c r="S67" s="662"/>
      <c r="T67" s="662"/>
      <c r="U67" s="662"/>
      <c r="V67" s="662"/>
      <c r="W67" s="662"/>
      <c r="X67" s="663"/>
      <c r="Y67" s="318"/>
      <c r="Z67" s="426">
        <f>IFERROR(VLOOKUP(D67,#REF!,1,FALSE),0)</f>
        <v>0</v>
      </c>
      <c r="AA67" s="476" t="b">
        <f t="shared" si="14"/>
        <v>0</v>
      </c>
      <c r="AB67" s="128" t="e">
        <f>VLOOKUP($B67,Leveranciersnamen!$D:$E,2,FALSE)</f>
        <v>#N/A</v>
      </c>
      <c r="AC67" s="128" t="str">
        <f>IF($B67&lt;="","Geen waarde",IFERROR(VLOOKUP(CONCATENATE($C$9,$C$10,$B67),Leveranciersnamen!$A:$A,1,FALSE),"fout"))</f>
        <v>Geen waarde</v>
      </c>
      <c r="AD67" s="128" t="str">
        <f t="shared" si="7"/>
        <v/>
      </c>
      <c r="AE67" s="128" t="str">
        <f t="shared" si="11"/>
        <v/>
      </c>
      <c r="AF67" s="128" t="str">
        <f t="shared" si="12"/>
        <v/>
      </c>
      <c r="AG67" s="128" t="str">
        <f>IF(AC67="fout","fout",IF(B67&lt;&gt;"",VLOOKUP(CONCATENATE(C$9,C$10,$B67),Leveranciersnamen!$A:$F,6,FALSE),""))</f>
        <v/>
      </c>
      <c r="AH67" s="128" t="str">
        <f t="shared" si="9"/>
        <v>0,00</v>
      </c>
      <c r="AI67" s="128"/>
      <c r="AJ67" s="128"/>
      <c r="AK67" s="128"/>
      <c r="AL67" s="128"/>
      <c r="AM67" s="394"/>
      <c r="AN67" s="394"/>
      <c r="AO67" s="394"/>
      <c r="AP67" s="394"/>
      <c r="AQ67" s="427">
        <f t="shared" si="15"/>
        <v>0</v>
      </c>
      <c r="AR67" s="427" t="str">
        <f t="shared" si="16"/>
        <v>0,00</v>
      </c>
      <c r="AS67" s="427">
        <f t="shared" si="17"/>
        <v>0</v>
      </c>
      <c r="AT67" s="129" t="str">
        <f t="shared" si="10"/>
        <v/>
      </c>
      <c r="AU67" s="128">
        <v>53</v>
      </c>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row>
    <row r="68" spans="1:70" ht="25" hidden="1" customHeight="1">
      <c r="A68" s="313">
        <v>54</v>
      </c>
      <c r="B68" s="459"/>
      <c r="C68" s="460"/>
      <c r="D68" s="460"/>
      <c r="E68" s="461"/>
      <c r="F68" s="462"/>
      <c r="G68" s="463"/>
      <c r="H68" s="183" t="str">
        <f t="shared" si="4"/>
        <v/>
      </c>
      <c r="I68" s="470" t="str">
        <f t="shared" si="5"/>
        <v/>
      </c>
      <c r="J68" s="474"/>
      <c r="K68" s="184" t="b">
        <f t="shared" si="6"/>
        <v>0</v>
      </c>
      <c r="L68" s="321">
        <f t="shared" si="0"/>
        <v>0</v>
      </c>
      <c r="M68" s="464"/>
      <c r="N68" s="322">
        <f t="shared" si="8"/>
        <v>0</v>
      </c>
      <c r="O68" s="186" t="str">
        <f t="shared" si="13"/>
        <v/>
      </c>
      <c r="P68" s="661"/>
      <c r="Q68" s="662"/>
      <c r="R68" s="662"/>
      <c r="S68" s="662"/>
      <c r="T68" s="662"/>
      <c r="U68" s="662"/>
      <c r="V68" s="662"/>
      <c r="W68" s="662"/>
      <c r="X68" s="663"/>
      <c r="Y68" s="318"/>
      <c r="Z68" s="426">
        <f>IFERROR(VLOOKUP(D68,#REF!,1,FALSE),0)</f>
        <v>0</v>
      </c>
      <c r="AA68" s="476" t="b">
        <f t="shared" si="14"/>
        <v>0</v>
      </c>
      <c r="AB68" s="128" t="e">
        <f>VLOOKUP($B68,Leveranciersnamen!$D:$E,2,FALSE)</f>
        <v>#N/A</v>
      </c>
      <c r="AC68" s="128" t="str">
        <f>IF($B68&lt;="","Geen waarde",IFERROR(VLOOKUP(CONCATENATE($C$9,$C$10,$B68),Leveranciersnamen!$A:$A,1,FALSE),"fout"))</f>
        <v>Geen waarde</v>
      </c>
      <c r="AD68" s="128" t="str">
        <f t="shared" si="7"/>
        <v/>
      </c>
      <c r="AE68" s="128" t="str">
        <f t="shared" si="11"/>
        <v/>
      </c>
      <c r="AF68" s="128" t="str">
        <f t="shared" si="12"/>
        <v/>
      </c>
      <c r="AG68" s="128" t="str">
        <f>IF(AC68="fout","fout",IF(B68&lt;&gt;"",VLOOKUP(CONCATENATE(C$9,C$10,$B68),Leveranciersnamen!$A:$F,6,FALSE),""))</f>
        <v/>
      </c>
      <c r="AH68" s="128" t="str">
        <f t="shared" si="9"/>
        <v>0,00</v>
      </c>
      <c r="AI68" s="128"/>
      <c r="AJ68" s="128"/>
      <c r="AK68" s="128"/>
      <c r="AL68" s="128"/>
      <c r="AM68" s="394"/>
      <c r="AN68" s="394"/>
      <c r="AO68" s="394"/>
      <c r="AP68" s="394"/>
      <c r="AQ68" s="427">
        <f t="shared" si="15"/>
        <v>0</v>
      </c>
      <c r="AR68" s="427" t="str">
        <f t="shared" si="16"/>
        <v>0,00</v>
      </c>
      <c r="AS68" s="427">
        <f t="shared" si="17"/>
        <v>0</v>
      </c>
      <c r="AT68" s="129" t="str">
        <f t="shared" si="10"/>
        <v/>
      </c>
      <c r="AU68" s="394">
        <v>54</v>
      </c>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row>
    <row r="69" spans="1:70" ht="25" hidden="1" customHeight="1">
      <c r="A69" s="313">
        <v>55</v>
      </c>
      <c r="B69" s="459"/>
      <c r="C69" s="460"/>
      <c r="D69" s="460"/>
      <c r="E69" s="461"/>
      <c r="F69" s="462"/>
      <c r="G69" s="463"/>
      <c r="H69" s="183" t="str">
        <f t="shared" si="4"/>
        <v/>
      </c>
      <c r="I69" s="470" t="str">
        <f t="shared" si="5"/>
        <v/>
      </c>
      <c r="J69" s="474"/>
      <c r="K69" s="184" t="b">
        <f t="shared" si="6"/>
        <v>0</v>
      </c>
      <c r="L69" s="321">
        <f t="shared" si="0"/>
        <v>0</v>
      </c>
      <c r="M69" s="464"/>
      <c r="N69" s="322">
        <f t="shared" si="8"/>
        <v>0</v>
      </c>
      <c r="O69" s="186" t="str">
        <f t="shared" si="13"/>
        <v/>
      </c>
      <c r="P69" s="661"/>
      <c r="Q69" s="662"/>
      <c r="R69" s="662"/>
      <c r="S69" s="662"/>
      <c r="T69" s="662"/>
      <c r="U69" s="662"/>
      <c r="V69" s="662"/>
      <c r="W69" s="662"/>
      <c r="X69" s="663"/>
      <c r="Y69" s="318"/>
      <c r="Z69" s="426">
        <f>IFERROR(VLOOKUP(D69,#REF!,1,FALSE),0)</f>
        <v>0</v>
      </c>
      <c r="AA69" s="476" t="b">
        <f t="shared" si="14"/>
        <v>0</v>
      </c>
      <c r="AB69" s="128" t="e">
        <f>VLOOKUP($B69,Leveranciersnamen!$D:$E,2,FALSE)</f>
        <v>#N/A</v>
      </c>
      <c r="AC69" s="128" t="str">
        <f>IF($B69&lt;="","Geen waarde",IFERROR(VLOOKUP(CONCATENATE($C$9,$C$10,$B69),Leveranciersnamen!$A:$A,1,FALSE),"fout"))</f>
        <v>Geen waarde</v>
      </c>
      <c r="AD69" s="128" t="str">
        <f t="shared" si="7"/>
        <v/>
      </c>
      <c r="AE69" s="128" t="str">
        <f t="shared" si="11"/>
        <v/>
      </c>
      <c r="AF69" s="128" t="str">
        <f t="shared" si="12"/>
        <v/>
      </c>
      <c r="AG69" s="128" t="str">
        <f>IF(AC69="fout","fout",IF(B69&lt;&gt;"",VLOOKUP(CONCATENATE(C$9,C$10,$B69),Leveranciersnamen!$A:$F,6,FALSE),""))</f>
        <v/>
      </c>
      <c r="AH69" s="128" t="str">
        <f t="shared" si="9"/>
        <v>0,00</v>
      </c>
      <c r="AI69" s="128"/>
      <c r="AJ69" s="128"/>
      <c r="AK69" s="128"/>
      <c r="AL69" s="128"/>
      <c r="AM69" s="394"/>
      <c r="AN69" s="394"/>
      <c r="AO69" s="394"/>
      <c r="AP69" s="394"/>
      <c r="AQ69" s="427">
        <f t="shared" si="15"/>
        <v>0</v>
      </c>
      <c r="AR69" s="427" t="str">
        <f t="shared" si="16"/>
        <v>0,00</v>
      </c>
      <c r="AS69" s="427">
        <f t="shared" si="17"/>
        <v>0</v>
      </c>
      <c r="AT69" s="129" t="str">
        <f t="shared" si="10"/>
        <v/>
      </c>
      <c r="AU69" s="128">
        <v>55</v>
      </c>
      <c r="AV69" s="394"/>
      <c r="AW69" s="394"/>
      <c r="AX69" s="394"/>
      <c r="AY69" s="394"/>
      <c r="AZ69" s="394"/>
      <c r="BA69" s="394"/>
      <c r="BB69" s="394"/>
      <c r="BC69" s="394"/>
      <c r="BD69" s="394"/>
      <c r="BE69" s="394"/>
      <c r="BF69" s="394"/>
      <c r="BG69" s="394"/>
      <c r="BH69" s="394"/>
      <c r="BI69" s="394"/>
      <c r="BJ69" s="394"/>
      <c r="BK69" s="394"/>
      <c r="BL69" s="394"/>
      <c r="BM69" s="394"/>
      <c r="BN69" s="394"/>
      <c r="BO69" s="394"/>
      <c r="BP69" s="394"/>
      <c r="BQ69" s="394"/>
      <c r="BR69" s="394"/>
    </row>
    <row r="70" spans="1:70" ht="25" hidden="1" customHeight="1">
      <c r="A70" s="313">
        <v>56</v>
      </c>
      <c r="B70" s="459"/>
      <c r="C70" s="460"/>
      <c r="D70" s="460"/>
      <c r="E70" s="461"/>
      <c r="F70" s="462"/>
      <c r="G70" s="463"/>
      <c r="H70" s="183" t="str">
        <f t="shared" si="4"/>
        <v/>
      </c>
      <c r="I70" s="470" t="str">
        <f t="shared" si="5"/>
        <v/>
      </c>
      <c r="J70" s="474"/>
      <c r="K70" s="184" t="b">
        <f t="shared" si="6"/>
        <v>0</v>
      </c>
      <c r="L70" s="321">
        <f t="shared" si="0"/>
        <v>0</v>
      </c>
      <c r="M70" s="464"/>
      <c r="N70" s="322">
        <f t="shared" si="8"/>
        <v>0</v>
      </c>
      <c r="O70" s="186" t="str">
        <f t="shared" si="13"/>
        <v/>
      </c>
      <c r="P70" s="661"/>
      <c r="Q70" s="662"/>
      <c r="R70" s="662"/>
      <c r="S70" s="662"/>
      <c r="T70" s="662"/>
      <c r="U70" s="662"/>
      <c r="V70" s="662"/>
      <c r="W70" s="662"/>
      <c r="X70" s="663"/>
      <c r="Y70" s="318"/>
      <c r="Z70" s="426">
        <f>IFERROR(VLOOKUP(D70,#REF!,1,FALSE),0)</f>
        <v>0</v>
      </c>
      <c r="AA70" s="476" t="b">
        <f t="shared" si="14"/>
        <v>0</v>
      </c>
      <c r="AB70" s="128" t="e">
        <f>VLOOKUP($B70,Leveranciersnamen!$D:$E,2,FALSE)</f>
        <v>#N/A</v>
      </c>
      <c r="AC70" s="128" t="str">
        <f>IF($B70&lt;="","Geen waarde",IFERROR(VLOOKUP(CONCATENATE($C$9,$C$10,$B70),Leveranciersnamen!$A:$A,1,FALSE),"fout"))</f>
        <v>Geen waarde</v>
      </c>
      <c r="AD70" s="128" t="str">
        <f t="shared" si="7"/>
        <v/>
      </c>
      <c r="AE70" s="128" t="str">
        <f t="shared" si="11"/>
        <v/>
      </c>
      <c r="AF70" s="128" t="str">
        <f t="shared" si="12"/>
        <v/>
      </c>
      <c r="AG70" s="128" t="str">
        <f>IF(AC70="fout","fout",IF(B70&lt;&gt;"",VLOOKUP(CONCATENATE(C$9,C$10,$B70),Leveranciersnamen!$A:$F,6,FALSE),""))</f>
        <v/>
      </c>
      <c r="AH70" s="128" t="str">
        <f t="shared" si="9"/>
        <v>0,00</v>
      </c>
      <c r="AI70" s="128"/>
      <c r="AJ70" s="128"/>
      <c r="AK70" s="128"/>
      <c r="AL70" s="128"/>
      <c r="AM70" s="394"/>
      <c r="AN70" s="394"/>
      <c r="AO70" s="394"/>
      <c r="AP70" s="394"/>
      <c r="AQ70" s="427">
        <f t="shared" si="15"/>
        <v>0</v>
      </c>
      <c r="AR70" s="427" t="str">
        <f t="shared" si="16"/>
        <v>0,00</v>
      </c>
      <c r="AS70" s="427">
        <f t="shared" si="17"/>
        <v>0</v>
      </c>
      <c r="AT70" s="129" t="str">
        <f t="shared" si="10"/>
        <v/>
      </c>
      <c r="AU70" s="394">
        <v>56</v>
      </c>
      <c r="AV70" s="394"/>
      <c r="AW70" s="394"/>
      <c r="AX70" s="394"/>
      <c r="AY70" s="394"/>
      <c r="AZ70" s="394"/>
      <c r="BA70" s="394"/>
      <c r="BB70" s="394"/>
      <c r="BC70" s="394"/>
      <c r="BD70" s="394"/>
      <c r="BE70" s="394"/>
      <c r="BF70" s="394"/>
      <c r="BG70" s="394"/>
      <c r="BH70" s="394"/>
      <c r="BI70" s="394"/>
      <c r="BJ70" s="394"/>
      <c r="BK70" s="394"/>
      <c r="BL70" s="394"/>
      <c r="BM70" s="394"/>
      <c r="BN70" s="394"/>
      <c r="BO70" s="394"/>
      <c r="BP70" s="394"/>
      <c r="BQ70" s="394"/>
      <c r="BR70" s="394"/>
    </row>
    <row r="71" spans="1:70" ht="25" hidden="1" customHeight="1">
      <c r="A71" s="313">
        <v>57</v>
      </c>
      <c r="B71" s="459"/>
      <c r="C71" s="460"/>
      <c r="D71" s="460"/>
      <c r="E71" s="461"/>
      <c r="F71" s="462"/>
      <c r="G71" s="463"/>
      <c r="H71" s="183" t="str">
        <f t="shared" si="4"/>
        <v/>
      </c>
      <c r="I71" s="470" t="str">
        <f t="shared" si="5"/>
        <v/>
      </c>
      <c r="J71" s="474"/>
      <c r="K71" s="184" t="b">
        <f t="shared" si="6"/>
        <v>0</v>
      </c>
      <c r="L71" s="321">
        <f t="shared" si="0"/>
        <v>0</v>
      </c>
      <c r="M71" s="464"/>
      <c r="N71" s="322">
        <f t="shared" si="8"/>
        <v>0</v>
      </c>
      <c r="O71" s="186" t="str">
        <f t="shared" si="13"/>
        <v/>
      </c>
      <c r="P71" s="661"/>
      <c r="Q71" s="662"/>
      <c r="R71" s="662"/>
      <c r="S71" s="662"/>
      <c r="T71" s="662"/>
      <c r="U71" s="662"/>
      <c r="V71" s="662"/>
      <c r="W71" s="662"/>
      <c r="X71" s="663"/>
      <c r="Y71" s="318"/>
      <c r="Z71" s="426">
        <f>IFERROR(VLOOKUP(D71,#REF!,1,FALSE),0)</f>
        <v>0</v>
      </c>
      <c r="AA71" s="476" t="b">
        <f t="shared" si="14"/>
        <v>0</v>
      </c>
      <c r="AB71" s="128" t="e">
        <f>VLOOKUP($B71,Leveranciersnamen!$D:$E,2,FALSE)</f>
        <v>#N/A</v>
      </c>
      <c r="AC71" s="128" t="str">
        <f>IF($B71&lt;="","Geen waarde",IFERROR(VLOOKUP(CONCATENATE($C$9,$C$10,$B71),Leveranciersnamen!$A:$A,1,FALSE),"fout"))</f>
        <v>Geen waarde</v>
      </c>
      <c r="AD71" s="128" t="str">
        <f t="shared" si="7"/>
        <v/>
      </c>
      <c r="AE71" s="128" t="str">
        <f t="shared" si="11"/>
        <v/>
      </c>
      <c r="AF71" s="128" t="str">
        <f t="shared" si="12"/>
        <v/>
      </c>
      <c r="AG71" s="128" t="str">
        <f>IF(AC71="fout","fout",IF(B71&lt;&gt;"",VLOOKUP(CONCATENATE(C$9,C$10,$B71),Leveranciersnamen!$A:$F,6,FALSE),""))</f>
        <v/>
      </c>
      <c r="AH71" s="128" t="str">
        <f t="shared" si="9"/>
        <v>0,00</v>
      </c>
      <c r="AI71" s="128"/>
      <c r="AJ71" s="128"/>
      <c r="AK71" s="128"/>
      <c r="AL71" s="128"/>
      <c r="AM71" s="394"/>
      <c r="AN71" s="394"/>
      <c r="AO71" s="394"/>
      <c r="AP71" s="394"/>
      <c r="AQ71" s="427">
        <f t="shared" si="15"/>
        <v>0</v>
      </c>
      <c r="AR71" s="427" t="str">
        <f t="shared" si="16"/>
        <v>0,00</v>
      </c>
      <c r="AS71" s="427">
        <f t="shared" si="17"/>
        <v>0</v>
      </c>
      <c r="AT71" s="129" t="str">
        <f t="shared" si="10"/>
        <v/>
      </c>
      <c r="AU71" s="128">
        <v>57</v>
      </c>
      <c r="AV71" s="394"/>
      <c r="AW71" s="394"/>
      <c r="AX71" s="394"/>
      <c r="AY71" s="394"/>
      <c r="AZ71" s="394"/>
      <c r="BA71" s="394"/>
      <c r="BB71" s="394"/>
      <c r="BC71" s="394"/>
      <c r="BD71" s="394"/>
      <c r="BE71" s="394"/>
      <c r="BF71" s="394"/>
      <c r="BG71" s="394"/>
      <c r="BH71" s="394"/>
      <c r="BI71" s="394"/>
      <c r="BJ71" s="394"/>
      <c r="BK71" s="394"/>
      <c r="BL71" s="394"/>
      <c r="BM71" s="394"/>
      <c r="BN71" s="394"/>
      <c r="BO71" s="394"/>
      <c r="BP71" s="394"/>
      <c r="BQ71" s="394"/>
      <c r="BR71" s="394"/>
    </row>
    <row r="72" spans="1:70" ht="25" hidden="1" customHeight="1">
      <c r="A72" s="313">
        <v>58</v>
      </c>
      <c r="B72" s="459"/>
      <c r="C72" s="460"/>
      <c r="D72" s="460"/>
      <c r="E72" s="461"/>
      <c r="F72" s="462"/>
      <c r="G72" s="463"/>
      <c r="H72" s="183" t="str">
        <f t="shared" si="4"/>
        <v/>
      </c>
      <c r="I72" s="470" t="str">
        <f t="shared" si="5"/>
        <v/>
      </c>
      <c r="J72" s="474"/>
      <c r="K72" s="184" t="b">
        <f t="shared" si="6"/>
        <v>0</v>
      </c>
      <c r="L72" s="321">
        <f t="shared" si="0"/>
        <v>0</v>
      </c>
      <c r="M72" s="464"/>
      <c r="N72" s="322">
        <f t="shared" si="8"/>
        <v>0</v>
      </c>
      <c r="O72" s="186" t="str">
        <f t="shared" si="13"/>
        <v/>
      </c>
      <c r="P72" s="661"/>
      <c r="Q72" s="662"/>
      <c r="R72" s="662"/>
      <c r="S72" s="662"/>
      <c r="T72" s="662"/>
      <c r="U72" s="662"/>
      <c r="V72" s="662"/>
      <c r="W72" s="662"/>
      <c r="X72" s="663"/>
      <c r="Y72" s="318"/>
      <c r="Z72" s="426">
        <f>IFERROR(VLOOKUP(D72,#REF!,1,FALSE),0)</f>
        <v>0</v>
      </c>
      <c r="AA72" s="476" t="b">
        <f t="shared" si="14"/>
        <v>0</v>
      </c>
      <c r="AB72" s="128" t="e">
        <f>VLOOKUP($B72,Leveranciersnamen!$D:$E,2,FALSE)</f>
        <v>#N/A</v>
      </c>
      <c r="AC72" s="128" t="str">
        <f>IF($B72&lt;="","Geen waarde",IFERROR(VLOOKUP(CONCATENATE($C$9,$C$10,$B72),Leveranciersnamen!$A:$A,1,FALSE),"fout"))</f>
        <v>Geen waarde</v>
      </c>
      <c r="AD72" s="128" t="str">
        <f t="shared" si="7"/>
        <v/>
      </c>
      <c r="AE72" s="128" t="str">
        <f t="shared" si="11"/>
        <v/>
      </c>
      <c r="AF72" s="128" t="str">
        <f t="shared" si="12"/>
        <v/>
      </c>
      <c r="AG72" s="128" t="str">
        <f>IF(AC72="fout","fout",IF(B72&lt;&gt;"",VLOOKUP(CONCATENATE(C$9,C$10,$B72),Leveranciersnamen!$A:$F,6,FALSE),""))</f>
        <v/>
      </c>
      <c r="AH72" s="128" t="str">
        <f t="shared" si="9"/>
        <v>0,00</v>
      </c>
      <c r="AI72" s="128"/>
      <c r="AJ72" s="128"/>
      <c r="AK72" s="128"/>
      <c r="AL72" s="128"/>
      <c r="AM72" s="394"/>
      <c r="AN72" s="394"/>
      <c r="AO72" s="394"/>
      <c r="AP72" s="394"/>
      <c r="AQ72" s="427">
        <f t="shared" si="15"/>
        <v>0</v>
      </c>
      <c r="AR72" s="427" t="str">
        <f t="shared" si="16"/>
        <v>0,00</v>
      </c>
      <c r="AS72" s="427">
        <f t="shared" si="17"/>
        <v>0</v>
      </c>
      <c r="AT72" s="129" t="str">
        <f t="shared" si="10"/>
        <v/>
      </c>
      <c r="AU72" s="394">
        <v>58</v>
      </c>
      <c r="AV72" s="394"/>
      <c r="AW72" s="394"/>
      <c r="AX72" s="394"/>
      <c r="AY72" s="394"/>
      <c r="AZ72" s="394"/>
      <c r="BA72" s="394"/>
      <c r="BB72" s="394"/>
      <c r="BC72" s="394"/>
      <c r="BD72" s="394"/>
      <c r="BE72" s="394"/>
      <c r="BF72" s="394"/>
      <c r="BG72" s="394"/>
      <c r="BH72" s="394"/>
      <c r="BI72" s="394"/>
      <c r="BJ72" s="394"/>
      <c r="BK72" s="394"/>
      <c r="BL72" s="394"/>
      <c r="BM72" s="394"/>
      <c r="BN72" s="394"/>
      <c r="BO72" s="394"/>
      <c r="BP72" s="394"/>
      <c r="BQ72" s="394"/>
      <c r="BR72" s="394"/>
    </row>
    <row r="73" spans="1:70" ht="25" hidden="1" customHeight="1">
      <c r="A73" s="313">
        <v>59</v>
      </c>
      <c r="B73" s="459"/>
      <c r="C73" s="460"/>
      <c r="D73" s="460"/>
      <c r="E73" s="461"/>
      <c r="F73" s="462"/>
      <c r="G73" s="463"/>
      <c r="H73" s="183" t="str">
        <f t="shared" si="4"/>
        <v/>
      </c>
      <c r="I73" s="470" t="str">
        <f t="shared" si="5"/>
        <v/>
      </c>
      <c r="J73" s="474"/>
      <c r="K73" s="184" t="b">
        <f t="shared" si="6"/>
        <v>0</v>
      </c>
      <c r="L73" s="321">
        <f t="shared" si="0"/>
        <v>0</v>
      </c>
      <c r="M73" s="464"/>
      <c r="N73" s="322">
        <f t="shared" si="8"/>
        <v>0</v>
      </c>
      <c r="O73" s="186" t="str">
        <f t="shared" si="13"/>
        <v/>
      </c>
      <c r="P73" s="661"/>
      <c r="Q73" s="662"/>
      <c r="R73" s="662"/>
      <c r="S73" s="662"/>
      <c r="T73" s="662"/>
      <c r="U73" s="662"/>
      <c r="V73" s="662"/>
      <c r="W73" s="662"/>
      <c r="X73" s="663"/>
      <c r="Y73" s="318"/>
      <c r="Z73" s="426">
        <f>IFERROR(VLOOKUP(D73,#REF!,1,FALSE),0)</f>
        <v>0</v>
      </c>
      <c r="AA73" s="476" t="b">
        <f t="shared" si="14"/>
        <v>0</v>
      </c>
      <c r="AB73" s="128" t="e">
        <f>VLOOKUP($B73,Leveranciersnamen!$D:$E,2,FALSE)</f>
        <v>#N/A</v>
      </c>
      <c r="AC73" s="128" t="str">
        <f>IF($B73&lt;="","Geen waarde",IFERROR(VLOOKUP(CONCATENATE($C$9,$C$10,$B73),Leveranciersnamen!$A:$A,1,FALSE),"fout"))</f>
        <v>Geen waarde</v>
      </c>
      <c r="AD73" s="128" t="str">
        <f t="shared" si="7"/>
        <v/>
      </c>
      <c r="AE73" s="128" t="str">
        <f t="shared" si="11"/>
        <v/>
      </c>
      <c r="AF73" s="128" t="str">
        <f t="shared" si="12"/>
        <v/>
      </c>
      <c r="AG73" s="128" t="str">
        <f>IF(AC73="fout","fout",IF(B73&lt;&gt;"",VLOOKUP(CONCATENATE(C$9,C$10,$B73),Leveranciersnamen!$A:$F,6,FALSE),""))</f>
        <v/>
      </c>
      <c r="AH73" s="128" t="str">
        <f t="shared" si="9"/>
        <v>0,00</v>
      </c>
      <c r="AI73" s="128"/>
      <c r="AJ73" s="128"/>
      <c r="AK73" s="128"/>
      <c r="AL73" s="128"/>
      <c r="AM73" s="394"/>
      <c r="AN73" s="394"/>
      <c r="AO73" s="394"/>
      <c r="AP73" s="394"/>
      <c r="AQ73" s="427">
        <f t="shared" si="15"/>
        <v>0</v>
      </c>
      <c r="AR73" s="427" t="str">
        <f t="shared" si="16"/>
        <v>0,00</v>
      </c>
      <c r="AS73" s="427">
        <f t="shared" si="17"/>
        <v>0</v>
      </c>
      <c r="AT73" s="129" t="str">
        <f t="shared" si="10"/>
        <v/>
      </c>
      <c r="AU73" s="128">
        <v>59</v>
      </c>
      <c r="AV73" s="394"/>
      <c r="AW73" s="394"/>
      <c r="AX73" s="394"/>
      <c r="AY73" s="394"/>
      <c r="AZ73" s="394"/>
      <c r="BA73" s="394"/>
      <c r="BB73" s="394"/>
      <c r="BC73" s="394"/>
      <c r="BD73" s="394"/>
      <c r="BE73" s="394"/>
      <c r="BF73" s="394"/>
      <c r="BG73" s="394"/>
      <c r="BH73" s="394"/>
      <c r="BI73" s="394"/>
      <c r="BJ73" s="394"/>
      <c r="BK73" s="394"/>
      <c r="BL73" s="394"/>
      <c r="BM73" s="394"/>
      <c r="BN73" s="394"/>
      <c r="BO73" s="394"/>
      <c r="BP73" s="394"/>
      <c r="BQ73" s="394"/>
      <c r="BR73" s="394"/>
    </row>
    <row r="74" spans="1:70" ht="25" hidden="1" customHeight="1">
      <c r="A74" s="313">
        <v>60</v>
      </c>
      <c r="B74" s="459"/>
      <c r="C74" s="460"/>
      <c r="D74" s="460"/>
      <c r="E74" s="461"/>
      <c r="F74" s="462"/>
      <c r="G74" s="463"/>
      <c r="H74" s="183" t="str">
        <f t="shared" si="4"/>
        <v/>
      </c>
      <c r="I74" s="470" t="str">
        <f t="shared" si="5"/>
        <v/>
      </c>
      <c r="J74" s="474"/>
      <c r="K74" s="184" t="b">
        <f t="shared" si="6"/>
        <v>0</v>
      </c>
      <c r="L74" s="321">
        <f t="shared" si="0"/>
        <v>0</v>
      </c>
      <c r="M74" s="464"/>
      <c r="N74" s="322">
        <f t="shared" si="8"/>
        <v>0</v>
      </c>
      <c r="O74" s="186" t="str">
        <f t="shared" si="13"/>
        <v/>
      </c>
      <c r="P74" s="661"/>
      <c r="Q74" s="662"/>
      <c r="R74" s="662"/>
      <c r="S74" s="662"/>
      <c r="T74" s="662"/>
      <c r="U74" s="662"/>
      <c r="V74" s="662"/>
      <c r="W74" s="662"/>
      <c r="X74" s="663"/>
      <c r="Y74" s="318"/>
      <c r="Z74" s="426">
        <f>IFERROR(VLOOKUP(D74,#REF!,1,FALSE),0)</f>
        <v>0</v>
      </c>
      <c r="AA74" s="476" t="b">
        <f t="shared" si="14"/>
        <v>0</v>
      </c>
      <c r="AB74" s="128" t="e">
        <f>VLOOKUP($B74,Leveranciersnamen!$D:$E,2,FALSE)</f>
        <v>#N/A</v>
      </c>
      <c r="AC74" s="128" t="str">
        <f>IF($B74&lt;="","Geen waarde",IFERROR(VLOOKUP(CONCATENATE($C$9,$C$10,$B74),Leveranciersnamen!$A:$A,1,FALSE),"fout"))</f>
        <v>Geen waarde</v>
      </c>
      <c r="AD74" s="128" t="str">
        <f t="shared" si="7"/>
        <v/>
      </c>
      <c r="AE74" s="128" t="str">
        <f t="shared" si="11"/>
        <v/>
      </c>
      <c r="AF74" s="128" t="str">
        <f t="shared" si="12"/>
        <v/>
      </c>
      <c r="AG74" s="128" t="str">
        <f>IF(AC74="fout","fout",IF(B74&lt;&gt;"",VLOOKUP(CONCATENATE(C$9,C$10,$B74),Leveranciersnamen!$A:$F,6,FALSE),""))</f>
        <v/>
      </c>
      <c r="AH74" s="128" t="str">
        <f t="shared" si="9"/>
        <v>0,00</v>
      </c>
      <c r="AI74" s="128"/>
      <c r="AJ74" s="128"/>
      <c r="AK74" s="128"/>
      <c r="AL74" s="128"/>
      <c r="AM74" s="394"/>
      <c r="AN74" s="394"/>
      <c r="AO74" s="394"/>
      <c r="AP74" s="394"/>
      <c r="AQ74" s="427">
        <f t="shared" si="15"/>
        <v>0</v>
      </c>
      <c r="AR74" s="427" t="str">
        <f t="shared" si="16"/>
        <v>0,00</v>
      </c>
      <c r="AS74" s="427">
        <f t="shared" si="17"/>
        <v>0</v>
      </c>
      <c r="AT74" s="129" t="str">
        <f t="shared" si="10"/>
        <v/>
      </c>
      <c r="AU74" s="394">
        <v>60</v>
      </c>
      <c r="AV74" s="394"/>
      <c r="AW74" s="394"/>
      <c r="AX74" s="394"/>
      <c r="AY74" s="394"/>
      <c r="AZ74" s="394"/>
      <c r="BA74" s="394"/>
      <c r="BB74" s="394"/>
      <c r="BC74" s="394"/>
      <c r="BD74" s="394"/>
      <c r="BE74" s="394"/>
      <c r="BF74" s="394"/>
      <c r="BG74" s="394"/>
      <c r="BH74" s="394"/>
      <c r="BI74" s="394"/>
      <c r="BJ74" s="394"/>
      <c r="BK74" s="394"/>
      <c r="BL74" s="394"/>
      <c r="BM74" s="394"/>
      <c r="BN74" s="394"/>
      <c r="BO74" s="394"/>
      <c r="BP74" s="394"/>
      <c r="BQ74" s="394"/>
      <c r="BR74" s="394"/>
    </row>
    <row r="75" spans="1:70" ht="25" hidden="1" customHeight="1">
      <c r="A75" s="313">
        <v>61</v>
      </c>
      <c r="B75" s="459"/>
      <c r="C75" s="460"/>
      <c r="D75" s="460"/>
      <c r="E75" s="461"/>
      <c r="F75" s="462"/>
      <c r="G75" s="463"/>
      <c r="H75" s="183" t="str">
        <f t="shared" si="4"/>
        <v/>
      </c>
      <c r="I75" s="470" t="str">
        <f t="shared" si="5"/>
        <v/>
      </c>
      <c r="J75" s="474"/>
      <c r="K75" s="184" t="b">
        <f t="shared" si="6"/>
        <v>0</v>
      </c>
      <c r="L75" s="321">
        <f t="shared" si="0"/>
        <v>0</v>
      </c>
      <c r="M75" s="464"/>
      <c r="N75" s="322">
        <f t="shared" si="8"/>
        <v>0</v>
      </c>
      <c r="O75" s="186" t="str">
        <f t="shared" si="13"/>
        <v/>
      </c>
      <c r="P75" s="661"/>
      <c r="Q75" s="662"/>
      <c r="R75" s="662"/>
      <c r="S75" s="662"/>
      <c r="T75" s="662"/>
      <c r="U75" s="662"/>
      <c r="V75" s="662"/>
      <c r="W75" s="662"/>
      <c r="X75" s="663"/>
      <c r="Y75" s="318"/>
      <c r="Z75" s="426">
        <f>IFERROR(VLOOKUP(D75,#REF!,1,FALSE),0)</f>
        <v>0</v>
      </c>
      <c r="AA75" s="476" t="b">
        <f t="shared" si="14"/>
        <v>0</v>
      </c>
      <c r="AB75" s="128" t="e">
        <f>VLOOKUP($B75,Leveranciersnamen!$D:$E,2,FALSE)</f>
        <v>#N/A</v>
      </c>
      <c r="AC75" s="128" t="str">
        <f>IF($B75&lt;="","Geen waarde",IFERROR(VLOOKUP(CONCATENATE($C$9,$C$10,$B75),Leveranciersnamen!$A:$A,1,FALSE),"fout"))</f>
        <v>Geen waarde</v>
      </c>
      <c r="AD75" s="128" t="str">
        <f t="shared" si="7"/>
        <v/>
      </c>
      <c r="AE75" s="128" t="str">
        <f t="shared" si="11"/>
        <v/>
      </c>
      <c r="AF75" s="128" t="str">
        <f t="shared" si="12"/>
        <v/>
      </c>
      <c r="AG75" s="128" t="str">
        <f>IF(AC75="fout","fout",IF(B75&lt;&gt;"",VLOOKUP(CONCATENATE(C$9,C$10,$B75),Leveranciersnamen!$A:$F,6,FALSE),""))</f>
        <v/>
      </c>
      <c r="AH75" s="128" t="str">
        <f t="shared" si="9"/>
        <v>0,00</v>
      </c>
      <c r="AI75" s="128"/>
      <c r="AJ75" s="128"/>
      <c r="AK75" s="128"/>
      <c r="AL75" s="128"/>
      <c r="AM75" s="394"/>
      <c r="AN75" s="394"/>
      <c r="AO75" s="394"/>
      <c r="AP75" s="394"/>
      <c r="AQ75" s="427">
        <f t="shared" si="15"/>
        <v>0</v>
      </c>
      <c r="AR75" s="427" t="str">
        <f t="shared" si="16"/>
        <v>0,00</v>
      </c>
      <c r="AS75" s="427">
        <f t="shared" si="17"/>
        <v>0</v>
      </c>
      <c r="AT75" s="129" t="str">
        <f t="shared" si="10"/>
        <v/>
      </c>
      <c r="AU75" s="128">
        <v>61</v>
      </c>
      <c r="AV75" s="394"/>
      <c r="AW75" s="394"/>
      <c r="AX75" s="394"/>
      <c r="AY75" s="394"/>
      <c r="AZ75" s="394"/>
      <c r="BA75" s="394"/>
      <c r="BB75" s="394"/>
      <c r="BC75" s="394"/>
      <c r="BD75" s="394"/>
      <c r="BE75" s="394"/>
      <c r="BF75" s="394"/>
      <c r="BG75" s="394"/>
      <c r="BH75" s="394"/>
      <c r="BI75" s="394"/>
      <c r="BJ75" s="394"/>
      <c r="BK75" s="394"/>
      <c r="BL75" s="394"/>
      <c r="BM75" s="394"/>
      <c r="BN75" s="394"/>
      <c r="BO75" s="394"/>
      <c r="BP75" s="394"/>
      <c r="BQ75" s="394"/>
      <c r="BR75" s="394"/>
    </row>
    <row r="76" spans="1:70" ht="25" hidden="1" customHeight="1">
      <c r="A76" s="313">
        <v>62</v>
      </c>
      <c r="B76" s="459"/>
      <c r="C76" s="460"/>
      <c r="D76" s="460"/>
      <c r="E76" s="461"/>
      <c r="F76" s="462"/>
      <c r="G76" s="463"/>
      <c r="H76" s="183" t="str">
        <f t="shared" si="4"/>
        <v/>
      </c>
      <c r="I76" s="470" t="str">
        <f t="shared" si="5"/>
        <v/>
      </c>
      <c r="J76" s="474"/>
      <c r="K76" s="184" t="b">
        <f t="shared" si="6"/>
        <v>0</v>
      </c>
      <c r="L76" s="321">
        <f t="shared" si="0"/>
        <v>0</v>
      </c>
      <c r="M76" s="464"/>
      <c r="N76" s="322">
        <f t="shared" si="8"/>
        <v>0</v>
      </c>
      <c r="O76" s="186" t="str">
        <f t="shared" si="13"/>
        <v/>
      </c>
      <c r="P76" s="661"/>
      <c r="Q76" s="662"/>
      <c r="R76" s="662"/>
      <c r="S76" s="662"/>
      <c r="T76" s="662"/>
      <c r="U76" s="662"/>
      <c r="V76" s="662"/>
      <c r="W76" s="662"/>
      <c r="X76" s="663"/>
      <c r="Y76" s="318"/>
      <c r="Z76" s="426">
        <f>IFERROR(VLOOKUP(D76,#REF!,1,FALSE),0)</f>
        <v>0</v>
      </c>
      <c r="AA76" s="476" t="b">
        <f t="shared" si="14"/>
        <v>0</v>
      </c>
      <c r="AB76" s="128" t="e">
        <f>VLOOKUP($B76,Leveranciersnamen!$D:$E,2,FALSE)</f>
        <v>#N/A</v>
      </c>
      <c r="AC76" s="128" t="str">
        <f>IF($B76&lt;="","Geen waarde",IFERROR(VLOOKUP(CONCATENATE($C$9,$C$10,$B76),Leveranciersnamen!$A:$A,1,FALSE),"fout"))</f>
        <v>Geen waarde</v>
      </c>
      <c r="AD76" s="128" t="str">
        <f t="shared" si="7"/>
        <v/>
      </c>
      <c r="AE76" s="128" t="str">
        <f t="shared" si="11"/>
        <v/>
      </c>
      <c r="AF76" s="128" t="str">
        <f t="shared" si="12"/>
        <v/>
      </c>
      <c r="AG76" s="128" t="str">
        <f>IF(AC76="fout","fout",IF(B76&lt;&gt;"",VLOOKUP(CONCATENATE(C$9,C$10,$B76),Leveranciersnamen!$A:$F,6,FALSE),""))</f>
        <v/>
      </c>
      <c r="AH76" s="128" t="str">
        <f t="shared" si="9"/>
        <v>0,00</v>
      </c>
      <c r="AI76" s="128"/>
      <c r="AJ76" s="128"/>
      <c r="AK76" s="128"/>
      <c r="AL76" s="128"/>
      <c r="AM76" s="394"/>
      <c r="AN76" s="394"/>
      <c r="AO76" s="394"/>
      <c r="AP76" s="394"/>
      <c r="AQ76" s="427">
        <f t="shared" si="15"/>
        <v>0</v>
      </c>
      <c r="AR76" s="427" t="str">
        <f t="shared" si="16"/>
        <v>0,00</v>
      </c>
      <c r="AS76" s="427">
        <f t="shared" si="17"/>
        <v>0</v>
      </c>
      <c r="AT76" s="129" t="str">
        <f t="shared" si="10"/>
        <v/>
      </c>
      <c r="AU76" s="394">
        <v>62</v>
      </c>
      <c r="AV76" s="394"/>
      <c r="AW76" s="394"/>
      <c r="AX76" s="394"/>
      <c r="AY76" s="394"/>
      <c r="AZ76" s="394"/>
      <c r="BA76" s="394"/>
      <c r="BB76" s="394"/>
      <c r="BC76" s="394"/>
      <c r="BD76" s="394"/>
      <c r="BE76" s="394"/>
      <c r="BF76" s="394"/>
      <c r="BG76" s="394"/>
      <c r="BH76" s="394"/>
      <c r="BI76" s="394"/>
      <c r="BJ76" s="394"/>
      <c r="BK76" s="394"/>
      <c r="BL76" s="394"/>
      <c r="BM76" s="394"/>
      <c r="BN76" s="394"/>
      <c r="BO76" s="394"/>
      <c r="BP76" s="394"/>
      <c r="BQ76" s="394"/>
      <c r="BR76" s="394"/>
    </row>
    <row r="77" spans="1:70" ht="25" hidden="1" customHeight="1">
      <c r="A77" s="313">
        <v>63</v>
      </c>
      <c r="B77" s="459"/>
      <c r="C77" s="460"/>
      <c r="D77" s="460"/>
      <c r="E77" s="461"/>
      <c r="F77" s="462"/>
      <c r="G77" s="463"/>
      <c r="H77" s="183" t="str">
        <f t="shared" si="4"/>
        <v/>
      </c>
      <c r="I77" s="470" t="str">
        <f t="shared" si="5"/>
        <v/>
      </c>
      <c r="J77" s="474"/>
      <c r="K77" s="184" t="b">
        <f t="shared" si="6"/>
        <v>0</v>
      </c>
      <c r="L77" s="321">
        <f t="shared" si="0"/>
        <v>0</v>
      </c>
      <c r="M77" s="464"/>
      <c r="N77" s="322">
        <f t="shared" si="8"/>
        <v>0</v>
      </c>
      <c r="O77" s="186" t="str">
        <f t="shared" si="13"/>
        <v/>
      </c>
      <c r="P77" s="661"/>
      <c r="Q77" s="662"/>
      <c r="R77" s="662"/>
      <c r="S77" s="662"/>
      <c r="T77" s="662"/>
      <c r="U77" s="662"/>
      <c r="V77" s="662"/>
      <c r="W77" s="662"/>
      <c r="X77" s="663"/>
      <c r="Y77" s="318"/>
      <c r="Z77" s="426">
        <f>IFERROR(VLOOKUP(D77,#REF!,1,FALSE),0)</f>
        <v>0</v>
      </c>
      <c r="AA77" s="476" t="b">
        <f t="shared" si="14"/>
        <v>0</v>
      </c>
      <c r="AB77" s="128" t="e">
        <f>VLOOKUP($B77,Leveranciersnamen!$D:$E,2,FALSE)</f>
        <v>#N/A</v>
      </c>
      <c r="AC77" s="128" t="str">
        <f>IF($B77&lt;="","Geen waarde",IFERROR(VLOOKUP(CONCATENATE($C$9,$C$10,$B77),Leveranciersnamen!$A:$A,1,FALSE),"fout"))</f>
        <v>Geen waarde</v>
      </c>
      <c r="AD77" s="128" t="str">
        <f t="shared" si="7"/>
        <v/>
      </c>
      <c r="AE77" s="128"/>
      <c r="AF77" s="128"/>
      <c r="AG77" s="128" t="str">
        <f>IF(AC77="fout","fout",IF(B77&lt;&gt;"",VLOOKUP(CONCATENATE(C$9,C$10,$B77),Leveranciersnamen!$A:$F,6,FALSE),""))</f>
        <v/>
      </c>
      <c r="AH77" s="128" t="str">
        <f t="shared" si="9"/>
        <v>0,00</v>
      </c>
      <c r="AI77" s="128"/>
      <c r="AJ77" s="128"/>
      <c r="AK77" s="128"/>
      <c r="AL77" s="128"/>
      <c r="AM77" s="394"/>
      <c r="AN77" s="394"/>
      <c r="AO77" s="394"/>
      <c r="AP77" s="394"/>
      <c r="AQ77" s="427">
        <f t="shared" si="15"/>
        <v>0</v>
      </c>
      <c r="AR77" s="427" t="str">
        <f t="shared" si="16"/>
        <v>0,00</v>
      </c>
      <c r="AS77" s="427">
        <f t="shared" si="17"/>
        <v>0</v>
      </c>
      <c r="AT77" s="129" t="str">
        <f t="shared" si="10"/>
        <v/>
      </c>
      <c r="AU77" s="128">
        <v>63</v>
      </c>
      <c r="AV77" s="394"/>
      <c r="AW77" s="394"/>
      <c r="AX77" s="394"/>
      <c r="AY77" s="394"/>
      <c r="AZ77" s="394"/>
      <c r="BA77" s="394"/>
      <c r="BB77" s="394"/>
      <c r="BC77" s="394"/>
      <c r="BD77" s="394"/>
      <c r="BE77" s="394"/>
      <c r="BF77" s="394"/>
      <c r="BG77" s="394"/>
      <c r="BH77" s="394"/>
      <c r="BI77" s="394"/>
      <c r="BJ77" s="394"/>
      <c r="BK77" s="394"/>
      <c r="BL77" s="394"/>
      <c r="BM77" s="394"/>
      <c r="BN77" s="394"/>
      <c r="BO77" s="394"/>
      <c r="BP77" s="394"/>
      <c r="BQ77" s="394"/>
      <c r="BR77" s="394"/>
    </row>
    <row r="78" spans="1:70" ht="25" hidden="1" customHeight="1">
      <c r="A78" s="313">
        <v>64</v>
      </c>
      <c r="B78" s="459"/>
      <c r="C78" s="460"/>
      <c r="D78" s="460"/>
      <c r="E78" s="461"/>
      <c r="F78" s="462"/>
      <c r="G78" s="463"/>
      <c r="H78" s="183" t="str">
        <f t="shared" si="4"/>
        <v/>
      </c>
      <c r="I78" s="470" t="str">
        <f t="shared" si="5"/>
        <v/>
      </c>
      <c r="J78" s="474"/>
      <c r="K78" s="184" t="b">
        <f t="shared" si="6"/>
        <v>0</v>
      </c>
      <c r="L78" s="321">
        <f t="shared" si="0"/>
        <v>0</v>
      </c>
      <c r="M78" s="464"/>
      <c r="N78" s="322">
        <f t="shared" si="8"/>
        <v>0</v>
      </c>
      <c r="O78" s="186" t="str">
        <f t="shared" si="13"/>
        <v/>
      </c>
      <c r="P78" s="661"/>
      <c r="Q78" s="662"/>
      <c r="R78" s="662"/>
      <c r="S78" s="662"/>
      <c r="T78" s="662"/>
      <c r="U78" s="662"/>
      <c r="V78" s="662"/>
      <c r="W78" s="662"/>
      <c r="X78" s="663"/>
      <c r="Y78" s="318"/>
      <c r="Z78" s="426">
        <f>IFERROR(VLOOKUP(D78,#REF!,1,FALSE),0)</f>
        <v>0</v>
      </c>
      <c r="AA78" s="476" t="b">
        <f t="shared" si="14"/>
        <v>0</v>
      </c>
      <c r="AB78" s="128" t="e">
        <f>VLOOKUP($B78,Leveranciersnamen!$D:$E,2,FALSE)</f>
        <v>#N/A</v>
      </c>
      <c r="AC78" s="128" t="str">
        <f>IF($B78&lt;="","Geen waarde",IFERROR(VLOOKUP(CONCATENATE($C$9,$C$10,$B78),Leveranciersnamen!$A:$A,1,FALSE),"fout"))</f>
        <v>Geen waarde</v>
      </c>
      <c r="AD78" s="128" t="str">
        <f t="shared" si="7"/>
        <v/>
      </c>
      <c r="AE78" s="128"/>
      <c r="AF78" s="128"/>
      <c r="AG78" s="128" t="str">
        <f>IF(AC78="fout","fout",IF(B78&lt;&gt;"",VLOOKUP(CONCATENATE(C$9,C$10,$B78),Leveranciersnamen!$A:$F,6,FALSE),""))</f>
        <v/>
      </c>
      <c r="AH78" s="128" t="str">
        <f t="shared" si="9"/>
        <v>0,00</v>
      </c>
      <c r="AI78" s="128"/>
      <c r="AJ78" s="128"/>
      <c r="AK78" s="128"/>
      <c r="AL78" s="128"/>
      <c r="AM78" s="394"/>
      <c r="AN78" s="394"/>
      <c r="AO78" s="394"/>
      <c r="AP78" s="394"/>
      <c r="AQ78" s="427">
        <f t="shared" si="15"/>
        <v>0</v>
      </c>
      <c r="AR78" s="427" t="str">
        <f t="shared" si="16"/>
        <v>0,00</v>
      </c>
      <c r="AS78" s="427">
        <f t="shared" si="17"/>
        <v>0</v>
      </c>
      <c r="AT78" s="129" t="str">
        <f t="shared" si="10"/>
        <v/>
      </c>
      <c r="AU78" s="394">
        <v>64</v>
      </c>
      <c r="AV78" s="394"/>
      <c r="AW78" s="394"/>
      <c r="AX78" s="394"/>
      <c r="AY78" s="394"/>
      <c r="AZ78" s="394"/>
      <c r="BA78" s="394"/>
      <c r="BB78" s="394"/>
      <c r="BC78" s="394"/>
      <c r="BD78" s="394"/>
      <c r="BE78" s="394"/>
      <c r="BF78" s="394"/>
      <c r="BG78" s="394"/>
      <c r="BH78" s="394"/>
      <c r="BI78" s="394"/>
      <c r="BJ78" s="394"/>
      <c r="BK78" s="394"/>
      <c r="BL78" s="394"/>
      <c r="BM78" s="394"/>
      <c r="BN78" s="394"/>
      <c r="BO78" s="394"/>
      <c r="BP78" s="394"/>
      <c r="BQ78" s="394"/>
      <c r="BR78" s="394"/>
    </row>
    <row r="79" spans="1:70" ht="25" hidden="1" customHeight="1">
      <c r="A79" s="313">
        <v>65</v>
      </c>
      <c r="B79" s="459"/>
      <c r="C79" s="460"/>
      <c r="D79" s="460"/>
      <c r="E79" s="461"/>
      <c r="F79" s="462"/>
      <c r="G79" s="463"/>
      <c r="H79" s="183" t="str">
        <f t="shared" si="4"/>
        <v/>
      </c>
      <c r="I79" s="470" t="str">
        <f t="shared" si="5"/>
        <v/>
      </c>
      <c r="J79" s="474"/>
      <c r="K79" s="184" t="b">
        <f t="shared" si="6"/>
        <v>0</v>
      </c>
      <c r="L79" s="321">
        <f t="shared" si="0"/>
        <v>0</v>
      </c>
      <c r="M79" s="464"/>
      <c r="N79" s="322">
        <f t="shared" si="8"/>
        <v>0</v>
      </c>
      <c r="O79" s="186" t="str">
        <f t="shared" si="13"/>
        <v/>
      </c>
      <c r="P79" s="661"/>
      <c r="Q79" s="662"/>
      <c r="R79" s="662"/>
      <c r="S79" s="662"/>
      <c r="T79" s="662"/>
      <c r="U79" s="662"/>
      <c r="V79" s="662"/>
      <c r="W79" s="662"/>
      <c r="X79" s="663"/>
      <c r="Y79" s="318"/>
      <c r="Z79" s="426">
        <f>IFERROR(VLOOKUP(D79,#REF!,1,FALSE),0)</f>
        <v>0</v>
      </c>
      <c r="AA79" s="476" t="b">
        <f t="shared" si="14"/>
        <v>0</v>
      </c>
      <c r="AB79" s="128" t="e">
        <f>VLOOKUP($B79,Leveranciersnamen!$D:$E,2,FALSE)</f>
        <v>#N/A</v>
      </c>
      <c r="AC79" s="128" t="str">
        <f>IF($B79&lt;="","Geen waarde",IFERROR(VLOOKUP(CONCATENATE($C$9,$C$10,$B79),Leveranciersnamen!$A:$A,1,FALSE),"fout"))</f>
        <v>Geen waarde</v>
      </c>
      <c r="AD79" s="128" t="str">
        <f t="shared" si="7"/>
        <v/>
      </c>
      <c r="AE79" s="128"/>
      <c r="AF79" s="128"/>
      <c r="AG79" s="128" t="str">
        <f>IF(AC79="fout","fout",IF(B79&lt;&gt;"",VLOOKUP(CONCATENATE(C$9,C$10,$B79),Leveranciersnamen!$A:$F,6,FALSE),""))</f>
        <v/>
      </c>
      <c r="AH79" s="128" t="str">
        <f t="shared" si="9"/>
        <v>0,00</v>
      </c>
      <c r="AI79" s="128"/>
      <c r="AJ79" s="128"/>
      <c r="AK79" s="128"/>
      <c r="AL79" s="128"/>
      <c r="AM79" s="394"/>
      <c r="AN79" s="394"/>
      <c r="AO79" s="394"/>
      <c r="AP79" s="394"/>
      <c r="AQ79" s="427">
        <f t="shared" ref="AQ79:AQ102" si="18">B79</f>
        <v>0</v>
      </c>
      <c r="AR79" s="427" t="str">
        <f t="shared" ref="AR79:AR102" si="19">AH79</f>
        <v>0,00</v>
      </c>
      <c r="AS79" s="427">
        <f t="shared" ref="AS79:AS102" si="20">N79</f>
        <v>0</v>
      </c>
      <c r="AT79" s="129" t="str">
        <f t="shared" si="10"/>
        <v/>
      </c>
      <c r="AU79" s="128">
        <v>65</v>
      </c>
      <c r="AV79" s="394"/>
      <c r="AW79" s="394"/>
      <c r="AX79" s="394"/>
      <c r="AY79" s="394"/>
      <c r="AZ79" s="394"/>
      <c r="BA79" s="394"/>
      <c r="BB79" s="394"/>
      <c r="BC79" s="394"/>
      <c r="BD79" s="394"/>
      <c r="BE79" s="394"/>
      <c r="BF79" s="394"/>
      <c r="BG79" s="394"/>
      <c r="BH79" s="394"/>
      <c r="BI79" s="394"/>
      <c r="BJ79" s="394"/>
      <c r="BK79" s="394"/>
      <c r="BL79" s="394"/>
      <c r="BM79" s="394"/>
      <c r="BN79" s="394"/>
      <c r="BO79" s="394"/>
      <c r="BP79" s="394"/>
      <c r="BQ79" s="394"/>
      <c r="BR79" s="394"/>
    </row>
    <row r="80" spans="1:70" ht="25" hidden="1" customHeight="1">
      <c r="A80" s="313">
        <v>66</v>
      </c>
      <c r="B80" s="459"/>
      <c r="C80" s="460"/>
      <c r="D80" s="460"/>
      <c r="E80" s="461"/>
      <c r="F80" s="462"/>
      <c r="G80" s="463"/>
      <c r="H80" s="183" t="str">
        <f t="shared" si="4"/>
        <v/>
      </c>
      <c r="I80" s="470" t="str">
        <f t="shared" si="5"/>
        <v/>
      </c>
      <c r="J80" s="474"/>
      <c r="K80" s="184" t="b">
        <f t="shared" si="6"/>
        <v>0</v>
      </c>
      <c r="L80" s="321">
        <f t="shared" si="0"/>
        <v>0</v>
      </c>
      <c r="M80" s="464"/>
      <c r="N80" s="322">
        <f t="shared" si="8"/>
        <v>0</v>
      </c>
      <c r="O80" s="186" t="str">
        <f t="shared" si="13"/>
        <v/>
      </c>
      <c r="P80" s="661"/>
      <c r="Q80" s="662"/>
      <c r="R80" s="662"/>
      <c r="S80" s="662"/>
      <c r="T80" s="662"/>
      <c r="U80" s="662"/>
      <c r="V80" s="662"/>
      <c r="W80" s="662"/>
      <c r="X80" s="663"/>
      <c r="Y80" s="318"/>
      <c r="Z80" s="426">
        <f>IFERROR(VLOOKUP(D80,#REF!,1,FALSE),0)</f>
        <v>0</v>
      </c>
      <c r="AA80" s="476" t="b">
        <f t="shared" si="14"/>
        <v>0</v>
      </c>
      <c r="AB80" s="128" t="e">
        <f>VLOOKUP($B80,Leveranciersnamen!$D:$E,2,FALSE)</f>
        <v>#N/A</v>
      </c>
      <c r="AC80" s="128" t="str">
        <f>IF($B80&lt;="","Geen waarde",IFERROR(VLOOKUP(CONCATENATE($C$9,$C$10,$B80),Leveranciersnamen!$A:$A,1,FALSE),"fout"))</f>
        <v>Geen waarde</v>
      </c>
      <c r="AD80" s="128" t="str">
        <f t="shared" ref="AD80:AD102" si="21">IF(O80="exit",COUNTA(B$15:B$102)-COUNTIF(O$15:O$102,"Exit")+1,O80)</f>
        <v/>
      </c>
      <c r="AE80" s="128"/>
      <c r="AF80" s="128"/>
      <c r="AG80" s="128" t="str">
        <f>IF(AC80="fout","fout",IF(B80&lt;&gt;"",VLOOKUP(CONCATENATE(C$9,C$10,$B80),Leveranciersnamen!$A:$F,6,FALSE),""))</f>
        <v/>
      </c>
      <c r="AH80" s="128" t="str">
        <f t="shared" si="9"/>
        <v>0,00</v>
      </c>
      <c r="AI80" s="128"/>
      <c r="AJ80" s="128"/>
      <c r="AK80" s="128"/>
      <c r="AL80" s="128"/>
      <c r="AM80" s="394"/>
      <c r="AN80" s="394"/>
      <c r="AO80" s="394"/>
      <c r="AP80" s="394"/>
      <c r="AQ80" s="427">
        <f t="shared" si="18"/>
        <v>0</v>
      </c>
      <c r="AR80" s="427" t="str">
        <f t="shared" si="19"/>
        <v>0,00</v>
      </c>
      <c r="AS80" s="427">
        <f t="shared" si="20"/>
        <v>0</v>
      </c>
      <c r="AT80" s="129" t="str">
        <f t="shared" si="10"/>
        <v/>
      </c>
      <c r="AU80" s="394">
        <v>66</v>
      </c>
      <c r="AV80" s="394"/>
      <c r="AW80" s="394"/>
      <c r="AX80" s="394"/>
      <c r="AY80" s="394"/>
      <c r="AZ80" s="394"/>
      <c r="BA80" s="394"/>
      <c r="BB80" s="394"/>
      <c r="BC80" s="394"/>
      <c r="BD80" s="394"/>
      <c r="BE80" s="394"/>
      <c r="BF80" s="394"/>
      <c r="BG80" s="394"/>
      <c r="BH80" s="394"/>
      <c r="BI80" s="394"/>
      <c r="BJ80" s="394"/>
      <c r="BK80" s="394"/>
      <c r="BL80" s="394"/>
      <c r="BM80" s="394"/>
      <c r="BN80" s="394"/>
      <c r="BO80" s="394"/>
      <c r="BP80" s="394"/>
      <c r="BQ80" s="394"/>
      <c r="BR80" s="394"/>
    </row>
    <row r="81" spans="1:70" ht="25" hidden="1" customHeight="1">
      <c r="A81" s="313">
        <v>67</v>
      </c>
      <c r="B81" s="459"/>
      <c r="C81" s="460"/>
      <c r="D81" s="460"/>
      <c r="E81" s="461"/>
      <c r="F81" s="462"/>
      <c r="G81" s="463"/>
      <c r="H81" s="183" t="str">
        <f t="shared" si="4"/>
        <v/>
      </c>
      <c r="I81" s="470" t="str">
        <f t="shared" si="5"/>
        <v/>
      </c>
      <c r="J81" s="474"/>
      <c r="K81" s="184" t="b">
        <f t="shared" si="6"/>
        <v>0</v>
      </c>
      <c r="L81" s="321">
        <f t="shared" si="0"/>
        <v>0</v>
      </c>
      <c r="M81" s="464"/>
      <c r="N81" s="322">
        <f t="shared" si="8"/>
        <v>0</v>
      </c>
      <c r="O81" s="186" t="str">
        <f t="shared" si="13"/>
        <v/>
      </c>
      <c r="P81" s="661"/>
      <c r="Q81" s="662"/>
      <c r="R81" s="662"/>
      <c r="S81" s="662"/>
      <c r="T81" s="662"/>
      <c r="U81" s="662"/>
      <c r="V81" s="662"/>
      <c r="W81" s="662"/>
      <c r="X81" s="663"/>
      <c r="Y81" s="318"/>
      <c r="Z81" s="426">
        <f>IFERROR(VLOOKUP(D81,#REF!,1,FALSE),0)</f>
        <v>0</v>
      </c>
      <c r="AA81" s="476" t="b">
        <f t="shared" si="14"/>
        <v>0</v>
      </c>
      <c r="AB81" s="128" t="e">
        <f>VLOOKUP($B81,Leveranciersnamen!$D:$E,2,FALSE)</f>
        <v>#N/A</v>
      </c>
      <c r="AC81" s="128" t="str">
        <f>IF($B81&lt;="","Geen waarde",IFERROR(VLOOKUP(CONCATENATE($C$9,$C$10,$B81),Leveranciersnamen!$A:$A,1,FALSE),"fout"))</f>
        <v>Geen waarde</v>
      </c>
      <c r="AD81" s="128" t="str">
        <f t="shared" si="21"/>
        <v/>
      </c>
      <c r="AE81" s="128"/>
      <c r="AF81" s="128"/>
      <c r="AG81" s="128" t="str">
        <f>IF(AC81="fout","fout",IF(B81&lt;&gt;"",VLOOKUP(CONCATENATE(C$9,C$10,$B81),Leveranciersnamen!$A:$F,6,FALSE),""))</f>
        <v/>
      </c>
      <c r="AH81" s="128" t="str">
        <f t="shared" ref="AH81:AH102" si="22">IF(N81=0,TEXT(N81,"0,00"),TEXT(N81,"###,00"))</f>
        <v>0,00</v>
      </c>
      <c r="AI81" s="128"/>
      <c r="AJ81" s="128"/>
      <c r="AK81" s="128"/>
      <c r="AL81" s="128"/>
      <c r="AM81" s="394"/>
      <c r="AN81" s="394"/>
      <c r="AO81" s="394"/>
      <c r="AP81" s="394"/>
      <c r="AQ81" s="427">
        <f t="shared" si="18"/>
        <v>0</v>
      </c>
      <c r="AR81" s="427" t="str">
        <f t="shared" si="19"/>
        <v>0,00</v>
      </c>
      <c r="AS81" s="427">
        <f t="shared" si="20"/>
        <v>0</v>
      </c>
      <c r="AT81" s="129" t="str">
        <f t="shared" ref="AT81:AT101" si="23">IF(AU81&lt;=$T$10,IF(AS81=0,"",AT80&amp;CHAR(10)&amp;AQ81&amp;" met "&amp;AR81&amp;" punten"&amp;IF($AU81=$T$10,".",IF(AND($AU81&lt;$T$10,AS82=0),".",","))),"")</f>
        <v/>
      </c>
      <c r="AU81" s="128">
        <v>67</v>
      </c>
      <c r="AV81" s="394"/>
      <c r="AW81" s="394"/>
      <c r="AX81" s="394"/>
      <c r="AY81" s="394"/>
      <c r="AZ81" s="394"/>
      <c r="BA81" s="394"/>
      <c r="BB81" s="394"/>
      <c r="BC81" s="394"/>
      <c r="BD81" s="394"/>
      <c r="BE81" s="394"/>
      <c r="BF81" s="394"/>
      <c r="BG81" s="394"/>
      <c r="BH81" s="394"/>
      <c r="BI81" s="394"/>
      <c r="BJ81" s="394"/>
      <c r="BK81" s="394"/>
      <c r="BL81" s="394"/>
      <c r="BM81" s="394"/>
      <c r="BN81" s="394"/>
      <c r="BO81" s="394"/>
      <c r="BP81" s="394"/>
      <c r="BQ81" s="394"/>
      <c r="BR81" s="394"/>
    </row>
    <row r="82" spans="1:70" ht="25" hidden="1" customHeight="1">
      <c r="A82" s="313">
        <v>68</v>
      </c>
      <c r="B82" s="459"/>
      <c r="C82" s="460"/>
      <c r="D82" s="460"/>
      <c r="E82" s="461"/>
      <c r="F82" s="462"/>
      <c r="G82" s="463"/>
      <c r="H82" s="183" t="str">
        <f t="shared" si="4"/>
        <v/>
      </c>
      <c r="I82" s="470" t="str">
        <f t="shared" si="5"/>
        <v/>
      </c>
      <c r="J82" s="474"/>
      <c r="K82" s="184" t="b">
        <f t="shared" si="6"/>
        <v>0</v>
      </c>
      <c r="L82" s="321">
        <f t="shared" si="0"/>
        <v>0</v>
      </c>
      <c r="M82" s="464"/>
      <c r="N82" s="322">
        <f t="shared" si="8"/>
        <v>0</v>
      </c>
      <c r="O82" s="186" t="str">
        <f t="shared" si="13"/>
        <v/>
      </c>
      <c r="P82" s="661"/>
      <c r="Q82" s="662"/>
      <c r="R82" s="662"/>
      <c r="S82" s="662"/>
      <c r="T82" s="662"/>
      <c r="U82" s="662"/>
      <c r="V82" s="662"/>
      <c r="W82" s="662"/>
      <c r="X82" s="663"/>
      <c r="Y82" s="318"/>
      <c r="Z82" s="426">
        <f>IFERROR(VLOOKUP(D82,#REF!,1,FALSE),0)</f>
        <v>0</v>
      </c>
      <c r="AA82" s="476" t="b">
        <f t="shared" si="14"/>
        <v>0</v>
      </c>
      <c r="AB82" s="128" t="e">
        <f>VLOOKUP($B82,Leveranciersnamen!$D:$E,2,FALSE)</f>
        <v>#N/A</v>
      </c>
      <c r="AC82" s="128" t="str">
        <f>IF($B82&lt;="","Geen waarde",IFERROR(VLOOKUP(CONCATENATE($C$9,$C$10,$B82),Leveranciersnamen!$A:$A,1,FALSE),"fout"))</f>
        <v>Geen waarde</v>
      </c>
      <c r="AD82" s="128" t="str">
        <f t="shared" si="21"/>
        <v/>
      </c>
      <c r="AE82" s="128"/>
      <c r="AF82" s="128"/>
      <c r="AG82" s="128" t="str">
        <f>IF(AC82="fout","fout",IF(B82&lt;&gt;"",VLOOKUP(CONCATENATE(C$9,C$10,$B82),Leveranciersnamen!$A:$F,6,FALSE),""))</f>
        <v/>
      </c>
      <c r="AH82" s="128" t="str">
        <f t="shared" si="22"/>
        <v>0,00</v>
      </c>
      <c r="AI82" s="128"/>
      <c r="AJ82" s="128"/>
      <c r="AK82" s="128"/>
      <c r="AL82" s="128"/>
      <c r="AM82" s="394"/>
      <c r="AN82" s="394"/>
      <c r="AO82" s="394"/>
      <c r="AP82" s="394"/>
      <c r="AQ82" s="427">
        <f t="shared" si="18"/>
        <v>0</v>
      </c>
      <c r="AR82" s="427" t="str">
        <f t="shared" si="19"/>
        <v>0,00</v>
      </c>
      <c r="AS82" s="427">
        <f t="shared" si="20"/>
        <v>0</v>
      </c>
      <c r="AT82" s="129" t="str">
        <f t="shared" si="23"/>
        <v/>
      </c>
      <c r="AU82" s="394">
        <v>68</v>
      </c>
      <c r="AV82" s="394"/>
      <c r="AW82" s="394"/>
      <c r="AX82" s="394"/>
      <c r="AY82" s="394"/>
      <c r="AZ82" s="394"/>
      <c r="BA82" s="394"/>
      <c r="BB82" s="394"/>
      <c r="BC82" s="394"/>
      <c r="BD82" s="394"/>
      <c r="BE82" s="394"/>
      <c r="BF82" s="394"/>
      <c r="BG82" s="394"/>
      <c r="BH82" s="394"/>
      <c r="BI82" s="394"/>
      <c r="BJ82" s="394"/>
      <c r="BK82" s="394"/>
      <c r="BL82" s="394"/>
      <c r="BM82" s="394"/>
      <c r="BN82" s="394"/>
      <c r="BO82" s="394"/>
      <c r="BP82" s="394"/>
      <c r="BQ82" s="394"/>
      <c r="BR82" s="394"/>
    </row>
    <row r="83" spans="1:70" ht="25" hidden="1" customHeight="1">
      <c r="A83" s="313">
        <v>69</v>
      </c>
      <c r="B83" s="459"/>
      <c r="C83" s="460"/>
      <c r="D83" s="460"/>
      <c r="E83" s="461"/>
      <c r="F83" s="462"/>
      <c r="G83" s="463"/>
      <c r="H83" s="183" t="str">
        <f t="shared" si="4"/>
        <v/>
      </c>
      <c r="I83" s="470" t="str">
        <f t="shared" si="5"/>
        <v/>
      </c>
      <c r="J83" s="474"/>
      <c r="K83" s="184" t="b">
        <f t="shared" si="6"/>
        <v>0</v>
      </c>
      <c r="L83" s="321">
        <f t="shared" si="0"/>
        <v>0</v>
      </c>
      <c r="M83" s="464"/>
      <c r="N83" s="322">
        <f t="shared" si="8"/>
        <v>0</v>
      </c>
      <c r="O83" s="186" t="str">
        <f t="shared" si="13"/>
        <v/>
      </c>
      <c r="P83" s="661"/>
      <c r="Q83" s="662"/>
      <c r="R83" s="662"/>
      <c r="S83" s="662"/>
      <c r="T83" s="662"/>
      <c r="U83" s="662"/>
      <c r="V83" s="662"/>
      <c r="W83" s="662"/>
      <c r="X83" s="663"/>
      <c r="Y83" s="318"/>
      <c r="Z83" s="426">
        <f>IFERROR(VLOOKUP(D83,#REF!,1,FALSE),0)</f>
        <v>0</v>
      </c>
      <c r="AA83" s="476" t="b">
        <f t="shared" si="14"/>
        <v>0</v>
      </c>
      <c r="AB83" s="128" t="e">
        <f>VLOOKUP($B83,Leveranciersnamen!$D:$E,2,FALSE)</f>
        <v>#N/A</v>
      </c>
      <c r="AC83" s="128" t="str">
        <f>IF($B83&lt;="","Geen waarde",IFERROR(VLOOKUP(CONCATENATE($C$9,$C$10,$B83),Leveranciersnamen!$A:$A,1,FALSE),"fout"))</f>
        <v>Geen waarde</v>
      </c>
      <c r="AD83" s="128" t="str">
        <f t="shared" si="21"/>
        <v/>
      </c>
      <c r="AE83" s="128"/>
      <c r="AF83" s="128"/>
      <c r="AG83" s="128" t="str">
        <f>IF(AC83="fout","fout",IF(B83&lt;&gt;"",VLOOKUP(CONCATENATE(C$9,C$10,$B83),Leveranciersnamen!$A:$F,6,FALSE),""))</f>
        <v/>
      </c>
      <c r="AH83" s="128" t="str">
        <f t="shared" si="22"/>
        <v>0,00</v>
      </c>
      <c r="AI83" s="128"/>
      <c r="AJ83" s="128"/>
      <c r="AK83" s="128"/>
      <c r="AL83" s="128"/>
      <c r="AM83" s="394"/>
      <c r="AN83" s="394"/>
      <c r="AO83" s="394"/>
      <c r="AP83" s="394"/>
      <c r="AQ83" s="427">
        <f t="shared" si="18"/>
        <v>0</v>
      </c>
      <c r="AR83" s="427" t="str">
        <f t="shared" si="19"/>
        <v>0,00</v>
      </c>
      <c r="AS83" s="427">
        <f t="shared" si="20"/>
        <v>0</v>
      </c>
      <c r="AT83" s="129" t="str">
        <f t="shared" si="23"/>
        <v/>
      </c>
      <c r="AU83" s="128">
        <v>69</v>
      </c>
      <c r="AV83" s="394"/>
      <c r="AW83" s="394"/>
      <c r="AX83" s="394"/>
      <c r="AY83" s="394"/>
      <c r="AZ83" s="394"/>
      <c r="BA83" s="394"/>
      <c r="BB83" s="394"/>
      <c r="BC83" s="394"/>
      <c r="BD83" s="394"/>
      <c r="BE83" s="394"/>
      <c r="BF83" s="394"/>
      <c r="BG83" s="394"/>
      <c r="BH83" s="394"/>
      <c r="BI83" s="394"/>
      <c r="BJ83" s="394"/>
      <c r="BK83" s="394"/>
      <c r="BL83" s="394"/>
      <c r="BM83" s="394"/>
      <c r="BN83" s="394"/>
      <c r="BO83" s="394"/>
      <c r="BP83" s="394"/>
      <c r="BQ83" s="394"/>
      <c r="BR83" s="394"/>
    </row>
    <row r="84" spans="1:70" ht="25" hidden="1" customHeight="1">
      <c r="A84" s="313">
        <v>70</v>
      </c>
      <c r="B84" s="459"/>
      <c r="C84" s="460"/>
      <c r="D84" s="460"/>
      <c r="E84" s="461"/>
      <c r="F84" s="462"/>
      <c r="G84" s="463"/>
      <c r="H84" s="183" t="str">
        <f t="shared" si="4"/>
        <v/>
      </c>
      <c r="I84" s="470" t="str">
        <f t="shared" si="5"/>
        <v/>
      </c>
      <c r="J84" s="474"/>
      <c r="K84" s="184" t="b">
        <f t="shared" si="6"/>
        <v>0</v>
      </c>
      <c r="L84" s="321">
        <f t="shared" si="0"/>
        <v>0</v>
      </c>
      <c r="M84" s="464"/>
      <c r="N84" s="322">
        <f t="shared" si="8"/>
        <v>0</v>
      </c>
      <c r="O84" s="186" t="str">
        <f t="shared" si="13"/>
        <v/>
      </c>
      <c r="P84" s="661"/>
      <c r="Q84" s="662"/>
      <c r="R84" s="662"/>
      <c r="S84" s="662"/>
      <c r="T84" s="662"/>
      <c r="U84" s="662"/>
      <c r="V84" s="662"/>
      <c r="W84" s="662"/>
      <c r="X84" s="663"/>
      <c r="Y84" s="318"/>
      <c r="Z84" s="426">
        <f>IFERROR(VLOOKUP(D84,#REF!,1,FALSE),0)</f>
        <v>0</v>
      </c>
      <c r="AA84" s="476" t="b">
        <f t="shared" si="14"/>
        <v>0</v>
      </c>
      <c r="AB84" s="128" t="e">
        <f>VLOOKUP($B84,Leveranciersnamen!$D:$E,2,FALSE)</f>
        <v>#N/A</v>
      </c>
      <c r="AC84" s="128" t="str">
        <f>IF($B84&lt;="","Geen waarde",IFERROR(VLOOKUP(CONCATENATE($C$9,$C$10,$B84),Leveranciersnamen!$A:$A,1,FALSE),"fout"))</f>
        <v>Geen waarde</v>
      </c>
      <c r="AD84" s="128" t="str">
        <f t="shared" si="21"/>
        <v/>
      </c>
      <c r="AE84" s="128"/>
      <c r="AF84" s="128"/>
      <c r="AG84" s="128" t="str">
        <f>IF(AC84="fout","fout",IF(B84&lt;&gt;"",VLOOKUP(CONCATENATE(C$9,C$10,$B84),Leveranciersnamen!$A:$F,6,FALSE),""))</f>
        <v/>
      </c>
      <c r="AH84" s="128" t="str">
        <f t="shared" si="22"/>
        <v>0,00</v>
      </c>
      <c r="AI84" s="128"/>
      <c r="AJ84" s="128"/>
      <c r="AK84" s="128"/>
      <c r="AL84" s="128"/>
      <c r="AM84" s="394"/>
      <c r="AN84" s="394"/>
      <c r="AO84" s="394"/>
      <c r="AP84" s="394"/>
      <c r="AQ84" s="427">
        <f t="shared" si="18"/>
        <v>0</v>
      </c>
      <c r="AR84" s="427" t="str">
        <f t="shared" si="19"/>
        <v>0,00</v>
      </c>
      <c r="AS84" s="427">
        <f t="shared" si="20"/>
        <v>0</v>
      </c>
      <c r="AT84" s="129" t="str">
        <f t="shared" si="23"/>
        <v/>
      </c>
      <c r="AU84" s="394">
        <v>70</v>
      </c>
      <c r="AV84" s="394"/>
      <c r="AW84" s="394"/>
      <c r="AX84" s="394"/>
      <c r="AY84" s="394"/>
      <c r="AZ84" s="394"/>
      <c r="BA84" s="394"/>
      <c r="BB84" s="394"/>
      <c r="BC84" s="394"/>
      <c r="BD84" s="394"/>
      <c r="BE84" s="394"/>
      <c r="BF84" s="394"/>
      <c r="BG84" s="394"/>
      <c r="BH84" s="394"/>
      <c r="BI84" s="394"/>
      <c r="BJ84" s="394"/>
      <c r="BK84" s="394"/>
      <c r="BL84" s="394"/>
      <c r="BM84" s="394"/>
      <c r="BN84" s="394"/>
      <c r="BO84" s="394"/>
      <c r="BP84" s="394"/>
      <c r="BQ84" s="394"/>
      <c r="BR84" s="394"/>
    </row>
    <row r="85" spans="1:70" ht="25" hidden="1" customHeight="1">
      <c r="A85" s="313">
        <v>71</v>
      </c>
      <c r="B85" s="459"/>
      <c r="C85" s="460"/>
      <c r="D85" s="460"/>
      <c r="E85" s="461"/>
      <c r="F85" s="462"/>
      <c r="G85" s="463"/>
      <c r="H85" s="183" t="str">
        <f t="shared" si="4"/>
        <v/>
      </c>
      <c r="I85" s="470" t="str">
        <f t="shared" si="5"/>
        <v/>
      </c>
      <c r="J85" s="474"/>
      <c r="K85" s="184" t="b">
        <f t="shared" si="6"/>
        <v>0</v>
      </c>
      <c r="L85" s="321">
        <f t="shared" si="0"/>
        <v>0</v>
      </c>
      <c r="M85" s="464"/>
      <c r="N85" s="322">
        <f t="shared" si="8"/>
        <v>0</v>
      </c>
      <c r="O85" s="186" t="str">
        <f t="shared" si="13"/>
        <v/>
      </c>
      <c r="P85" s="661"/>
      <c r="Q85" s="662"/>
      <c r="R85" s="662"/>
      <c r="S85" s="662"/>
      <c r="T85" s="662"/>
      <c r="U85" s="662"/>
      <c r="V85" s="662"/>
      <c r="W85" s="662"/>
      <c r="X85" s="663"/>
      <c r="Y85" s="318"/>
      <c r="Z85" s="426">
        <f>IFERROR(VLOOKUP(D85,#REF!,1,FALSE),0)</f>
        <v>0</v>
      </c>
      <c r="AA85" s="476" t="b">
        <f t="shared" si="14"/>
        <v>0</v>
      </c>
      <c r="AB85" s="128" t="e">
        <f>VLOOKUP($B85,Leveranciersnamen!$D:$E,2,FALSE)</f>
        <v>#N/A</v>
      </c>
      <c r="AC85" s="128" t="str">
        <f>IF($B85&lt;="","Geen waarde",IFERROR(VLOOKUP(CONCATENATE($C$9,$C$10,$B85),Leveranciersnamen!$A:$A,1,FALSE),"fout"))</f>
        <v>Geen waarde</v>
      </c>
      <c r="AD85" s="128" t="str">
        <f t="shared" si="21"/>
        <v/>
      </c>
      <c r="AE85" s="128"/>
      <c r="AF85" s="128"/>
      <c r="AG85" s="128" t="str">
        <f>IF(AC85="fout","fout",IF(B85&lt;&gt;"",VLOOKUP(CONCATENATE(C$9,C$10,$B85),Leveranciersnamen!$A:$F,6,FALSE),""))</f>
        <v/>
      </c>
      <c r="AH85" s="128" t="str">
        <f t="shared" si="22"/>
        <v>0,00</v>
      </c>
      <c r="AI85" s="128"/>
      <c r="AJ85" s="128"/>
      <c r="AK85" s="128"/>
      <c r="AL85" s="128"/>
      <c r="AM85" s="394"/>
      <c r="AN85" s="394"/>
      <c r="AO85" s="394"/>
      <c r="AP85" s="394"/>
      <c r="AQ85" s="427">
        <f t="shared" si="18"/>
        <v>0</v>
      </c>
      <c r="AR85" s="427" t="str">
        <f t="shared" si="19"/>
        <v>0,00</v>
      </c>
      <c r="AS85" s="427">
        <f t="shared" si="20"/>
        <v>0</v>
      </c>
      <c r="AT85" s="129" t="str">
        <f t="shared" si="23"/>
        <v/>
      </c>
      <c r="AU85" s="128">
        <v>71</v>
      </c>
      <c r="AV85" s="394"/>
      <c r="AW85" s="394"/>
      <c r="AX85" s="394"/>
      <c r="AY85" s="394"/>
      <c r="AZ85" s="394"/>
      <c r="BA85" s="394"/>
      <c r="BB85" s="394"/>
      <c r="BC85" s="394"/>
      <c r="BD85" s="394"/>
      <c r="BE85" s="394"/>
      <c r="BF85" s="394"/>
      <c r="BG85" s="394"/>
      <c r="BH85" s="394"/>
      <c r="BI85" s="394"/>
      <c r="BJ85" s="394"/>
      <c r="BK85" s="394"/>
      <c r="BL85" s="394"/>
      <c r="BM85" s="394"/>
      <c r="BN85" s="394"/>
      <c r="BO85" s="394"/>
      <c r="BP85" s="394"/>
      <c r="BQ85" s="394"/>
      <c r="BR85" s="394"/>
    </row>
    <row r="86" spans="1:70" ht="25" hidden="1" customHeight="1">
      <c r="A86" s="313">
        <v>72</v>
      </c>
      <c r="B86" s="459"/>
      <c r="C86" s="460"/>
      <c r="D86" s="460"/>
      <c r="E86" s="461"/>
      <c r="F86" s="462"/>
      <c r="G86" s="463"/>
      <c r="H86" s="183" t="str">
        <f t="shared" si="4"/>
        <v/>
      </c>
      <c r="I86" s="470" t="str">
        <f t="shared" si="5"/>
        <v/>
      </c>
      <c r="J86" s="474"/>
      <c r="K86" s="184" t="b">
        <f t="shared" si="6"/>
        <v>0</v>
      </c>
      <c r="L86" s="321">
        <f t="shared" si="0"/>
        <v>0</v>
      </c>
      <c r="M86" s="464"/>
      <c r="N86" s="322">
        <f t="shared" si="8"/>
        <v>0</v>
      </c>
      <c r="O86" s="186" t="str">
        <f t="shared" si="13"/>
        <v/>
      </c>
      <c r="P86" s="661"/>
      <c r="Q86" s="662"/>
      <c r="R86" s="662"/>
      <c r="S86" s="662"/>
      <c r="T86" s="662"/>
      <c r="U86" s="662"/>
      <c r="V86" s="662"/>
      <c r="W86" s="662"/>
      <c r="X86" s="663"/>
      <c r="Y86" s="318"/>
      <c r="Z86" s="426">
        <f>IFERROR(VLOOKUP(D86,#REF!,1,FALSE),0)</f>
        <v>0</v>
      </c>
      <c r="AA86" s="476" t="b">
        <f t="shared" si="14"/>
        <v>0</v>
      </c>
      <c r="AB86" s="128" t="e">
        <f>VLOOKUP($B86,Leveranciersnamen!$D:$E,2,FALSE)</f>
        <v>#N/A</v>
      </c>
      <c r="AC86" s="128" t="str">
        <f>IF($B86&lt;="","Geen waarde",IFERROR(VLOOKUP(CONCATENATE($C$9,$C$10,$B86),Leveranciersnamen!$A:$A,1,FALSE),"fout"))</f>
        <v>Geen waarde</v>
      </c>
      <c r="AD86" s="128" t="str">
        <f t="shared" si="21"/>
        <v/>
      </c>
      <c r="AE86" s="128"/>
      <c r="AF86" s="128"/>
      <c r="AG86" s="128" t="str">
        <f>IF(AC86="fout","fout",IF(B86&lt;&gt;"",VLOOKUP(CONCATENATE(C$9,C$10,$B86),Leveranciersnamen!$A:$F,6,FALSE),""))</f>
        <v/>
      </c>
      <c r="AH86" s="128" t="str">
        <f t="shared" si="22"/>
        <v>0,00</v>
      </c>
      <c r="AI86" s="128"/>
      <c r="AJ86" s="128"/>
      <c r="AK86" s="128"/>
      <c r="AL86" s="128"/>
      <c r="AM86" s="394"/>
      <c r="AN86" s="394"/>
      <c r="AO86" s="394"/>
      <c r="AP86" s="394"/>
      <c r="AQ86" s="427">
        <f t="shared" si="18"/>
        <v>0</v>
      </c>
      <c r="AR86" s="427" t="str">
        <f t="shared" si="19"/>
        <v>0,00</v>
      </c>
      <c r="AS86" s="427">
        <f t="shared" si="20"/>
        <v>0</v>
      </c>
      <c r="AT86" s="129" t="str">
        <f t="shared" si="23"/>
        <v/>
      </c>
      <c r="AU86" s="394">
        <v>72</v>
      </c>
      <c r="AV86" s="394"/>
      <c r="AW86" s="394"/>
      <c r="AX86" s="394"/>
      <c r="AY86" s="394"/>
      <c r="AZ86" s="394"/>
      <c r="BA86" s="394"/>
      <c r="BB86" s="394"/>
      <c r="BC86" s="394"/>
      <c r="BD86" s="394"/>
      <c r="BE86" s="394"/>
      <c r="BF86" s="394"/>
      <c r="BG86" s="394"/>
      <c r="BH86" s="394"/>
      <c r="BI86" s="394"/>
      <c r="BJ86" s="394"/>
      <c r="BK86" s="394"/>
      <c r="BL86" s="394"/>
      <c r="BM86" s="394"/>
      <c r="BN86" s="394"/>
      <c r="BO86" s="394"/>
      <c r="BP86" s="394"/>
      <c r="BQ86" s="394"/>
      <c r="BR86" s="394"/>
    </row>
    <row r="87" spans="1:70" ht="25" hidden="1" customHeight="1">
      <c r="A87" s="313">
        <v>73</v>
      </c>
      <c r="B87" s="459"/>
      <c r="C87" s="460"/>
      <c r="D87" s="460"/>
      <c r="E87" s="461"/>
      <c r="F87" s="462"/>
      <c r="G87" s="463"/>
      <c r="H87" s="183" t="str">
        <f t="shared" si="4"/>
        <v/>
      </c>
      <c r="I87" s="470" t="str">
        <f t="shared" si="5"/>
        <v/>
      </c>
      <c r="J87" s="474"/>
      <c r="K87" s="184" t="b">
        <f t="shared" si="6"/>
        <v>0</v>
      </c>
      <c r="L87" s="321">
        <f t="shared" si="0"/>
        <v>0</v>
      </c>
      <c r="M87" s="464"/>
      <c r="N87" s="322">
        <f t="shared" si="8"/>
        <v>0</v>
      </c>
      <c r="O87" s="186" t="str">
        <f t="shared" si="13"/>
        <v/>
      </c>
      <c r="P87" s="661"/>
      <c r="Q87" s="662"/>
      <c r="R87" s="662"/>
      <c r="S87" s="662"/>
      <c r="T87" s="662"/>
      <c r="U87" s="662"/>
      <c r="V87" s="662"/>
      <c r="W87" s="662"/>
      <c r="X87" s="663"/>
      <c r="Y87" s="318"/>
      <c r="Z87" s="426">
        <f>IFERROR(VLOOKUP(D87,#REF!,1,FALSE),0)</f>
        <v>0</v>
      </c>
      <c r="AA87" s="476" t="b">
        <f t="shared" si="14"/>
        <v>0</v>
      </c>
      <c r="AB87" s="128" t="e">
        <f>VLOOKUP($B87,Leveranciersnamen!$D:$E,2,FALSE)</f>
        <v>#N/A</v>
      </c>
      <c r="AC87" s="128" t="str">
        <f>IF($B87&lt;="","Geen waarde",IFERROR(VLOOKUP(CONCATENATE($C$9,$C$10,$B87),Leveranciersnamen!$A:$A,1,FALSE),"fout"))</f>
        <v>Geen waarde</v>
      </c>
      <c r="AD87" s="128" t="str">
        <f t="shared" si="21"/>
        <v/>
      </c>
      <c r="AE87" s="128"/>
      <c r="AF87" s="128"/>
      <c r="AG87" s="128" t="str">
        <f>IF(AC87="fout","fout",IF(B87&lt;&gt;"",VLOOKUP(CONCATENATE(C$9,C$10,$B87),Leveranciersnamen!$A:$F,6,FALSE),""))</f>
        <v/>
      </c>
      <c r="AH87" s="128" t="str">
        <f t="shared" si="22"/>
        <v>0,00</v>
      </c>
      <c r="AI87" s="128"/>
      <c r="AJ87" s="128"/>
      <c r="AK87" s="128"/>
      <c r="AL87" s="128"/>
      <c r="AM87" s="394"/>
      <c r="AN87" s="394"/>
      <c r="AO87" s="394"/>
      <c r="AP87" s="394"/>
      <c r="AQ87" s="427">
        <f t="shared" si="18"/>
        <v>0</v>
      </c>
      <c r="AR87" s="427" t="str">
        <f t="shared" si="19"/>
        <v>0,00</v>
      </c>
      <c r="AS87" s="427">
        <f t="shared" si="20"/>
        <v>0</v>
      </c>
      <c r="AT87" s="129" t="str">
        <f t="shared" si="23"/>
        <v/>
      </c>
      <c r="AU87" s="128">
        <v>73</v>
      </c>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row>
    <row r="88" spans="1:70" ht="25" hidden="1" customHeight="1">
      <c r="A88" s="313">
        <v>74</v>
      </c>
      <c r="B88" s="459"/>
      <c r="C88" s="460"/>
      <c r="D88" s="460"/>
      <c r="E88" s="461"/>
      <c r="F88" s="462"/>
      <c r="G88" s="463"/>
      <c r="H88" s="183" t="str">
        <f t="shared" si="4"/>
        <v/>
      </c>
      <c r="I88" s="470" t="str">
        <f t="shared" si="5"/>
        <v/>
      </c>
      <c r="J88" s="474"/>
      <c r="K88" s="184" t="b">
        <f t="shared" si="6"/>
        <v>0</v>
      </c>
      <c r="L88" s="321">
        <f t="shared" si="0"/>
        <v>0</v>
      </c>
      <c r="M88" s="464"/>
      <c r="N88" s="322">
        <f t="shared" si="8"/>
        <v>0</v>
      </c>
      <c r="O88" s="186" t="str">
        <f t="shared" si="13"/>
        <v/>
      </c>
      <c r="P88" s="661"/>
      <c r="Q88" s="662"/>
      <c r="R88" s="662"/>
      <c r="S88" s="662"/>
      <c r="T88" s="662"/>
      <c r="U88" s="662"/>
      <c r="V88" s="662"/>
      <c r="W88" s="662"/>
      <c r="X88" s="663"/>
      <c r="Y88" s="318"/>
      <c r="Z88" s="426">
        <f>IFERROR(VLOOKUP(D88,#REF!,1,FALSE),0)</f>
        <v>0</v>
      </c>
      <c r="AA88" s="476" t="b">
        <f t="shared" si="14"/>
        <v>0</v>
      </c>
      <c r="AB88" s="128" t="e">
        <f>VLOOKUP($B88,Leveranciersnamen!$D:$E,2,FALSE)</f>
        <v>#N/A</v>
      </c>
      <c r="AC88" s="128" t="str">
        <f>IF($B88&lt;="","Geen waarde",IFERROR(VLOOKUP(CONCATENATE($C$9,$C$10,$B88),Leveranciersnamen!$A:$A,1,FALSE),"fout"))</f>
        <v>Geen waarde</v>
      </c>
      <c r="AD88" s="128" t="str">
        <f t="shared" si="21"/>
        <v/>
      </c>
      <c r="AE88" s="128"/>
      <c r="AF88" s="128"/>
      <c r="AG88" s="128" t="str">
        <f>IF(AC88="fout","fout",IF(B88&lt;&gt;"",VLOOKUP(CONCATENATE(C$9,C$10,$B88),Leveranciersnamen!$A:$F,6,FALSE),""))</f>
        <v/>
      </c>
      <c r="AH88" s="128" t="str">
        <f t="shared" si="22"/>
        <v>0,00</v>
      </c>
      <c r="AI88" s="128"/>
      <c r="AJ88" s="128"/>
      <c r="AK88" s="128"/>
      <c r="AL88" s="128"/>
      <c r="AM88" s="394"/>
      <c r="AN88" s="394"/>
      <c r="AO88" s="394"/>
      <c r="AP88" s="394"/>
      <c r="AQ88" s="427">
        <f t="shared" si="18"/>
        <v>0</v>
      </c>
      <c r="AR88" s="427" t="str">
        <f t="shared" si="19"/>
        <v>0,00</v>
      </c>
      <c r="AS88" s="427">
        <f t="shared" si="20"/>
        <v>0</v>
      </c>
      <c r="AT88" s="129" t="str">
        <f t="shared" si="23"/>
        <v/>
      </c>
      <c r="AU88" s="394">
        <v>74</v>
      </c>
      <c r="AV88" s="394"/>
      <c r="AW88" s="394"/>
      <c r="AX88" s="394"/>
      <c r="AY88" s="394"/>
      <c r="AZ88" s="394"/>
      <c r="BA88" s="394"/>
      <c r="BB88" s="394"/>
      <c r="BC88" s="394"/>
      <c r="BD88" s="394"/>
      <c r="BE88" s="394"/>
      <c r="BF88" s="394"/>
      <c r="BG88" s="394"/>
      <c r="BH88" s="394"/>
      <c r="BI88" s="394"/>
      <c r="BJ88" s="394"/>
      <c r="BK88" s="394"/>
      <c r="BL88" s="394"/>
      <c r="BM88" s="394"/>
      <c r="BN88" s="394"/>
      <c r="BO88" s="394"/>
      <c r="BP88" s="394"/>
      <c r="BQ88" s="394"/>
      <c r="BR88" s="394"/>
    </row>
    <row r="89" spans="1:70" ht="25" hidden="1" customHeight="1">
      <c r="A89" s="313">
        <v>75</v>
      </c>
      <c r="B89" s="459"/>
      <c r="C89" s="460"/>
      <c r="D89" s="460"/>
      <c r="E89" s="461"/>
      <c r="F89" s="462"/>
      <c r="G89" s="463"/>
      <c r="H89" s="183" t="str">
        <f t="shared" si="4"/>
        <v/>
      </c>
      <c r="I89" s="470" t="str">
        <f t="shared" si="5"/>
        <v/>
      </c>
      <c r="J89" s="474"/>
      <c r="K89" s="184" t="b">
        <f t="shared" si="6"/>
        <v>0</v>
      </c>
      <c r="L89" s="321">
        <f t="shared" si="0"/>
        <v>0</v>
      </c>
      <c r="M89" s="464"/>
      <c r="N89" s="322">
        <f t="shared" si="8"/>
        <v>0</v>
      </c>
      <c r="O89" s="186" t="str">
        <f t="shared" si="13"/>
        <v/>
      </c>
      <c r="P89" s="661"/>
      <c r="Q89" s="662"/>
      <c r="R89" s="662"/>
      <c r="S89" s="662"/>
      <c r="T89" s="662"/>
      <c r="U89" s="662"/>
      <c r="V89" s="662"/>
      <c r="W89" s="662"/>
      <c r="X89" s="663"/>
      <c r="Y89" s="318"/>
      <c r="Z89" s="426">
        <f>IFERROR(VLOOKUP(D89,#REF!,1,FALSE),0)</f>
        <v>0</v>
      </c>
      <c r="AA89" s="476" t="b">
        <f t="shared" si="14"/>
        <v>0</v>
      </c>
      <c r="AB89" s="128" t="e">
        <f>VLOOKUP($B89,Leveranciersnamen!$D:$E,2,FALSE)</f>
        <v>#N/A</v>
      </c>
      <c r="AC89" s="128" t="str">
        <f>IF($B89&lt;="","Geen waarde",IFERROR(VLOOKUP(CONCATENATE($C$9,$C$10,$B89),Leveranciersnamen!$A:$A,1,FALSE),"fout"))</f>
        <v>Geen waarde</v>
      </c>
      <c r="AD89" s="128" t="str">
        <f t="shared" si="21"/>
        <v/>
      </c>
      <c r="AE89" s="128"/>
      <c r="AF89" s="128"/>
      <c r="AG89" s="128" t="str">
        <f>IF(AC89="fout","fout",IF(B89&lt;&gt;"",VLOOKUP(CONCATENATE(C$9,C$10,$B89),Leveranciersnamen!$A:$F,6,FALSE),""))</f>
        <v/>
      </c>
      <c r="AH89" s="128" t="str">
        <f t="shared" si="22"/>
        <v>0,00</v>
      </c>
      <c r="AI89" s="128"/>
      <c r="AJ89" s="128"/>
      <c r="AK89" s="128"/>
      <c r="AL89" s="128"/>
      <c r="AM89" s="394"/>
      <c r="AN89" s="394"/>
      <c r="AO89" s="394"/>
      <c r="AP89" s="394"/>
      <c r="AQ89" s="427">
        <f t="shared" si="18"/>
        <v>0</v>
      </c>
      <c r="AR89" s="427" t="str">
        <f t="shared" si="19"/>
        <v>0,00</v>
      </c>
      <c r="AS89" s="427">
        <f t="shared" si="20"/>
        <v>0</v>
      </c>
      <c r="AT89" s="129" t="str">
        <f t="shared" si="23"/>
        <v/>
      </c>
      <c r="AU89" s="128">
        <v>75</v>
      </c>
      <c r="AV89" s="394"/>
      <c r="AW89" s="394"/>
      <c r="AX89" s="394"/>
      <c r="AY89" s="394"/>
      <c r="AZ89" s="394"/>
      <c r="BA89" s="394"/>
      <c r="BB89" s="394"/>
      <c r="BC89" s="394"/>
      <c r="BD89" s="394"/>
      <c r="BE89" s="394"/>
      <c r="BF89" s="394"/>
      <c r="BG89" s="394"/>
      <c r="BH89" s="394"/>
      <c r="BI89" s="394"/>
      <c r="BJ89" s="394"/>
      <c r="BK89" s="394"/>
      <c r="BL89" s="394"/>
      <c r="BM89" s="394"/>
      <c r="BN89" s="394"/>
      <c r="BO89" s="394"/>
      <c r="BP89" s="394"/>
      <c r="BQ89" s="394"/>
      <c r="BR89" s="394"/>
    </row>
    <row r="90" spans="1:70" ht="25" hidden="1" customHeight="1">
      <c r="A90" s="313">
        <v>76</v>
      </c>
      <c r="B90" s="459"/>
      <c r="C90" s="460"/>
      <c r="D90" s="460"/>
      <c r="E90" s="461"/>
      <c r="F90" s="462"/>
      <c r="G90" s="463"/>
      <c r="H90" s="183" t="str">
        <f t="shared" si="4"/>
        <v/>
      </c>
      <c r="I90" s="470" t="str">
        <f t="shared" si="5"/>
        <v/>
      </c>
      <c r="J90" s="474"/>
      <c r="K90" s="184" t="b">
        <f t="shared" si="6"/>
        <v>0</v>
      </c>
      <c r="L90" s="321">
        <f t="shared" si="0"/>
        <v>0</v>
      </c>
      <c r="M90" s="464"/>
      <c r="N90" s="322">
        <f t="shared" si="8"/>
        <v>0</v>
      </c>
      <c r="O90" s="186" t="str">
        <f t="shared" si="13"/>
        <v/>
      </c>
      <c r="P90" s="661"/>
      <c r="Q90" s="662"/>
      <c r="R90" s="662"/>
      <c r="S90" s="662"/>
      <c r="T90" s="662"/>
      <c r="U90" s="662"/>
      <c r="V90" s="662"/>
      <c r="W90" s="662"/>
      <c r="X90" s="663"/>
      <c r="Y90" s="318"/>
      <c r="Z90" s="426">
        <f>IFERROR(VLOOKUP(D90,#REF!,1,FALSE),0)</f>
        <v>0</v>
      </c>
      <c r="AA90" s="476" t="b">
        <f t="shared" si="14"/>
        <v>0</v>
      </c>
      <c r="AB90" s="128" t="e">
        <f>VLOOKUP($B90,Leveranciersnamen!$D:$E,2,FALSE)</f>
        <v>#N/A</v>
      </c>
      <c r="AC90" s="128" t="str">
        <f>IF($B90&lt;="","Geen waarde",IFERROR(VLOOKUP(CONCATENATE($C$9,$C$10,$B90),Leveranciersnamen!$A:$A,1,FALSE),"fout"))</f>
        <v>Geen waarde</v>
      </c>
      <c r="AD90" s="128" t="str">
        <f t="shared" si="21"/>
        <v/>
      </c>
      <c r="AE90" s="128"/>
      <c r="AF90" s="128"/>
      <c r="AG90" s="128" t="str">
        <f>IF(AC90="fout","fout",IF(B90&lt;&gt;"",VLOOKUP(CONCATENATE(C$9,C$10,$B90),Leveranciersnamen!$A:$F,6,FALSE),""))</f>
        <v/>
      </c>
      <c r="AH90" s="128" t="str">
        <f t="shared" si="22"/>
        <v>0,00</v>
      </c>
      <c r="AI90" s="128"/>
      <c r="AJ90" s="128"/>
      <c r="AK90" s="128"/>
      <c r="AL90" s="128"/>
      <c r="AM90" s="394"/>
      <c r="AN90" s="394"/>
      <c r="AO90" s="394"/>
      <c r="AP90" s="394"/>
      <c r="AQ90" s="427">
        <f t="shared" si="18"/>
        <v>0</v>
      </c>
      <c r="AR90" s="427" t="str">
        <f t="shared" si="19"/>
        <v>0,00</v>
      </c>
      <c r="AS90" s="427">
        <f t="shared" si="20"/>
        <v>0</v>
      </c>
      <c r="AT90" s="129" t="str">
        <f t="shared" si="23"/>
        <v/>
      </c>
      <c r="AU90" s="394">
        <v>76</v>
      </c>
      <c r="AV90" s="394"/>
      <c r="AW90" s="394"/>
      <c r="AX90" s="394"/>
      <c r="AY90" s="394"/>
      <c r="AZ90" s="394"/>
      <c r="BA90" s="394"/>
      <c r="BB90" s="394"/>
      <c r="BC90" s="394"/>
      <c r="BD90" s="394"/>
      <c r="BE90" s="394"/>
      <c r="BF90" s="394"/>
      <c r="BG90" s="394"/>
      <c r="BH90" s="394"/>
      <c r="BI90" s="394"/>
      <c r="BJ90" s="394"/>
      <c r="BK90" s="394"/>
      <c r="BL90" s="394"/>
      <c r="BM90" s="394"/>
      <c r="BN90" s="394"/>
      <c r="BO90" s="394"/>
      <c r="BP90" s="394"/>
      <c r="BQ90" s="394"/>
      <c r="BR90" s="394"/>
    </row>
    <row r="91" spans="1:70" ht="25" hidden="1" customHeight="1">
      <c r="A91" s="313">
        <v>77</v>
      </c>
      <c r="B91" s="459"/>
      <c r="C91" s="460"/>
      <c r="D91" s="460"/>
      <c r="E91" s="461"/>
      <c r="F91" s="462"/>
      <c r="G91" s="463"/>
      <c r="H91" s="183" t="str">
        <f t="shared" si="4"/>
        <v/>
      </c>
      <c r="I91" s="470" t="str">
        <f t="shared" si="5"/>
        <v/>
      </c>
      <c r="J91" s="474"/>
      <c r="K91" s="184" t="b">
        <f t="shared" si="6"/>
        <v>0</v>
      </c>
      <c r="L91" s="321">
        <f t="shared" si="0"/>
        <v>0</v>
      </c>
      <c r="M91" s="464"/>
      <c r="N91" s="322">
        <f t="shared" si="8"/>
        <v>0</v>
      </c>
      <c r="O91" s="186" t="str">
        <f t="shared" si="13"/>
        <v/>
      </c>
      <c r="P91" s="661"/>
      <c r="Q91" s="662"/>
      <c r="R91" s="662"/>
      <c r="S91" s="662"/>
      <c r="T91" s="662"/>
      <c r="U91" s="662"/>
      <c r="V91" s="662"/>
      <c r="W91" s="662"/>
      <c r="X91" s="663"/>
      <c r="Y91" s="318"/>
      <c r="Z91" s="426">
        <f>IFERROR(VLOOKUP(D91,#REF!,1,FALSE),0)</f>
        <v>0</v>
      </c>
      <c r="AA91" s="476" t="b">
        <f t="shared" si="14"/>
        <v>0</v>
      </c>
      <c r="AB91" s="128" t="e">
        <f>VLOOKUP($B91,Leveranciersnamen!$D:$E,2,FALSE)</f>
        <v>#N/A</v>
      </c>
      <c r="AC91" s="128" t="str">
        <f>IF($B91&lt;="","Geen waarde",IFERROR(VLOOKUP(CONCATENATE($C$9,$C$10,$B91),Leveranciersnamen!$A:$A,1,FALSE),"fout"))</f>
        <v>Geen waarde</v>
      </c>
      <c r="AD91" s="128" t="str">
        <f t="shared" si="21"/>
        <v/>
      </c>
      <c r="AE91" s="128"/>
      <c r="AF91" s="128"/>
      <c r="AG91" s="128" t="str">
        <f>IF(AC91="fout","fout",IF(B91&lt;&gt;"",VLOOKUP(CONCATENATE(C$9,C$10,$B91),Leveranciersnamen!$A:$F,6,FALSE),""))</f>
        <v/>
      </c>
      <c r="AH91" s="128" t="str">
        <f t="shared" si="22"/>
        <v>0,00</v>
      </c>
      <c r="AI91" s="128"/>
      <c r="AJ91" s="128"/>
      <c r="AK91" s="128"/>
      <c r="AL91" s="128"/>
      <c r="AM91" s="394"/>
      <c r="AN91" s="394"/>
      <c r="AO91" s="394"/>
      <c r="AP91" s="394"/>
      <c r="AQ91" s="427">
        <f t="shared" si="18"/>
        <v>0</v>
      </c>
      <c r="AR91" s="427" t="str">
        <f t="shared" si="19"/>
        <v>0,00</v>
      </c>
      <c r="AS91" s="427">
        <f t="shared" si="20"/>
        <v>0</v>
      </c>
      <c r="AT91" s="129" t="str">
        <f t="shared" si="23"/>
        <v/>
      </c>
      <c r="AU91" s="128">
        <v>77</v>
      </c>
      <c r="AV91" s="394"/>
      <c r="AW91" s="394"/>
      <c r="AX91" s="394"/>
      <c r="AY91" s="394"/>
      <c r="AZ91" s="394"/>
      <c r="BA91" s="394"/>
      <c r="BB91" s="394"/>
      <c r="BC91" s="394"/>
      <c r="BD91" s="394"/>
      <c r="BE91" s="394"/>
      <c r="BF91" s="394"/>
      <c r="BG91" s="394"/>
      <c r="BH91" s="394"/>
      <c r="BI91" s="394"/>
      <c r="BJ91" s="394"/>
      <c r="BK91" s="394"/>
      <c r="BL91" s="394"/>
      <c r="BM91" s="394"/>
      <c r="BN91" s="394"/>
      <c r="BO91" s="394"/>
      <c r="BP91" s="394"/>
      <c r="BQ91" s="394"/>
      <c r="BR91" s="394"/>
    </row>
    <row r="92" spans="1:70" ht="25" hidden="1" customHeight="1">
      <c r="A92" s="313">
        <v>78</v>
      </c>
      <c r="B92" s="459"/>
      <c r="C92" s="460"/>
      <c r="D92" s="460"/>
      <c r="E92" s="461"/>
      <c r="F92" s="462"/>
      <c r="G92" s="463"/>
      <c r="H92" s="183" t="str">
        <f t="shared" si="4"/>
        <v/>
      </c>
      <c r="I92" s="470" t="str">
        <f t="shared" si="5"/>
        <v/>
      </c>
      <c r="J92" s="474"/>
      <c r="K92" s="184" t="b">
        <f t="shared" si="6"/>
        <v>0</v>
      </c>
      <c r="L92" s="321">
        <f t="shared" si="0"/>
        <v>0</v>
      </c>
      <c r="M92" s="464"/>
      <c r="N92" s="322">
        <f t="shared" si="8"/>
        <v>0</v>
      </c>
      <c r="O92" s="186" t="str">
        <f t="shared" si="13"/>
        <v/>
      </c>
      <c r="P92" s="661"/>
      <c r="Q92" s="662"/>
      <c r="R92" s="662"/>
      <c r="S92" s="662"/>
      <c r="T92" s="662"/>
      <c r="U92" s="662"/>
      <c r="V92" s="662"/>
      <c r="W92" s="662"/>
      <c r="X92" s="663"/>
      <c r="Y92" s="318"/>
      <c r="Z92" s="426">
        <f>IFERROR(VLOOKUP(D92,#REF!,1,FALSE),0)</f>
        <v>0</v>
      </c>
      <c r="AA92" s="476" t="b">
        <f t="shared" si="14"/>
        <v>0</v>
      </c>
      <c r="AB92" s="128" t="e">
        <f>VLOOKUP($B92,Leveranciersnamen!$D:$E,2,FALSE)</f>
        <v>#N/A</v>
      </c>
      <c r="AC92" s="128" t="str">
        <f>IF($B92&lt;="","Geen waarde",IFERROR(VLOOKUP(CONCATENATE($C$9,$C$10,$B92),Leveranciersnamen!$A:$A,1,FALSE),"fout"))</f>
        <v>Geen waarde</v>
      </c>
      <c r="AD92" s="128" t="str">
        <f t="shared" si="21"/>
        <v/>
      </c>
      <c r="AE92" s="128"/>
      <c r="AF92" s="128"/>
      <c r="AG92" s="128" t="str">
        <f>IF(AC92="fout","fout",IF(B92&lt;&gt;"",VLOOKUP(CONCATENATE(C$9,C$10,$B92),Leveranciersnamen!$A:$F,6,FALSE),""))</f>
        <v/>
      </c>
      <c r="AH92" s="128" t="str">
        <f t="shared" si="22"/>
        <v>0,00</v>
      </c>
      <c r="AI92" s="128"/>
      <c r="AJ92" s="128"/>
      <c r="AK92" s="128"/>
      <c r="AL92" s="128"/>
      <c r="AM92" s="394"/>
      <c r="AN92" s="394"/>
      <c r="AO92" s="394"/>
      <c r="AP92" s="394"/>
      <c r="AQ92" s="427">
        <f t="shared" si="18"/>
        <v>0</v>
      </c>
      <c r="AR92" s="427" t="str">
        <f t="shared" si="19"/>
        <v>0,00</v>
      </c>
      <c r="AS92" s="427">
        <f t="shared" si="20"/>
        <v>0</v>
      </c>
      <c r="AT92" s="129" t="str">
        <f t="shared" si="23"/>
        <v/>
      </c>
      <c r="AU92" s="394">
        <v>78</v>
      </c>
      <c r="AV92" s="394"/>
      <c r="AW92" s="394"/>
      <c r="AX92" s="394"/>
      <c r="AY92" s="394"/>
      <c r="AZ92" s="394"/>
      <c r="BA92" s="394"/>
      <c r="BB92" s="394"/>
      <c r="BC92" s="394"/>
      <c r="BD92" s="394"/>
      <c r="BE92" s="394"/>
      <c r="BF92" s="394"/>
      <c r="BG92" s="394"/>
      <c r="BH92" s="394"/>
      <c r="BI92" s="394"/>
      <c r="BJ92" s="394"/>
      <c r="BK92" s="394"/>
      <c r="BL92" s="394"/>
      <c r="BM92" s="394"/>
      <c r="BN92" s="394"/>
      <c r="BO92" s="394"/>
      <c r="BP92" s="394"/>
      <c r="BQ92" s="394"/>
      <c r="BR92" s="394"/>
    </row>
    <row r="93" spans="1:70" ht="25" hidden="1" customHeight="1">
      <c r="A93" s="313">
        <v>79</v>
      </c>
      <c r="B93" s="459"/>
      <c r="C93" s="460"/>
      <c r="D93" s="460"/>
      <c r="E93" s="461"/>
      <c r="F93" s="462"/>
      <c r="G93" s="463"/>
      <c r="H93" s="183" t="str">
        <f t="shared" si="4"/>
        <v/>
      </c>
      <c r="I93" s="470" t="str">
        <f t="shared" si="5"/>
        <v/>
      </c>
      <c r="J93" s="474"/>
      <c r="K93" s="184" t="b">
        <f t="shared" si="6"/>
        <v>0</v>
      </c>
      <c r="L93" s="321">
        <f t="shared" si="0"/>
        <v>0</v>
      </c>
      <c r="M93" s="464"/>
      <c r="N93" s="322">
        <f t="shared" si="8"/>
        <v>0</v>
      </c>
      <c r="O93" s="186" t="str">
        <f t="shared" si="13"/>
        <v/>
      </c>
      <c r="P93" s="661"/>
      <c r="Q93" s="662"/>
      <c r="R93" s="662"/>
      <c r="S93" s="662"/>
      <c r="T93" s="662"/>
      <c r="U93" s="662"/>
      <c r="V93" s="662"/>
      <c r="W93" s="662"/>
      <c r="X93" s="663"/>
      <c r="Y93" s="318"/>
      <c r="Z93" s="426">
        <f>IFERROR(VLOOKUP(D93,#REF!,1,FALSE),0)</f>
        <v>0</v>
      </c>
      <c r="AA93" s="476" t="b">
        <f t="shared" si="14"/>
        <v>0</v>
      </c>
      <c r="AB93" s="128" t="e">
        <f>VLOOKUP($B93,Leveranciersnamen!$D:$E,2,FALSE)</f>
        <v>#N/A</v>
      </c>
      <c r="AC93" s="128" t="str">
        <f>IF($B93&lt;="","Geen waarde",IFERROR(VLOOKUP(CONCATENATE($C$9,$C$10,$B93),Leveranciersnamen!$A:$A,1,FALSE),"fout"))</f>
        <v>Geen waarde</v>
      </c>
      <c r="AD93" s="128" t="str">
        <f t="shared" si="21"/>
        <v/>
      </c>
      <c r="AE93" s="128"/>
      <c r="AF93" s="128"/>
      <c r="AG93" s="128" t="str">
        <f>IF(AC93="fout","fout",IF(B93&lt;&gt;"",VLOOKUP(CONCATENATE(C$9,C$10,$B93),Leveranciersnamen!$A:$F,6,FALSE),""))</f>
        <v/>
      </c>
      <c r="AH93" s="128" t="str">
        <f t="shared" si="22"/>
        <v>0,00</v>
      </c>
      <c r="AI93" s="128"/>
      <c r="AJ93" s="128"/>
      <c r="AK93" s="128"/>
      <c r="AL93" s="128"/>
      <c r="AM93" s="394"/>
      <c r="AN93" s="394"/>
      <c r="AO93" s="394"/>
      <c r="AP93" s="394"/>
      <c r="AQ93" s="427">
        <f t="shared" si="18"/>
        <v>0</v>
      </c>
      <c r="AR93" s="427" t="str">
        <f t="shared" si="19"/>
        <v>0,00</v>
      </c>
      <c r="AS93" s="427">
        <f t="shared" si="20"/>
        <v>0</v>
      </c>
      <c r="AT93" s="129" t="str">
        <f t="shared" si="23"/>
        <v/>
      </c>
      <c r="AU93" s="128">
        <v>79</v>
      </c>
      <c r="AV93" s="394"/>
      <c r="AW93" s="394"/>
      <c r="AX93" s="394"/>
      <c r="AY93" s="394"/>
      <c r="AZ93" s="394"/>
      <c r="BA93" s="394"/>
      <c r="BB93" s="394"/>
      <c r="BC93" s="394"/>
      <c r="BD93" s="394"/>
      <c r="BE93" s="394"/>
      <c r="BF93" s="394"/>
      <c r="BG93" s="394"/>
      <c r="BH93" s="394"/>
      <c r="BI93" s="394"/>
      <c r="BJ93" s="394"/>
      <c r="BK93" s="394"/>
      <c r="BL93" s="394"/>
      <c r="BM93" s="394"/>
      <c r="BN93" s="394"/>
      <c r="BO93" s="394"/>
      <c r="BP93" s="394"/>
      <c r="BQ93" s="394"/>
      <c r="BR93" s="394"/>
    </row>
    <row r="94" spans="1:70" ht="25" hidden="1" customHeight="1">
      <c r="A94" s="313">
        <v>80</v>
      </c>
      <c r="B94" s="459"/>
      <c r="C94" s="460"/>
      <c r="D94" s="460"/>
      <c r="E94" s="461"/>
      <c r="F94" s="462"/>
      <c r="G94" s="463"/>
      <c r="H94" s="183" t="str">
        <f t="shared" si="4"/>
        <v/>
      </c>
      <c r="I94" s="470" t="str">
        <f t="shared" si="5"/>
        <v/>
      </c>
      <c r="J94" s="474"/>
      <c r="K94" s="184" t="b">
        <f t="shared" si="6"/>
        <v>0</v>
      </c>
      <c r="L94" s="321">
        <f t="shared" si="0"/>
        <v>0</v>
      </c>
      <c r="M94" s="464"/>
      <c r="N94" s="322">
        <f t="shared" si="8"/>
        <v>0</v>
      </c>
      <c r="O94" s="186" t="str">
        <f t="shared" si="13"/>
        <v/>
      </c>
      <c r="P94" s="661"/>
      <c r="Q94" s="662"/>
      <c r="R94" s="662"/>
      <c r="S94" s="662"/>
      <c r="T94" s="662"/>
      <c r="U94" s="662"/>
      <c r="V94" s="662"/>
      <c r="W94" s="662"/>
      <c r="X94" s="663"/>
      <c r="Y94" s="318"/>
      <c r="Z94" s="426">
        <f>IFERROR(VLOOKUP(D94,#REF!,1,FALSE),0)</f>
        <v>0</v>
      </c>
      <c r="AA94" s="476" t="b">
        <f t="shared" si="14"/>
        <v>0</v>
      </c>
      <c r="AB94" s="128" t="e">
        <f>VLOOKUP($B94,Leveranciersnamen!$D:$E,2,FALSE)</f>
        <v>#N/A</v>
      </c>
      <c r="AC94" s="128" t="str">
        <f>IF($B94&lt;="","Geen waarde",IFERROR(VLOOKUP(CONCATENATE($C$9,$C$10,$B94),Leveranciersnamen!$A:$A,1,FALSE),"fout"))</f>
        <v>Geen waarde</v>
      </c>
      <c r="AD94" s="128" t="str">
        <f t="shared" si="21"/>
        <v/>
      </c>
      <c r="AE94" s="128"/>
      <c r="AF94" s="128"/>
      <c r="AG94" s="128" t="str">
        <f>IF(AC94="fout","fout",IF(B94&lt;&gt;"",VLOOKUP(CONCATENATE(C$9,C$10,$B94),Leveranciersnamen!$A:$F,6,FALSE),""))</f>
        <v/>
      </c>
      <c r="AH94" s="128" t="str">
        <f t="shared" si="22"/>
        <v>0,00</v>
      </c>
      <c r="AI94" s="128"/>
      <c r="AJ94" s="128"/>
      <c r="AK94" s="128"/>
      <c r="AL94" s="128"/>
      <c r="AM94" s="394"/>
      <c r="AN94" s="394"/>
      <c r="AO94" s="394"/>
      <c r="AP94" s="394"/>
      <c r="AQ94" s="427">
        <f t="shared" si="18"/>
        <v>0</v>
      </c>
      <c r="AR94" s="427" t="str">
        <f t="shared" si="19"/>
        <v>0,00</v>
      </c>
      <c r="AS94" s="427">
        <f t="shared" si="20"/>
        <v>0</v>
      </c>
      <c r="AT94" s="129" t="str">
        <f t="shared" si="23"/>
        <v/>
      </c>
      <c r="AU94" s="394">
        <v>80</v>
      </c>
      <c r="AV94" s="394"/>
      <c r="AW94" s="394"/>
      <c r="AX94" s="394"/>
      <c r="AY94" s="394"/>
      <c r="AZ94" s="394"/>
      <c r="BA94" s="394"/>
      <c r="BB94" s="394"/>
      <c r="BC94" s="394"/>
      <c r="BD94" s="394"/>
      <c r="BE94" s="394"/>
      <c r="BF94" s="394"/>
      <c r="BG94" s="394"/>
      <c r="BH94" s="394"/>
      <c r="BI94" s="394"/>
      <c r="BJ94" s="394"/>
      <c r="BK94" s="394"/>
      <c r="BL94" s="394"/>
      <c r="BM94" s="394"/>
      <c r="BN94" s="394"/>
      <c r="BO94" s="394"/>
      <c r="BP94" s="394"/>
      <c r="BQ94" s="394"/>
      <c r="BR94" s="394"/>
    </row>
    <row r="95" spans="1:70" ht="25" hidden="1" customHeight="1">
      <c r="A95" s="313">
        <v>81</v>
      </c>
      <c r="B95" s="459"/>
      <c r="C95" s="460"/>
      <c r="D95" s="460"/>
      <c r="E95" s="461"/>
      <c r="F95" s="462"/>
      <c r="G95" s="463"/>
      <c r="H95" s="183" t="str">
        <f t="shared" si="4"/>
        <v/>
      </c>
      <c r="I95" s="470" t="str">
        <f t="shared" si="5"/>
        <v/>
      </c>
      <c r="J95" s="474"/>
      <c r="K95" s="184" t="b">
        <f t="shared" si="6"/>
        <v>0</v>
      </c>
      <c r="L95" s="321">
        <f t="shared" si="0"/>
        <v>0</v>
      </c>
      <c r="M95" s="464"/>
      <c r="N95" s="322">
        <f t="shared" si="8"/>
        <v>0</v>
      </c>
      <c r="O95" s="186" t="str">
        <f t="shared" si="13"/>
        <v/>
      </c>
      <c r="P95" s="661"/>
      <c r="Q95" s="662"/>
      <c r="R95" s="662"/>
      <c r="S95" s="662"/>
      <c r="T95" s="662"/>
      <c r="U95" s="662"/>
      <c r="V95" s="662"/>
      <c r="W95" s="662"/>
      <c r="X95" s="663"/>
      <c r="Y95" s="318"/>
      <c r="Z95" s="426">
        <f>IFERROR(VLOOKUP(D95,#REF!,1,FALSE),0)</f>
        <v>0</v>
      </c>
      <c r="AA95" s="476" t="b">
        <f t="shared" si="14"/>
        <v>0</v>
      </c>
      <c r="AB95" s="128" t="e">
        <f>VLOOKUP($B95,Leveranciersnamen!$D:$E,2,FALSE)</f>
        <v>#N/A</v>
      </c>
      <c r="AC95" s="128" t="str">
        <f>IF($B95&lt;="","Geen waarde",IFERROR(VLOOKUP(CONCATENATE($C$9,$C$10,$B95),Leveranciersnamen!$A:$A,1,FALSE),"fout"))</f>
        <v>Geen waarde</v>
      </c>
      <c r="AD95" s="128" t="str">
        <f t="shared" si="21"/>
        <v/>
      </c>
      <c r="AE95" s="128"/>
      <c r="AF95" s="128"/>
      <c r="AG95" s="128" t="str">
        <f>IF(AC95="fout","fout",IF(B95&lt;&gt;"",VLOOKUP(CONCATENATE(C$9,C$10,$B95),Leveranciersnamen!$A:$F,6,FALSE),""))</f>
        <v/>
      </c>
      <c r="AH95" s="128" t="str">
        <f t="shared" si="22"/>
        <v>0,00</v>
      </c>
      <c r="AI95" s="128"/>
      <c r="AJ95" s="128"/>
      <c r="AK95" s="128"/>
      <c r="AL95" s="128"/>
      <c r="AM95" s="394"/>
      <c r="AN95" s="394"/>
      <c r="AO95" s="394"/>
      <c r="AP95" s="394"/>
      <c r="AQ95" s="427">
        <f t="shared" si="18"/>
        <v>0</v>
      </c>
      <c r="AR95" s="427" t="str">
        <f t="shared" si="19"/>
        <v>0,00</v>
      </c>
      <c r="AS95" s="427">
        <f t="shared" si="20"/>
        <v>0</v>
      </c>
      <c r="AT95" s="129" t="str">
        <f t="shared" si="23"/>
        <v/>
      </c>
      <c r="AU95" s="128">
        <v>81</v>
      </c>
      <c r="AV95" s="394"/>
      <c r="AW95" s="394"/>
      <c r="AX95" s="394"/>
      <c r="AY95" s="394"/>
      <c r="AZ95" s="394"/>
      <c r="BA95" s="394"/>
      <c r="BB95" s="394"/>
      <c r="BC95" s="394"/>
      <c r="BD95" s="394"/>
      <c r="BE95" s="394"/>
      <c r="BF95" s="394"/>
      <c r="BG95" s="394"/>
      <c r="BH95" s="394"/>
      <c r="BI95" s="394"/>
      <c r="BJ95" s="394"/>
      <c r="BK95" s="394"/>
      <c r="BL95" s="394"/>
      <c r="BM95" s="394"/>
      <c r="BN95" s="394"/>
      <c r="BO95" s="394"/>
      <c r="BP95" s="394"/>
      <c r="BQ95" s="394"/>
      <c r="BR95" s="394"/>
    </row>
    <row r="96" spans="1:70" ht="25" hidden="1" customHeight="1">
      <c r="A96" s="313">
        <v>82</v>
      </c>
      <c r="B96" s="459"/>
      <c r="C96" s="460"/>
      <c r="D96" s="460"/>
      <c r="E96" s="461"/>
      <c r="F96" s="462"/>
      <c r="G96" s="463"/>
      <c r="H96" s="183" t="str">
        <f t="shared" si="4"/>
        <v/>
      </c>
      <c r="I96" s="470" t="str">
        <f t="shared" si="5"/>
        <v/>
      </c>
      <c r="J96" s="474"/>
      <c r="K96" s="184" t="b">
        <f t="shared" si="6"/>
        <v>0</v>
      </c>
      <c r="L96" s="321">
        <f t="shared" si="0"/>
        <v>0</v>
      </c>
      <c r="M96" s="464"/>
      <c r="N96" s="322">
        <f t="shared" si="8"/>
        <v>0</v>
      </c>
      <c r="O96" s="186" t="str">
        <f t="shared" si="13"/>
        <v/>
      </c>
      <c r="P96" s="661"/>
      <c r="Q96" s="662"/>
      <c r="R96" s="662"/>
      <c r="S96" s="662"/>
      <c r="T96" s="662"/>
      <c r="U96" s="662"/>
      <c r="V96" s="662"/>
      <c r="W96" s="662"/>
      <c r="X96" s="663"/>
      <c r="Y96" s="318"/>
      <c r="Z96" s="426">
        <f>IFERROR(VLOOKUP(D96,#REF!,1,FALSE),0)</f>
        <v>0</v>
      </c>
      <c r="AA96" s="476" t="b">
        <f t="shared" si="14"/>
        <v>0</v>
      </c>
      <c r="AB96" s="128" t="e">
        <f>VLOOKUP($B96,Leveranciersnamen!$D:$E,2,FALSE)</f>
        <v>#N/A</v>
      </c>
      <c r="AC96" s="128" t="str">
        <f>IF($B96&lt;="","Geen waarde",IFERROR(VLOOKUP(CONCATENATE($C$9,$C$10,$B96),Leveranciersnamen!$A:$A,1,FALSE),"fout"))</f>
        <v>Geen waarde</v>
      </c>
      <c r="AD96" s="128" t="str">
        <f t="shared" si="21"/>
        <v/>
      </c>
      <c r="AE96" s="128"/>
      <c r="AF96" s="128"/>
      <c r="AG96" s="128" t="str">
        <f>IF(AC96="fout","fout",IF(B96&lt;&gt;"",VLOOKUP(CONCATENATE(C$9,C$10,$B96),Leveranciersnamen!$A:$F,6,FALSE),""))</f>
        <v/>
      </c>
      <c r="AH96" s="128" t="str">
        <f t="shared" si="22"/>
        <v>0,00</v>
      </c>
      <c r="AI96" s="128"/>
      <c r="AJ96" s="128"/>
      <c r="AK96" s="128"/>
      <c r="AL96" s="128"/>
      <c r="AM96" s="394"/>
      <c r="AN96" s="394"/>
      <c r="AO96" s="394"/>
      <c r="AP96" s="394"/>
      <c r="AQ96" s="427">
        <f t="shared" si="18"/>
        <v>0</v>
      </c>
      <c r="AR96" s="427" t="str">
        <f t="shared" si="19"/>
        <v>0,00</v>
      </c>
      <c r="AS96" s="427">
        <f t="shared" si="20"/>
        <v>0</v>
      </c>
      <c r="AT96" s="129" t="str">
        <f t="shared" si="23"/>
        <v/>
      </c>
      <c r="AU96" s="394">
        <v>82</v>
      </c>
      <c r="AV96" s="394"/>
      <c r="AW96" s="394"/>
      <c r="AX96" s="394"/>
      <c r="AY96" s="394"/>
      <c r="AZ96" s="394"/>
      <c r="BA96" s="394"/>
      <c r="BB96" s="394"/>
      <c r="BC96" s="394"/>
      <c r="BD96" s="394"/>
      <c r="BE96" s="394"/>
      <c r="BF96" s="394"/>
      <c r="BG96" s="394"/>
      <c r="BH96" s="394"/>
      <c r="BI96" s="394"/>
      <c r="BJ96" s="394"/>
      <c r="BK96" s="394"/>
      <c r="BL96" s="394"/>
      <c r="BM96" s="394"/>
      <c r="BN96" s="394"/>
      <c r="BO96" s="394"/>
      <c r="BP96" s="394"/>
      <c r="BQ96" s="394"/>
      <c r="BR96" s="394"/>
    </row>
    <row r="97" spans="1:70" ht="25" hidden="1" customHeight="1">
      <c r="A97" s="313">
        <v>83</v>
      </c>
      <c r="B97" s="459"/>
      <c r="C97" s="460"/>
      <c r="D97" s="460"/>
      <c r="E97" s="461"/>
      <c r="F97" s="462"/>
      <c r="G97" s="463"/>
      <c r="H97" s="183" t="str">
        <f t="shared" si="4"/>
        <v/>
      </c>
      <c r="I97" s="470" t="str">
        <f t="shared" si="5"/>
        <v/>
      </c>
      <c r="J97" s="474"/>
      <c r="K97" s="184" t="b">
        <f t="shared" si="6"/>
        <v>0</v>
      </c>
      <c r="L97" s="321">
        <f t="shared" si="0"/>
        <v>0</v>
      </c>
      <c r="M97" s="464"/>
      <c r="N97" s="322">
        <f t="shared" si="8"/>
        <v>0</v>
      </c>
      <c r="O97" s="186" t="str">
        <f t="shared" si="13"/>
        <v/>
      </c>
      <c r="P97" s="661"/>
      <c r="Q97" s="662"/>
      <c r="R97" s="662"/>
      <c r="S97" s="662"/>
      <c r="T97" s="662"/>
      <c r="U97" s="662"/>
      <c r="V97" s="662"/>
      <c r="W97" s="662"/>
      <c r="X97" s="663"/>
      <c r="Y97" s="318"/>
      <c r="Z97" s="426">
        <f>IFERROR(VLOOKUP(D97,#REF!,1,FALSE),0)</f>
        <v>0</v>
      </c>
      <c r="AA97" s="476" t="b">
        <f t="shared" si="14"/>
        <v>0</v>
      </c>
      <c r="AB97" s="128" t="e">
        <f>VLOOKUP($B97,Leveranciersnamen!$D:$E,2,FALSE)</f>
        <v>#N/A</v>
      </c>
      <c r="AC97" s="128" t="str">
        <f>IF($B97&lt;="","Geen waarde",IFERROR(VLOOKUP(CONCATENATE($C$9,$C$10,$B97),Leveranciersnamen!$A:$A,1,FALSE),"fout"))</f>
        <v>Geen waarde</v>
      </c>
      <c r="AD97" s="128" t="str">
        <f t="shared" si="21"/>
        <v/>
      </c>
      <c r="AE97" s="128"/>
      <c r="AF97" s="128"/>
      <c r="AG97" s="128" t="str">
        <f>IF(AC97="fout","fout",IF(B97&lt;&gt;"",VLOOKUP(CONCATENATE(C$9,C$10,$B97),Leveranciersnamen!$A:$F,6,FALSE),""))</f>
        <v/>
      </c>
      <c r="AH97" s="128" t="str">
        <f t="shared" si="22"/>
        <v>0,00</v>
      </c>
      <c r="AI97" s="128"/>
      <c r="AJ97" s="128"/>
      <c r="AK97" s="128"/>
      <c r="AL97" s="128"/>
      <c r="AM97" s="394"/>
      <c r="AN97" s="394"/>
      <c r="AO97" s="394"/>
      <c r="AP97" s="394"/>
      <c r="AQ97" s="427">
        <f t="shared" si="18"/>
        <v>0</v>
      </c>
      <c r="AR97" s="427" t="str">
        <f t="shared" si="19"/>
        <v>0,00</v>
      </c>
      <c r="AS97" s="427">
        <f t="shared" si="20"/>
        <v>0</v>
      </c>
      <c r="AT97" s="129" t="str">
        <f t="shared" si="23"/>
        <v/>
      </c>
      <c r="AU97" s="128">
        <v>83</v>
      </c>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row>
    <row r="98" spans="1:70" ht="25" hidden="1" customHeight="1">
      <c r="A98" s="313">
        <v>84</v>
      </c>
      <c r="B98" s="459"/>
      <c r="C98" s="460"/>
      <c r="D98" s="460"/>
      <c r="E98" s="461"/>
      <c r="F98" s="462"/>
      <c r="G98" s="463"/>
      <c r="H98" s="183" t="str">
        <f t="shared" si="4"/>
        <v/>
      </c>
      <c r="I98" s="470" t="str">
        <f t="shared" si="5"/>
        <v/>
      </c>
      <c r="J98" s="474"/>
      <c r="K98" s="184" t="b">
        <f t="shared" si="6"/>
        <v>0</v>
      </c>
      <c r="L98" s="321">
        <f t="shared" si="0"/>
        <v>0</v>
      </c>
      <c r="M98" s="464"/>
      <c r="N98" s="322">
        <f t="shared" si="8"/>
        <v>0</v>
      </c>
      <c r="O98" s="186" t="str">
        <f t="shared" si="13"/>
        <v/>
      </c>
      <c r="P98" s="661"/>
      <c r="Q98" s="662"/>
      <c r="R98" s="662"/>
      <c r="S98" s="662"/>
      <c r="T98" s="662"/>
      <c r="U98" s="662"/>
      <c r="V98" s="662"/>
      <c r="W98" s="662"/>
      <c r="X98" s="663"/>
      <c r="Y98" s="318"/>
      <c r="Z98" s="426">
        <f>IFERROR(VLOOKUP(D98,#REF!,1,FALSE),0)</f>
        <v>0</v>
      </c>
      <c r="AA98" s="476" t="b">
        <f t="shared" si="14"/>
        <v>0</v>
      </c>
      <c r="AB98" s="128" t="e">
        <f>VLOOKUP($B98,Leveranciersnamen!$D:$E,2,FALSE)</f>
        <v>#N/A</v>
      </c>
      <c r="AC98" s="128" t="str">
        <f>IF($B98&lt;="","Geen waarde",IFERROR(VLOOKUP(CONCATENATE($C$9,$C$10,$B98),Leveranciersnamen!$A:$A,1,FALSE),"fout"))</f>
        <v>Geen waarde</v>
      </c>
      <c r="AD98" s="128" t="str">
        <f t="shared" si="21"/>
        <v/>
      </c>
      <c r="AE98" s="128"/>
      <c r="AF98" s="128"/>
      <c r="AG98" s="128" t="str">
        <f>IF(AC98="fout","fout",IF(B98&lt;&gt;"",VLOOKUP(CONCATENATE(C$9,C$10,$B98),Leveranciersnamen!$A:$F,6,FALSE),""))</f>
        <v/>
      </c>
      <c r="AH98" s="128" t="str">
        <f t="shared" si="22"/>
        <v>0,00</v>
      </c>
      <c r="AI98" s="128"/>
      <c r="AJ98" s="128"/>
      <c r="AK98" s="128"/>
      <c r="AL98" s="128"/>
      <c r="AM98" s="394"/>
      <c r="AN98" s="394"/>
      <c r="AO98" s="394"/>
      <c r="AP98" s="394"/>
      <c r="AQ98" s="427">
        <f t="shared" si="18"/>
        <v>0</v>
      </c>
      <c r="AR98" s="427" t="str">
        <f t="shared" si="19"/>
        <v>0,00</v>
      </c>
      <c r="AS98" s="427">
        <f t="shared" si="20"/>
        <v>0</v>
      </c>
      <c r="AT98" s="129" t="str">
        <f t="shared" si="23"/>
        <v/>
      </c>
      <c r="AU98" s="394">
        <v>84</v>
      </c>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row>
    <row r="99" spans="1:70" ht="25" hidden="1" customHeight="1">
      <c r="A99" s="313">
        <v>85</v>
      </c>
      <c r="B99" s="459"/>
      <c r="C99" s="460"/>
      <c r="D99" s="460"/>
      <c r="E99" s="461"/>
      <c r="F99" s="462"/>
      <c r="G99" s="463"/>
      <c r="H99" s="183" t="str">
        <f t="shared" si="4"/>
        <v/>
      </c>
      <c r="I99" s="470" t="str">
        <f t="shared" si="5"/>
        <v/>
      </c>
      <c r="J99" s="474"/>
      <c r="K99" s="184" t="b">
        <f t="shared" si="6"/>
        <v>0</v>
      </c>
      <c r="L99" s="321">
        <f t="shared" si="0"/>
        <v>0</v>
      </c>
      <c r="M99" s="464"/>
      <c r="N99" s="322">
        <f t="shared" si="8"/>
        <v>0</v>
      </c>
      <c r="O99" s="186" t="str">
        <f t="shared" si="13"/>
        <v/>
      </c>
      <c r="P99" s="661"/>
      <c r="Q99" s="662"/>
      <c r="R99" s="662"/>
      <c r="S99" s="662"/>
      <c r="T99" s="662"/>
      <c r="U99" s="662"/>
      <c r="V99" s="662"/>
      <c r="W99" s="662"/>
      <c r="X99" s="663"/>
      <c r="Y99" s="318"/>
      <c r="Z99" s="426">
        <f>IFERROR(VLOOKUP(D99,#REF!,1,FALSE),0)</f>
        <v>0</v>
      </c>
      <c r="AA99" s="476" t="b">
        <f t="shared" si="14"/>
        <v>0</v>
      </c>
      <c r="AB99" s="128" t="e">
        <f>VLOOKUP($B99,Leveranciersnamen!$D:$E,2,FALSE)</f>
        <v>#N/A</v>
      </c>
      <c r="AC99" s="128" t="str">
        <f>IF($B99&lt;="","Geen waarde",IFERROR(VLOOKUP(CONCATENATE($C$9,$C$10,$B99),Leveranciersnamen!$A:$A,1,FALSE),"fout"))</f>
        <v>Geen waarde</v>
      </c>
      <c r="AD99" s="128" t="str">
        <f t="shared" si="21"/>
        <v/>
      </c>
      <c r="AE99" s="128"/>
      <c r="AF99" s="128"/>
      <c r="AG99" s="128" t="str">
        <f>IF(AC99="fout","fout",IF(B99&lt;&gt;"",VLOOKUP(CONCATENATE(C$9,C$10,$B99),Leveranciersnamen!$A:$F,6,FALSE),""))</f>
        <v/>
      </c>
      <c r="AH99" s="128" t="str">
        <f t="shared" si="22"/>
        <v>0,00</v>
      </c>
      <c r="AI99" s="128"/>
      <c r="AJ99" s="128"/>
      <c r="AK99" s="128"/>
      <c r="AL99" s="128"/>
      <c r="AM99" s="394"/>
      <c r="AN99" s="394"/>
      <c r="AO99" s="394"/>
      <c r="AP99" s="394"/>
      <c r="AQ99" s="427">
        <f t="shared" si="18"/>
        <v>0</v>
      </c>
      <c r="AR99" s="427" t="str">
        <f t="shared" si="19"/>
        <v>0,00</v>
      </c>
      <c r="AS99" s="427">
        <f t="shared" si="20"/>
        <v>0</v>
      </c>
      <c r="AT99" s="129" t="str">
        <f t="shared" si="23"/>
        <v/>
      </c>
      <c r="AU99" s="128">
        <v>85</v>
      </c>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row>
    <row r="100" spans="1:70" ht="25" hidden="1" customHeight="1">
      <c r="A100" s="313">
        <v>86</v>
      </c>
      <c r="B100" s="459"/>
      <c r="C100" s="460"/>
      <c r="D100" s="460"/>
      <c r="E100" s="461"/>
      <c r="F100" s="462"/>
      <c r="G100" s="463"/>
      <c r="H100" s="183" t="str">
        <f t="shared" si="4"/>
        <v/>
      </c>
      <c r="I100" s="470" t="str">
        <f t="shared" si="5"/>
        <v/>
      </c>
      <c r="J100" s="474"/>
      <c r="K100" s="184" t="b">
        <f t="shared" si="6"/>
        <v>0</v>
      </c>
      <c r="L100" s="321">
        <f t="shared" si="0"/>
        <v>0</v>
      </c>
      <c r="M100" s="464"/>
      <c r="N100" s="322">
        <f t="shared" si="8"/>
        <v>0</v>
      </c>
      <c r="O100" s="186" t="str">
        <f t="shared" si="13"/>
        <v/>
      </c>
      <c r="P100" s="661"/>
      <c r="Q100" s="662"/>
      <c r="R100" s="662"/>
      <c r="S100" s="662"/>
      <c r="T100" s="662"/>
      <c r="U100" s="662"/>
      <c r="V100" s="662"/>
      <c r="W100" s="662"/>
      <c r="X100" s="663"/>
      <c r="Y100" s="318"/>
      <c r="Z100" s="426">
        <f>IFERROR(VLOOKUP(D100,#REF!,1,FALSE),0)</f>
        <v>0</v>
      </c>
      <c r="AA100" s="476" t="b">
        <f t="shared" si="14"/>
        <v>0</v>
      </c>
      <c r="AB100" s="128" t="e">
        <f>VLOOKUP($B100,Leveranciersnamen!$D:$E,2,FALSE)</f>
        <v>#N/A</v>
      </c>
      <c r="AC100" s="128" t="str">
        <f>IF($B100&lt;="","Geen waarde",IFERROR(VLOOKUP(CONCATENATE($C$9,$C$10,$B100),Leveranciersnamen!$A:$A,1,FALSE),"fout"))</f>
        <v>Geen waarde</v>
      </c>
      <c r="AD100" s="128" t="str">
        <f t="shared" si="21"/>
        <v/>
      </c>
      <c r="AE100" s="128"/>
      <c r="AF100" s="128"/>
      <c r="AG100" s="128" t="str">
        <f>IF(AC100="fout","fout",IF(B100&lt;&gt;"",VLOOKUP(CONCATENATE(C$9,C$10,$B100),Leveranciersnamen!$A:$F,6,FALSE),""))</f>
        <v/>
      </c>
      <c r="AH100" s="128" t="str">
        <f t="shared" si="22"/>
        <v>0,00</v>
      </c>
      <c r="AI100" s="128"/>
      <c r="AJ100" s="128"/>
      <c r="AK100" s="128"/>
      <c r="AL100" s="128"/>
      <c r="AM100" s="394"/>
      <c r="AN100" s="394"/>
      <c r="AO100" s="394"/>
      <c r="AP100" s="394"/>
      <c r="AQ100" s="427">
        <f t="shared" si="18"/>
        <v>0</v>
      </c>
      <c r="AR100" s="427" t="str">
        <f t="shared" si="19"/>
        <v>0,00</v>
      </c>
      <c r="AS100" s="427">
        <f t="shared" si="20"/>
        <v>0</v>
      </c>
      <c r="AT100" s="129" t="str">
        <f t="shared" si="23"/>
        <v/>
      </c>
      <c r="AU100" s="394">
        <v>86</v>
      </c>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row>
    <row r="101" spans="1:70" ht="25" hidden="1" customHeight="1">
      <c r="A101" s="313">
        <v>87</v>
      </c>
      <c r="B101" s="459"/>
      <c r="C101" s="460"/>
      <c r="D101" s="460"/>
      <c r="E101" s="461"/>
      <c r="F101" s="462"/>
      <c r="G101" s="463"/>
      <c r="H101" s="183" t="str">
        <f t="shared" si="4"/>
        <v/>
      </c>
      <c r="I101" s="470" t="str">
        <f t="shared" si="5"/>
        <v/>
      </c>
      <c r="J101" s="474"/>
      <c r="K101" s="184" t="b">
        <f t="shared" si="6"/>
        <v>0</v>
      </c>
      <c r="L101" s="321">
        <f t="shared" si="0"/>
        <v>0</v>
      </c>
      <c r="M101" s="464"/>
      <c r="N101" s="322">
        <f t="shared" si="8"/>
        <v>0</v>
      </c>
      <c r="O101" s="186" t="str">
        <f t="shared" si="13"/>
        <v/>
      </c>
      <c r="P101" s="661"/>
      <c r="Q101" s="662"/>
      <c r="R101" s="662"/>
      <c r="S101" s="662"/>
      <c r="T101" s="662"/>
      <c r="U101" s="662"/>
      <c r="V101" s="662"/>
      <c r="W101" s="662"/>
      <c r="X101" s="663"/>
      <c r="Y101" s="318"/>
      <c r="Z101" s="426">
        <f>IFERROR(VLOOKUP(D101,#REF!,1,FALSE),0)</f>
        <v>0</v>
      </c>
      <c r="AA101" s="476" t="b">
        <f t="shared" si="14"/>
        <v>0</v>
      </c>
      <c r="AB101" s="128" t="e">
        <f>VLOOKUP($B101,Leveranciersnamen!$D:$E,2,FALSE)</f>
        <v>#N/A</v>
      </c>
      <c r="AC101" s="128" t="str">
        <f>IF($B101&lt;="","Geen waarde",IFERROR(VLOOKUP(CONCATENATE($C$9,$C$10,$B101),Leveranciersnamen!$A:$A,1,FALSE),"fout"))</f>
        <v>Geen waarde</v>
      </c>
      <c r="AD101" s="128" t="str">
        <f t="shared" si="21"/>
        <v/>
      </c>
      <c r="AE101" s="128"/>
      <c r="AF101" s="128"/>
      <c r="AG101" s="128" t="str">
        <f>IF(AC101="fout","fout",IF(B101&lt;&gt;"",VLOOKUP(CONCATENATE(C$9,C$10,$B101),Leveranciersnamen!$A:$F,6,FALSE),""))</f>
        <v/>
      </c>
      <c r="AH101" s="128" t="str">
        <f t="shared" si="22"/>
        <v>0,00</v>
      </c>
      <c r="AI101" s="128"/>
      <c r="AJ101" s="128"/>
      <c r="AK101" s="128"/>
      <c r="AL101" s="128"/>
      <c r="AM101" s="394"/>
      <c r="AN101" s="394"/>
      <c r="AO101" s="394"/>
      <c r="AP101" s="394"/>
      <c r="AQ101" s="427">
        <f t="shared" si="18"/>
        <v>0</v>
      </c>
      <c r="AR101" s="427" t="str">
        <f t="shared" si="19"/>
        <v>0,00</v>
      </c>
      <c r="AS101" s="427">
        <f t="shared" si="20"/>
        <v>0</v>
      </c>
      <c r="AT101" s="129" t="str">
        <f t="shared" si="23"/>
        <v/>
      </c>
      <c r="AU101" s="128">
        <v>87</v>
      </c>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row>
    <row r="102" spans="1:70" ht="25" hidden="1" customHeight="1" thickBot="1">
      <c r="A102" s="313">
        <v>88</v>
      </c>
      <c r="B102" s="187"/>
      <c r="C102" s="188"/>
      <c r="D102" s="188"/>
      <c r="E102" s="189"/>
      <c r="F102" s="190"/>
      <c r="G102" s="278"/>
      <c r="H102" s="183" t="str">
        <f t="shared" si="4"/>
        <v/>
      </c>
      <c r="I102" s="471" t="str">
        <f t="shared" si="5"/>
        <v/>
      </c>
      <c r="J102" s="475"/>
      <c r="K102" s="184" t="b">
        <f t="shared" si="6"/>
        <v>0</v>
      </c>
      <c r="L102" s="321">
        <f t="shared" si="0"/>
        <v>0</v>
      </c>
      <c r="M102" s="191"/>
      <c r="N102" s="324">
        <f t="shared" si="8"/>
        <v>0</v>
      </c>
      <c r="O102" s="186" t="str">
        <f t="shared" si="13"/>
        <v/>
      </c>
      <c r="P102" s="664"/>
      <c r="Q102" s="665"/>
      <c r="R102" s="665"/>
      <c r="S102" s="665"/>
      <c r="T102" s="665"/>
      <c r="U102" s="665"/>
      <c r="V102" s="665"/>
      <c r="W102" s="665"/>
      <c r="X102" s="666"/>
      <c r="Y102" s="318"/>
      <c r="Z102" s="426">
        <f>IFERROR(VLOOKUP(D102,#REF!,1,FALSE),0)</f>
        <v>0</v>
      </c>
      <c r="AA102" s="476" t="b">
        <f t="shared" si="2"/>
        <v>0</v>
      </c>
      <c r="AB102" s="128" t="e">
        <f>VLOOKUP($B102,Leveranciersnamen!$D:$E,2,FALSE)</f>
        <v>#N/A</v>
      </c>
      <c r="AC102" s="128" t="str">
        <f>IF($B102&lt;="","Geen waarde",IFERROR(VLOOKUP(CONCATENATE($C$9,$C$10,$B102),Leveranciersnamen!$A:$A,1,FALSE),"fout"))</f>
        <v>Geen waarde</v>
      </c>
      <c r="AD102" s="128" t="str">
        <f t="shared" si="21"/>
        <v/>
      </c>
      <c r="AE102" s="128"/>
      <c r="AF102" s="128"/>
      <c r="AG102" s="128" t="str">
        <f>IF(AC102="fout","fout",IF(B102&lt;&gt;"",VLOOKUP(CONCATENATE(C$9,C$10,$B102),Leveranciersnamen!$A:$F,6,FALSE),""))</f>
        <v/>
      </c>
      <c r="AH102" s="128" t="str">
        <f t="shared" si="22"/>
        <v>0,00</v>
      </c>
      <c r="AI102" s="128"/>
      <c r="AJ102" s="128"/>
      <c r="AK102" s="128"/>
      <c r="AL102" s="128"/>
      <c r="AM102" s="394"/>
      <c r="AN102" s="394"/>
      <c r="AO102" s="394"/>
      <c r="AP102" s="394"/>
      <c r="AQ102" s="427">
        <f t="shared" si="18"/>
        <v>0</v>
      </c>
      <c r="AR102" s="427" t="str">
        <f t="shared" si="19"/>
        <v>0,00</v>
      </c>
      <c r="AS102" s="427">
        <f t="shared" si="20"/>
        <v>0</v>
      </c>
      <c r="AT102" s="129" t="str">
        <f t="shared" ref="AT102" si="24">IF(AU102&lt;=$T$10,IF(AS102=0,"",AT101&amp;CHAR(10)&amp;AQ102&amp;" met "&amp;AR102&amp;" punten"&amp;IF($AU102=$T$10,".",IF(AND($AU102&lt;$T$10,AS103=0),".",","))),"")</f>
        <v/>
      </c>
      <c r="AU102" s="128">
        <v>88</v>
      </c>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row>
    <row r="103" spans="1:70" ht="13.5" customHeight="1">
      <c r="A103" s="289"/>
      <c r="B103" s="270"/>
      <c r="C103" s="290"/>
      <c r="D103" s="69"/>
      <c r="E103" s="69"/>
      <c r="F103" s="291"/>
      <c r="G103" s="69"/>
      <c r="H103" s="69"/>
      <c r="I103" s="69"/>
      <c r="J103" s="291"/>
      <c r="K103" s="69"/>
      <c r="L103" s="291"/>
      <c r="M103" s="291"/>
      <c r="N103" s="291"/>
      <c r="O103" s="291"/>
      <c r="P103" s="291"/>
      <c r="Q103" s="291"/>
      <c r="R103" s="291"/>
      <c r="S103" s="69"/>
      <c r="T103" s="69"/>
      <c r="U103" s="69"/>
      <c r="V103" s="319"/>
      <c r="W103" s="58"/>
      <c r="X103" s="58"/>
      <c r="Y103" s="151"/>
      <c r="Z103" s="394"/>
      <c r="AA103" s="455" t="s">
        <v>175</v>
      </c>
      <c r="AB103" s="533"/>
      <c r="AC103" s="533"/>
      <c r="AD103" s="426"/>
      <c r="AE103" s="128"/>
      <c r="AF103" s="128"/>
      <c r="AG103" s="128"/>
      <c r="AH103" s="128"/>
      <c r="AI103" s="128"/>
      <c r="AJ103" s="128"/>
      <c r="AK103" s="128"/>
      <c r="AL103" s="128"/>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row>
    <row r="104" spans="1:70" ht="17.25" customHeight="1">
      <c r="AB104" s="394"/>
      <c r="AC104" s="394"/>
      <c r="AD104" s="394"/>
      <c r="AE104" s="128"/>
      <c r="AF104" s="128"/>
      <c r="AG104" s="128"/>
      <c r="AH104" s="128"/>
      <c r="AI104" s="128"/>
      <c r="AJ104" s="128"/>
      <c r="AK104" s="128"/>
      <c r="AL104" s="128"/>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row>
    <row r="105" spans="1:70" ht="17.25" customHeight="1">
      <c r="AB105" s="394"/>
      <c r="AC105" s="394"/>
      <c r="AD105" s="394"/>
      <c r="AE105" s="128"/>
      <c r="AF105" s="128"/>
      <c r="AG105" s="128"/>
      <c r="AH105" s="128"/>
      <c r="AI105" s="128"/>
      <c r="AJ105" s="128"/>
      <c r="AK105" s="128"/>
      <c r="AL105" s="128"/>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row>
    <row r="106" spans="1:70" ht="17.25" customHeight="1">
      <c r="AB106" s="394"/>
      <c r="AC106" s="394"/>
      <c r="AD106" s="394"/>
      <c r="AE106" s="128"/>
      <c r="AF106" s="128"/>
      <c r="AG106" s="128"/>
      <c r="AH106" s="128"/>
      <c r="AI106" s="128"/>
      <c r="AJ106" s="128"/>
      <c r="AK106" s="128"/>
      <c r="AL106" s="128"/>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row>
    <row r="107" spans="1:70" ht="17.25" customHeight="1">
      <c r="AB107" s="394"/>
      <c r="AC107" s="394"/>
      <c r="AD107" s="394"/>
      <c r="AE107" s="127"/>
      <c r="AF107" s="426"/>
      <c r="AG107" s="426"/>
      <c r="AH107" s="426"/>
      <c r="AI107" s="426"/>
      <c r="AJ107" s="426"/>
      <c r="AK107" s="426"/>
      <c r="AL107" s="426"/>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row>
    <row r="108" spans="1:70" ht="17.25" customHeight="1">
      <c r="AB108" s="394"/>
      <c r="AC108" s="394"/>
      <c r="AD108" s="394"/>
      <c r="AE108" s="127"/>
      <c r="AF108" s="426"/>
      <c r="AG108" s="426"/>
      <c r="AH108" s="426"/>
      <c r="AI108" s="426"/>
      <c r="AJ108" s="426"/>
      <c r="AK108" s="426"/>
      <c r="AL108" s="426"/>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row>
    <row r="109" spans="1:70" ht="17.25" customHeight="1">
      <c r="AB109" s="394"/>
      <c r="AC109" s="394"/>
      <c r="AD109" s="394"/>
      <c r="AE109" s="127"/>
      <c r="AF109" s="426"/>
      <c r="AG109" s="426"/>
      <c r="AH109" s="426"/>
      <c r="AI109" s="426"/>
      <c r="AJ109" s="426"/>
      <c r="AK109" s="426"/>
      <c r="AL109" s="426"/>
      <c r="AM109" s="394"/>
      <c r="AN109" s="394"/>
      <c r="AO109" s="394"/>
      <c r="AP109" s="394"/>
      <c r="AQ109" s="394"/>
      <c r="AR109" s="394"/>
      <c r="AS109" s="394"/>
      <c r="AT109" s="394"/>
      <c r="AU109" s="394"/>
      <c r="AV109" s="394"/>
      <c r="AW109" s="394"/>
      <c r="AX109" s="394"/>
      <c r="AY109" s="394"/>
      <c r="AZ109" s="394"/>
      <c r="BA109" s="394"/>
      <c r="BB109" s="394"/>
      <c r="BC109" s="394"/>
      <c r="BD109" s="394"/>
      <c r="BE109" s="394"/>
      <c r="BF109" s="394"/>
      <c r="BG109" s="394"/>
      <c r="BH109" s="394"/>
      <c r="BI109" s="394"/>
      <c r="BJ109" s="394"/>
      <c r="BK109" s="394"/>
      <c r="BL109" s="394"/>
      <c r="BM109" s="394"/>
      <c r="BN109" s="394"/>
      <c r="BO109" s="394"/>
      <c r="BP109" s="394"/>
      <c r="BQ109" s="394"/>
      <c r="BR109" s="394"/>
    </row>
    <row r="110" spans="1:70" ht="17.25" customHeight="1">
      <c r="AB110" s="394"/>
      <c r="AC110" s="394"/>
      <c r="AD110" s="394"/>
      <c r="AE110" s="127"/>
      <c r="AF110" s="426"/>
      <c r="AG110" s="426"/>
      <c r="AH110" s="426"/>
      <c r="AI110" s="426"/>
      <c r="AJ110" s="426"/>
      <c r="AK110" s="426"/>
      <c r="AL110" s="426"/>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c r="BO110" s="394"/>
      <c r="BP110" s="394"/>
      <c r="BQ110" s="394"/>
      <c r="BR110" s="394"/>
    </row>
    <row r="111" spans="1:70" ht="17.25" customHeight="1">
      <c r="AB111" s="394"/>
      <c r="AC111" s="394"/>
      <c r="AD111" s="394"/>
      <c r="AE111" s="127"/>
      <c r="AF111" s="426"/>
      <c r="AG111" s="426"/>
      <c r="AH111" s="426"/>
      <c r="AI111" s="426"/>
      <c r="AJ111" s="426"/>
      <c r="AK111" s="426"/>
      <c r="AL111" s="426"/>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394"/>
      <c r="BI111" s="394"/>
      <c r="BJ111" s="394"/>
      <c r="BK111" s="394"/>
      <c r="BL111" s="394"/>
      <c r="BM111" s="394"/>
      <c r="BN111" s="394"/>
      <c r="BO111" s="394"/>
      <c r="BP111" s="394"/>
      <c r="BQ111" s="394"/>
      <c r="BR111" s="394"/>
    </row>
    <row r="112" spans="1:70" ht="17.25" customHeight="1">
      <c r="AB112" s="394"/>
      <c r="AC112" s="394"/>
      <c r="AD112" s="394"/>
      <c r="AE112" s="127"/>
      <c r="AF112" s="426"/>
      <c r="AG112" s="426"/>
      <c r="AH112" s="426"/>
      <c r="AI112" s="426"/>
      <c r="AJ112" s="426"/>
      <c r="AK112" s="426"/>
      <c r="AL112" s="426"/>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c r="BO112" s="394"/>
      <c r="BP112" s="394"/>
      <c r="BQ112" s="394"/>
      <c r="BR112" s="394"/>
    </row>
    <row r="113" spans="28:70" ht="17.25" customHeight="1">
      <c r="AB113" s="394"/>
      <c r="AC113" s="394"/>
      <c r="AD113" s="394"/>
      <c r="AE113" s="127"/>
      <c r="AF113" s="426"/>
      <c r="AG113" s="426"/>
      <c r="AH113" s="426"/>
      <c r="AI113" s="426"/>
      <c r="AJ113" s="426"/>
      <c r="AK113" s="426"/>
      <c r="AL113" s="426"/>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row>
    <row r="114" spans="28:70" ht="17.25" customHeight="1">
      <c r="AB114" s="394"/>
      <c r="AC114" s="394"/>
      <c r="AD114" s="394"/>
      <c r="AE114" s="127"/>
      <c r="AF114" s="426"/>
      <c r="AG114" s="426"/>
      <c r="AH114" s="426"/>
      <c r="AI114" s="426"/>
      <c r="AJ114" s="426"/>
      <c r="AK114" s="426"/>
      <c r="AL114" s="426"/>
      <c r="AM114" s="394"/>
      <c r="AN114" s="394"/>
      <c r="AO114" s="394"/>
      <c r="AP114" s="394"/>
      <c r="AQ114" s="394"/>
      <c r="AR114" s="394"/>
      <c r="AS114" s="394"/>
      <c r="AT114" s="394"/>
      <c r="AU114" s="394"/>
      <c r="AV114" s="394"/>
      <c r="AW114" s="394"/>
      <c r="AX114" s="394"/>
      <c r="AY114" s="394"/>
      <c r="AZ114" s="394"/>
      <c r="BA114" s="394"/>
      <c r="BB114" s="394"/>
      <c r="BC114" s="394"/>
      <c r="BD114" s="394"/>
      <c r="BE114" s="394"/>
      <c r="BF114" s="394"/>
      <c r="BG114" s="394"/>
      <c r="BH114" s="394"/>
      <c r="BI114" s="394"/>
      <c r="BJ114" s="394"/>
      <c r="BK114" s="394"/>
      <c r="BL114" s="394"/>
      <c r="BM114" s="394"/>
      <c r="BN114" s="394"/>
      <c r="BO114" s="394"/>
      <c r="BP114" s="394"/>
      <c r="BQ114" s="394"/>
      <c r="BR114" s="394"/>
    </row>
    <row r="115" spans="28:70" ht="17.25" customHeight="1">
      <c r="AB115" s="394"/>
      <c r="AC115" s="394"/>
      <c r="AD115" s="394"/>
      <c r="AE115" s="127"/>
      <c r="AF115" s="426"/>
      <c r="AG115" s="426"/>
      <c r="AH115" s="426"/>
      <c r="AI115" s="426"/>
      <c r="AJ115" s="426"/>
      <c r="AK115" s="426"/>
      <c r="AL115" s="426"/>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c r="BO115" s="394"/>
      <c r="BP115" s="394"/>
      <c r="BQ115" s="394"/>
      <c r="BR115" s="394"/>
    </row>
    <row r="116" spans="28:70" ht="17.25" customHeight="1">
      <c r="AB116" s="394"/>
      <c r="AC116" s="394"/>
      <c r="AD116" s="394"/>
      <c r="AE116" s="127"/>
      <c r="AF116" s="426"/>
      <c r="AG116" s="426"/>
      <c r="AH116" s="426"/>
      <c r="AI116" s="426"/>
      <c r="AJ116" s="426"/>
      <c r="AK116" s="426"/>
      <c r="AL116" s="426"/>
      <c r="AM116" s="394"/>
      <c r="AN116" s="394"/>
      <c r="AO116" s="394"/>
      <c r="AP116" s="394"/>
      <c r="AQ116" s="394"/>
      <c r="AR116" s="394"/>
      <c r="AS116" s="394"/>
      <c r="AT116" s="394"/>
      <c r="AU116" s="394"/>
      <c r="AV116" s="394"/>
      <c r="AW116" s="394"/>
      <c r="AX116" s="394"/>
      <c r="AY116" s="394"/>
      <c r="AZ116" s="394"/>
      <c r="BA116" s="394"/>
      <c r="BB116" s="394"/>
      <c r="BC116" s="394"/>
      <c r="BD116" s="394"/>
      <c r="BE116" s="394"/>
      <c r="BF116" s="394"/>
      <c r="BG116" s="394"/>
      <c r="BH116" s="394"/>
      <c r="BI116" s="394"/>
      <c r="BJ116" s="394"/>
      <c r="BK116" s="394"/>
      <c r="BL116" s="394"/>
      <c r="BM116" s="394"/>
      <c r="BN116" s="394"/>
      <c r="BO116" s="394"/>
      <c r="BP116" s="394"/>
      <c r="BQ116" s="394"/>
      <c r="BR116" s="394"/>
    </row>
    <row r="117" spans="28:70" ht="17.25" customHeight="1">
      <c r="AB117" s="394"/>
      <c r="AC117" s="394"/>
      <c r="AD117" s="394"/>
      <c r="AE117" s="127"/>
      <c r="AF117" s="426"/>
      <c r="AG117" s="426"/>
      <c r="AH117" s="426"/>
      <c r="AI117" s="426"/>
      <c r="AJ117" s="426"/>
      <c r="AK117" s="426"/>
      <c r="AL117" s="426"/>
      <c r="AM117" s="394"/>
      <c r="AN117" s="394"/>
      <c r="AO117" s="394"/>
      <c r="AP117" s="394"/>
      <c r="AQ117" s="394"/>
      <c r="AR117" s="394"/>
      <c r="AS117" s="394"/>
      <c r="AT117" s="394"/>
      <c r="AU117" s="394"/>
      <c r="AV117" s="394"/>
      <c r="AW117" s="394"/>
      <c r="AX117" s="394"/>
      <c r="AY117" s="394"/>
      <c r="AZ117" s="394"/>
      <c r="BA117" s="394"/>
      <c r="BB117" s="394"/>
      <c r="BC117" s="394"/>
      <c r="BD117" s="394"/>
      <c r="BE117" s="394"/>
      <c r="BF117" s="394"/>
      <c r="BG117" s="394"/>
      <c r="BH117" s="394"/>
      <c r="BI117" s="394"/>
      <c r="BJ117" s="394"/>
      <c r="BK117" s="394"/>
      <c r="BL117" s="394"/>
      <c r="BM117" s="394"/>
      <c r="BN117" s="394"/>
      <c r="BO117" s="394"/>
      <c r="BP117" s="394"/>
      <c r="BQ117" s="394"/>
      <c r="BR117" s="394"/>
    </row>
    <row r="118" spans="28:70" ht="17.25" customHeight="1">
      <c r="AB118" s="394"/>
      <c r="AC118" s="394"/>
      <c r="AD118" s="394"/>
      <c r="AE118" s="127"/>
      <c r="AF118" s="426"/>
      <c r="AG118" s="426"/>
      <c r="AH118" s="426"/>
      <c r="AI118" s="426"/>
      <c r="AJ118" s="426"/>
      <c r="AK118" s="426"/>
      <c r="AL118" s="426"/>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c r="BO118" s="394"/>
      <c r="BP118" s="394"/>
      <c r="BQ118" s="394"/>
      <c r="BR118" s="394"/>
    </row>
    <row r="119" spans="28:70" ht="17.25" customHeight="1">
      <c r="AB119" s="394"/>
      <c r="AC119" s="394"/>
      <c r="AD119" s="394"/>
      <c r="AE119" s="127"/>
      <c r="AF119" s="426"/>
      <c r="AG119" s="426"/>
      <c r="AH119" s="426"/>
      <c r="AI119" s="426"/>
      <c r="AJ119" s="426"/>
      <c r="AK119" s="426"/>
      <c r="AL119" s="426"/>
      <c r="AM119" s="394"/>
      <c r="AN119" s="394"/>
      <c r="AO119" s="394"/>
      <c r="AP119" s="394"/>
      <c r="AQ119" s="394"/>
      <c r="AR119" s="394"/>
      <c r="AS119" s="394"/>
      <c r="AT119" s="394"/>
      <c r="AU119" s="394"/>
      <c r="AV119" s="394"/>
      <c r="AW119" s="394"/>
      <c r="AX119" s="394"/>
      <c r="AY119" s="394"/>
      <c r="AZ119" s="394"/>
      <c r="BA119" s="394"/>
      <c r="BB119" s="394"/>
      <c r="BC119" s="394"/>
      <c r="BD119" s="394"/>
      <c r="BE119" s="394"/>
      <c r="BF119" s="394"/>
      <c r="BG119" s="394"/>
      <c r="BH119" s="394"/>
      <c r="BI119" s="394"/>
      <c r="BJ119" s="394"/>
      <c r="BK119" s="394"/>
      <c r="BL119" s="394"/>
      <c r="BM119" s="394"/>
      <c r="BN119" s="394"/>
      <c r="BO119" s="394"/>
      <c r="BP119" s="394"/>
      <c r="BQ119" s="394"/>
      <c r="BR119" s="394"/>
    </row>
    <row r="120" spans="28:70" ht="17.25" customHeight="1">
      <c r="AB120" s="394"/>
      <c r="AC120" s="394"/>
      <c r="AD120" s="394"/>
      <c r="AE120" s="127"/>
      <c r="AF120" s="426"/>
      <c r="AG120" s="426"/>
      <c r="AH120" s="426"/>
      <c r="AI120" s="426"/>
      <c r="AJ120" s="426"/>
      <c r="AK120" s="426"/>
      <c r="AL120" s="426"/>
      <c r="AM120" s="394"/>
      <c r="AN120" s="394"/>
      <c r="AO120" s="394"/>
      <c r="AP120" s="394"/>
      <c r="AQ120" s="394"/>
      <c r="AR120" s="394"/>
      <c r="AS120" s="394"/>
      <c r="AT120" s="394"/>
      <c r="AU120" s="394"/>
      <c r="AV120" s="394"/>
      <c r="AW120" s="394"/>
      <c r="AX120" s="394"/>
      <c r="AY120" s="394"/>
      <c r="AZ120" s="394"/>
      <c r="BA120" s="394"/>
      <c r="BB120" s="394"/>
      <c r="BC120" s="394"/>
      <c r="BD120" s="394"/>
      <c r="BE120" s="394"/>
      <c r="BF120" s="394"/>
      <c r="BG120" s="394"/>
      <c r="BH120" s="394"/>
      <c r="BI120" s="394"/>
      <c r="BJ120" s="394"/>
      <c r="BK120" s="394"/>
      <c r="BL120" s="394"/>
      <c r="BM120" s="394"/>
      <c r="BN120" s="394"/>
      <c r="BO120" s="394"/>
      <c r="BP120" s="394"/>
      <c r="BQ120" s="394"/>
      <c r="BR120" s="394"/>
    </row>
    <row r="121" spans="28:70" ht="17.25" customHeight="1">
      <c r="AB121" s="394"/>
      <c r="AC121" s="394"/>
      <c r="AD121" s="394"/>
      <c r="AE121" s="127"/>
      <c r="AF121" s="426"/>
      <c r="AG121" s="426"/>
      <c r="AH121" s="426"/>
      <c r="AI121" s="426"/>
      <c r="AJ121" s="426"/>
      <c r="AK121" s="426"/>
      <c r="AL121" s="426"/>
      <c r="AM121" s="394"/>
      <c r="AN121" s="394"/>
      <c r="AO121" s="394"/>
      <c r="AP121" s="394"/>
      <c r="AQ121" s="394"/>
      <c r="AR121" s="394"/>
      <c r="AS121" s="394"/>
      <c r="AT121" s="394"/>
      <c r="AU121" s="394"/>
      <c r="AV121" s="394"/>
      <c r="AW121" s="394"/>
      <c r="AX121" s="394"/>
      <c r="AY121" s="394"/>
      <c r="AZ121" s="394"/>
      <c r="BA121" s="394"/>
      <c r="BB121" s="394"/>
      <c r="BC121" s="394"/>
      <c r="BD121" s="394"/>
      <c r="BE121" s="394"/>
      <c r="BF121" s="394"/>
      <c r="BG121" s="394"/>
      <c r="BH121" s="394"/>
      <c r="BI121" s="394"/>
      <c r="BJ121" s="394"/>
      <c r="BK121" s="394"/>
      <c r="BL121" s="394"/>
      <c r="BM121" s="394"/>
      <c r="BN121" s="394"/>
      <c r="BO121" s="394"/>
      <c r="BP121" s="394"/>
      <c r="BQ121" s="394"/>
      <c r="BR121" s="394"/>
    </row>
    <row r="122" spans="28:70" ht="17.25" customHeight="1">
      <c r="AB122" s="394"/>
      <c r="AC122" s="394"/>
      <c r="AD122" s="394"/>
      <c r="AE122" s="127"/>
      <c r="AF122" s="426"/>
      <c r="AG122" s="426"/>
      <c r="AH122" s="426"/>
      <c r="AI122" s="426"/>
      <c r="AJ122" s="426"/>
      <c r="AK122" s="426"/>
      <c r="AL122" s="426"/>
      <c r="AM122" s="394"/>
      <c r="AN122" s="394"/>
      <c r="AO122" s="394"/>
      <c r="AP122" s="394"/>
      <c r="AQ122" s="394"/>
      <c r="AR122" s="394"/>
      <c r="AS122" s="394"/>
      <c r="AT122" s="394"/>
      <c r="AU122" s="394"/>
      <c r="AV122" s="394"/>
      <c r="AW122" s="394"/>
      <c r="AX122" s="394"/>
      <c r="AY122" s="394"/>
      <c r="AZ122" s="394"/>
      <c r="BA122" s="394"/>
      <c r="BB122" s="394"/>
      <c r="BC122" s="394"/>
      <c r="BD122" s="394"/>
      <c r="BE122" s="394"/>
      <c r="BF122" s="394"/>
      <c r="BG122" s="394"/>
      <c r="BH122" s="394"/>
      <c r="BI122" s="394"/>
      <c r="BJ122" s="394"/>
      <c r="BK122" s="394"/>
      <c r="BL122" s="394"/>
      <c r="BM122" s="394"/>
      <c r="BN122" s="394"/>
      <c r="BO122" s="394"/>
      <c r="BP122" s="394"/>
      <c r="BQ122" s="394"/>
      <c r="BR122" s="394"/>
    </row>
    <row r="123" spans="28:70" ht="17.25" customHeight="1">
      <c r="AB123" s="394"/>
      <c r="AC123" s="394"/>
      <c r="AD123" s="394"/>
      <c r="AE123" s="127"/>
      <c r="AF123" s="426"/>
      <c r="AG123" s="426"/>
      <c r="AH123" s="426"/>
      <c r="AI123" s="426"/>
      <c r="AJ123" s="426"/>
      <c r="AK123" s="426"/>
      <c r="AL123" s="426"/>
      <c r="AM123" s="394"/>
      <c r="AN123" s="394"/>
      <c r="AO123" s="394"/>
      <c r="AP123" s="394"/>
      <c r="AQ123" s="394"/>
      <c r="AR123" s="394"/>
      <c r="AS123" s="394"/>
      <c r="AT123" s="394"/>
      <c r="AU123" s="394"/>
      <c r="AV123" s="394"/>
      <c r="AW123" s="394"/>
      <c r="AX123" s="394"/>
      <c r="AY123" s="394"/>
      <c r="AZ123" s="394"/>
      <c r="BA123" s="394"/>
      <c r="BB123" s="394"/>
      <c r="BC123" s="394"/>
      <c r="BD123" s="394"/>
      <c r="BE123" s="394"/>
      <c r="BF123" s="394"/>
      <c r="BG123" s="394"/>
      <c r="BH123" s="394"/>
      <c r="BI123" s="394"/>
      <c r="BJ123" s="394"/>
      <c r="BK123" s="394"/>
      <c r="BL123" s="394"/>
      <c r="BM123" s="394"/>
      <c r="BN123" s="394"/>
      <c r="BO123" s="394"/>
      <c r="BP123" s="394"/>
      <c r="BQ123" s="394"/>
      <c r="BR123" s="394"/>
    </row>
    <row r="124" spans="28:70" ht="17.25" customHeight="1">
      <c r="AB124" s="394"/>
      <c r="AC124" s="394"/>
      <c r="AD124" s="394"/>
      <c r="AE124" s="127"/>
      <c r="AF124" s="426"/>
      <c r="AG124" s="426"/>
      <c r="AH124" s="426"/>
      <c r="AI124" s="426"/>
      <c r="AJ124" s="426"/>
      <c r="AK124" s="426"/>
      <c r="AL124" s="426"/>
      <c r="AM124" s="394"/>
      <c r="AN124" s="394"/>
      <c r="AO124" s="394"/>
      <c r="AP124" s="394"/>
      <c r="AQ124" s="394"/>
      <c r="AR124" s="394"/>
      <c r="AS124" s="394"/>
      <c r="AT124" s="394"/>
      <c r="AU124" s="394"/>
      <c r="AV124" s="394"/>
      <c r="AW124" s="394"/>
      <c r="AX124" s="394"/>
      <c r="AY124" s="394"/>
      <c r="AZ124" s="394"/>
      <c r="BA124" s="394"/>
      <c r="BB124" s="394"/>
      <c r="BC124" s="394"/>
      <c r="BD124" s="394"/>
      <c r="BE124" s="394"/>
      <c r="BF124" s="394"/>
      <c r="BG124" s="394"/>
      <c r="BH124" s="394"/>
      <c r="BI124" s="394"/>
      <c r="BJ124" s="394"/>
      <c r="BK124" s="394"/>
      <c r="BL124" s="394"/>
      <c r="BM124" s="394"/>
      <c r="BN124" s="394"/>
      <c r="BO124" s="394"/>
      <c r="BP124" s="394"/>
      <c r="BQ124" s="394"/>
      <c r="BR124" s="394"/>
    </row>
    <row r="125" spans="28:70" ht="17.25" customHeight="1">
      <c r="AB125" s="394"/>
      <c r="AC125" s="394"/>
      <c r="AD125" s="394"/>
      <c r="AE125" s="127"/>
      <c r="AF125" s="426"/>
      <c r="AG125" s="426"/>
      <c r="AH125" s="426"/>
      <c r="AI125" s="426"/>
      <c r="AJ125" s="426"/>
      <c r="AK125" s="426"/>
      <c r="AL125" s="426"/>
      <c r="AM125" s="394"/>
      <c r="AN125" s="394"/>
      <c r="AO125" s="394"/>
      <c r="AP125" s="394"/>
      <c r="AQ125" s="394"/>
      <c r="AR125" s="394"/>
      <c r="AS125" s="394"/>
      <c r="AT125" s="394"/>
      <c r="AU125" s="394"/>
      <c r="AV125" s="394"/>
      <c r="AW125" s="394"/>
      <c r="AX125" s="394"/>
      <c r="AY125" s="394"/>
      <c r="AZ125" s="394"/>
      <c r="BA125" s="394"/>
      <c r="BB125" s="394"/>
      <c r="BC125" s="394"/>
      <c r="BD125" s="394"/>
      <c r="BE125" s="394"/>
      <c r="BF125" s="394"/>
      <c r="BG125" s="394"/>
      <c r="BH125" s="394"/>
      <c r="BI125" s="394"/>
      <c r="BJ125" s="394"/>
      <c r="BK125" s="394"/>
      <c r="BL125" s="394"/>
      <c r="BM125" s="394"/>
      <c r="BN125" s="394"/>
      <c r="BO125" s="394"/>
      <c r="BP125" s="394"/>
      <c r="BQ125" s="394"/>
      <c r="BR125" s="394"/>
    </row>
    <row r="126" spans="28:70" ht="17.25" customHeight="1">
      <c r="AB126" s="394"/>
      <c r="AC126" s="394"/>
      <c r="AD126" s="394"/>
      <c r="AE126" s="127"/>
      <c r="AF126" s="426"/>
      <c r="AG126" s="426"/>
      <c r="AH126" s="426"/>
      <c r="AI126" s="426"/>
      <c r="AJ126" s="426"/>
      <c r="AK126" s="426"/>
      <c r="AL126" s="426"/>
      <c r="AM126" s="394"/>
      <c r="AN126" s="394"/>
      <c r="AO126" s="394"/>
      <c r="AP126" s="394"/>
      <c r="AQ126" s="394"/>
      <c r="AR126" s="394"/>
      <c r="AS126" s="394"/>
      <c r="AT126" s="394"/>
      <c r="AU126" s="394"/>
      <c r="AV126" s="394"/>
      <c r="AW126" s="394"/>
      <c r="AX126" s="394"/>
      <c r="AY126" s="394"/>
      <c r="AZ126" s="394"/>
      <c r="BA126" s="394"/>
      <c r="BB126" s="394"/>
      <c r="BC126" s="394"/>
      <c r="BD126" s="394"/>
      <c r="BE126" s="394"/>
      <c r="BF126" s="394"/>
      <c r="BG126" s="394"/>
      <c r="BH126" s="394"/>
      <c r="BI126" s="394"/>
      <c r="BJ126" s="394"/>
      <c r="BK126" s="394"/>
      <c r="BL126" s="394"/>
      <c r="BM126" s="394"/>
      <c r="BN126" s="394"/>
      <c r="BO126" s="394"/>
      <c r="BP126" s="394"/>
      <c r="BQ126" s="394"/>
      <c r="BR126" s="394"/>
    </row>
    <row r="127" spans="28:70" ht="17.25" customHeight="1">
      <c r="AB127" s="394"/>
      <c r="AC127" s="394"/>
      <c r="AD127" s="394"/>
      <c r="AE127" s="127"/>
      <c r="AF127" s="426"/>
      <c r="AG127" s="426"/>
      <c r="AH127" s="426"/>
      <c r="AI127" s="426"/>
      <c r="AJ127" s="426"/>
      <c r="AK127" s="426"/>
      <c r="AL127" s="426"/>
      <c r="AM127" s="394"/>
      <c r="AN127" s="394"/>
      <c r="AO127" s="394"/>
      <c r="AP127" s="394"/>
      <c r="AQ127" s="394"/>
      <c r="AR127" s="394"/>
      <c r="AS127" s="394"/>
      <c r="AT127" s="394"/>
      <c r="AU127" s="394"/>
      <c r="AV127" s="394"/>
      <c r="AW127" s="394"/>
      <c r="AX127" s="394"/>
      <c r="AY127" s="394"/>
      <c r="AZ127" s="394"/>
      <c r="BA127" s="394"/>
      <c r="BB127" s="394"/>
      <c r="BC127" s="394"/>
      <c r="BD127" s="394"/>
      <c r="BE127" s="394"/>
      <c r="BF127" s="394"/>
      <c r="BG127" s="394"/>
      <c r="BH127" s="394"/>
      <c r="BI127" s="394"/>
      <c r="BJ127" s="394"/>
      <c r="BK127" s="394"/>
      <c r="BL127" s="394"/>
      <c r="BM127" s="394"/>
      <c r="BN127" s="394"/>
      <c r="BO127" s="394"/>
      <c r="BP127" s="394"/>
      <c r="BQ127" s="394"/>
      <c r="BR127" s="394"/>
    </row>
    <row r="128" spans="28:70" ht="17.25" customHeight="1">
      <c r="AB128" s="394"/>
      <c r="AC128" s="394"/>
      <c r="AD128" s="394"/>
      <c r="AE128" s="127"/>
      <c r="AF128" s="426"/>
      <c r="AG128" s="426"/>
      <c r="AH128" s="426"/>
      <c r="AI128" s="426"/>
      <c r="AJ128" s="426"/>
      <c r="AK128" s="426"/>
      <c r="AL128" s="426"/>
      <c r="AM128" s="394"/>
      <c r="AN128" s="394"/>
      <c r="AO128" s="394"/>
      <c r="AP128" s="394"/>
      <c r="AQ128" s="394"/>
      <c r="AR128" s="394"/>
      <c r="AS128" s="394"/>
      <c r="AT128" s="394"/>
      <c r="AU128" s="394"/>
      <c r="AV128" s="394"/>
      <c r="AW128" s="394"/>
      <c r="AX128" s="394"/>
      <c r="AY128" s="394"/>
      <c r="AZ128" s="394"/>
      <c r="BA128" s="394"/>
      <c r="BB128" s="394"/>
      <c r="BC128" s="394"/>
      <c r="BD128" s="394"/>
      <c r="BE128" s="394"/>
      <c r="BF128" s="394"/>
      <c r="BG128" s="394"/>
      <c r="BH128" s="394"/>
      <c r="BI128" s="394"/>
      <c r="BJ128" s="394"/>
      <c r="BK128" s="394"/>
      <c r="BL128" s="394"/>
      <c r="BM128" s="394"/>
      <c r="BN128" s="394"/>
      <c r="BO128" s="394"/>
      <c r="BP128" s="394"/>
      <c r="BQ128" s="394"/>
      <c r="BR128" s="394"/>
    </row>
    <row r="129" spans="28:70" ht="17.25" customHeight="1">
      <c r="AB129" s="394"/>
      <c r="AC129" s="394"/>
      <c r="AD129" s="394"/>
      <c r="AE129" s="127"/>
      <c r="AF129" s="426"/>
      <c r="AG129" s="426"/>
      <c r="AH129" s="426"/>
      <c r="AI129" s="426"/>
      <c r="AJ129" s="426"/>
      <c r="AK129" s="426"/>
      <c r="AL129" s="426"/>
      <c r="AM129" s="394"/>
      <c r="AN129" s="394"/>
      <c r="AO129" s="394"/>
      <c r="AP129" s="394"/>
      <c r="AQ129" s="394"/>
      <c r="AR129" s="394"/>
      <c r="AS129" s="394"/>
      <c r="AT129" s="394"/>
      <c r="AU129" s="394"/>
      <c r="AV129" s="394"/>
      <c r="AW129" s="394"/>
      <c r="AX129" s="394"/>
      <c r="AY129" s="394"/>
      <c r="AZ129" s="394"/>
      <c r="BA129" s="394"/>
      <c r="BB129" s="394"/>
      <c r="BC129" s="394"/>
      <c r="BD129" s="394"/>
      <c r="BE129" s="394"/>
      <c r="BF129" s="394"/>
      <c r="BG129" s="394"/>
      <c r="BH129" s="394"/>
      <c r="BI129" s="394"/>
      <c r="BJ129" s="394"/>
      <c r="BK129" s="394"/>
      <c r="BL129" s="394"/>
      <c r="BM129" s="394"/>
      <c r="BN129" s="394"/>
      <c r="BO129" s="394"/>
      <c r="BP129" s="394"/>
      <c r="BQ129" s="394"/>
      <c r="BR129" s="394"/>
    </row>
    <row r="130" spans="28:70" ht="17.25" customHeight="1">
      <c r="AB130" s="394"/>
      <c r="AC130" s="394"/>
      <c r="AD130" s="394"/>
      <c r="AE130" s="127"/>
      <c r="AF130" s="426"/>
      <c r="AG130" s="426"/>
      <c r="AH130" s="426"/>
      <c r="AI130" s="426"/>
      <c r="AJ130" s="426"/>
      <c r="AK130" s="426"/>
      <c r="AL130" s="426"/>
      <c r="AM130" s="394"/>
      <c r="AN130" s="394"/>
      <c r="AO130" s="394"/>
      <c r="AP130" s="394"/>
      <c r="AQ130" s="394"/>
      <c r="AR130" s="394"/>
      <c r="AS130" s="394"/>
      <c r="AT130" s="394"/>
      <c r="AU130" s="394"/>
      <c r="AV130" s="394"/>
      <c r="AW130" s="394"/>
      <c r="AX130" s="394"/>
      <c r="AY130" s="394"/>
      <c r="AZ130" s="394"/>
      <c r="BA130" s="394"/>
      <c r="BB130" s="394"/>
      <c r="BC130" s="394"/>
      <c r="BD130" s="394"/>
      <c r="BE130" s="394"/>
      <c r="BF130" s="394"/>
      <c r="BG130" s="394"/>
      <c r="BH130" s="394"/>
      <c r="BI130" s="394"/>
      <c r="BJ130" s="394"/>
      <c r="BK130" s="394"/>
      <c r="BL130" s="394"/>
      <c r="BM130" s="394"/>
      <c r="BN130" s="394"/>
      <c r="BO130" s="394"/>
      <c r="BP130" s="394"/>
      <c r="BQ130" s="394"/>
      <c r="BR130" s="394"/>
    </row>
    <row r="131" spans="28:70" ht="17.25" customHeight="1">
      <c r="AB131" s="394"/>
      <c r="AC131" s="394"/>
      <c r="AD131" s="394"/>
      <c r="AE131" s="127"/>
      <c r="AF131" s="426"/>
      <c r="AG131" s="426"/>
      <c r="AH131" s="426"/>
      <c r="AI131" s="426"/>
      <c r="AJ131" s="426"/>
      <c r="AK131" s="426"/>
      <c r="AL131" s="426"/>
      <c r="AM131" s="394"/>
      <c r="AN131" s="394"/>
      <c r="AO131" s="394"/>
      <c r="AP131" s="394"/>
      <c r="AQ131" s="394"/>
      <c r="AR131" s="394"/>
      <c r="AS131" s="394"/>
      <c r="AT131" s="394"/>
      <c r="AU131" s="394"/>
      <c r="AV131" s="394"/>
      <c r="AW131" s="394"/>
      <c r="AX131" s="394"/>
      <c r="AY131" s="394"/>
      <c r="AZ131" s="394"/>
      <c r="BA131" s="394"/>
      <c r="BB131" s="394"/>
      <c r="BC131" s="394"/>
      <c r="BD131" s="394"/>
      <c r="BE131" s="394"/>
      <c r="BF131" s="394"/>
      <c r="BG131" s="394"/>
      <c r="BH131" s="394"/>
      <c r="BI131" s="394"/>
      <c r="BJ131" s="394"/>
      <c r="BK131" s="394"/>
      <c r="BL131" s="394"/>
      <c r="BM131" s="394"/>
      <c r="BN131" s="394"/>
      <c r="BO131" s="394"/>
      <c r="BP131" s="394"/>
      <c r="BQ131" s="394"/>
      <c r="BR131" s="394"/>
    </row>
    <row r="132" spans="28:70" ht="17.25" customHeight="1">
      <c r="AB132" s="394"/>
      <c r="AC132" s="394"/>
      <c r="AD132" s="394"/>
      <c r="AE132" s="127"/>
      <c r="AF132" s="426"/>
      <c r="AG132" s="426"/>
      <c r="AH132" s="426"/>
      <c r="AI132" s="426"/>
      <c r="AJ132" s="426"/>
      <c r="AK132" s="426"/>
      <c r="AL132" s="426"/>
      <c r="AM132" s="394"/>
      <c r="AN132" s="394"/>
      <c r="AO132" s="394"/>
      <c r="AP132" s="394"/>
      <c r="AQ132" s="394"/>
      <c r="AR132" s="394"/>
      <c r="AS132" s="394"/>
      <c r="AT132" s="394"/>
      <c r="AU132" s="394"/>
      <c r="AV132" s="394"/>
      <c r="AW132" s="394"/>
      <c r="AX132" s="394"/>
      <c r="AY132" s="394"/>
      <c r="AZ132" s="394"/>
      <c r="BA132" s="394"/>
      <c r="BB132" s="394"/>
      <c r="BC132" s="394"/>
      <c r="BD132" s="394"/>
      <c r="BE132" s="394"/>
      <c r="BF132" s="394"/>
      <c r="BG132" s="394"/>
      <c r="BH132" s="394"/>
      <c r="BI132" s="394"/>
      <c r="BJ132" s="394"/>
      <c r="BK132" s="394"/>
      <c r="BL132" s="394"/>
      <c r="BM132" s="394"/>
      <c r="BN132" s="394"/>
      <c r="BO132" s="394"/>
      <c r="BP132" s="394"/>
      <c r="BQ132" s="394"/>
      <c r="BR132" s="394"/>
    </row>
    <row r="133" spans="28:70" ht="17.25" customHeight="1">
      <c r="AB133" s="394"/>
      <c r="AC133" s="394"/>
      <c r="AD133" s="394"/>
      <c r="AE133" s="127"/>
      <c r="AF133" s="426"/>
      <c r="AG133" s="426"/>
      <c r="AH133" s="426"/>
      <c r="AI133" s="426"/>
      <c r="AJ133" s="426"/>
      <c r="AK133" s="426"/>
      <c r="AL133" s="426"/>
      <c r="AM133" s="394"/>
      <c r="AN133" s="394"/>
      <c r="AO133" s="394"/>
      <c r="AP133" s="394"/>
      <c r="AQ133" s="394"/>
      <c r="AR133" s="394"/>
      <c r="AS133" s="394"/>
      <c r="AT133" s="394"/>
      <c r="AU133" s="394"/>
      <c r="AV133" s="394"/>
      <c r="AW133" s="394"/>
      <c r="AX133" s="394"/>
      <c r="AY133" s="394"/>
      <c r="AZ133" s="394"/>
      <c r="BA133" s="394"/>
      <c r="BB133" s="394"/>
      <c r="BC133" s="394"/>
      <c r="BD133" s="394"/>
      <c r="BE133" s="394"/>
      <c r="BF133" s="394"/>
      <c r="BG133" s="394"/>
      <c r="BH133" s="394"/>
      <c r="BI133" s="394"/>
      <c r="BJ133" s="394"/>
      <c r="BK133" s="394"/>
      <c r="BL133" s="394"/>
      <c r="BM133" s="394"/>
      <c r="BN133" s="394"/>
      <c r="BO133" s="394"/>
      <c r="BP133" s="394"/>
      <c r="BQ133" s="394"/>
      <c r="BR133" s="394"/>
    </row>
    <row r="134" spans="28:70" ht="17.25" customHeight="1">
      <c r="AB134" s="394"/>
      <c r="AC134" s="394"/>
      <c r="AD134" s="394"/>
      <c r="AE134" s="127"/>
      <c r="AF134" s="426"/>
      <c r="AG134" s="426"/>
      <c r="AH134" s="426"/>
      <c r="AI134" s="426"/>
      <c r="AJ134" s="426"/>
      <c r="AK134" s="426"/>
      <c r="AL134" s="426"/>
      <c r="AM134" s="394"/>
      <c r="AN134" s="394"/>
      <c r="AO134" s="394"/>
      <c r="AP134" s="394"/>
      <c r="AQ134" s="394"/>
      <c r="AR134" s="394"/>
      <c r="AS134" s="394"/>
      <c r="AT134" s="394"/>
      <c r="AU134" s="394"/>
      <c r="AV134" s="394"/>
      <c r="AW134" s="394"/>
      <c r="AX134" s="394"/>
      <c r="AY134" s="394"/>
      <c r="AZ134" s="394"/>
      <c r="BA134" s="394"/>
      <c r="BB134" s="394"/>
      <c r="BC134" s="394"/>
      <c r="BD134" s="394"/>
      <c r="BE134" s="394"/>
      <c r="BF134" s="394"/>
      <c r="BG134" s="394"/>
      <c r="BH134" s="394"/>
      <c r="BI134" s="394"/>
      <c r="BJ134" s="394"/>
      <c r="BK134" s="394"/>
      <c r="BL134" s="394"/>
      <c r="BM134" s="394"/>
      <c r="BN134" s="394"/>
      <c r="BO134" s="394"/>
      <c r="BP134" s="394"/>
      <c r="BQ134" s="394"/>
      <c r="BR134" s="394"/>
    </row>
    <row r="135" spans="28:70" ht="17.25" customHeight="1">
      <c r="AB135" s="394"/>
      <c r="AC135" s="394"/>
      <c r="AD135" s="394"/>
      <c r="AE135" s="127"/>
      <c r="AF135" s="426"/>
      <c r="AG135" s="426"/>
      <c r="AH135" s="426"/>
      <c r="AI135" s="426"/>
      <c r="AJ135" s="426"/>
      <c r="AK135" s="426"/>
      <c r="AL135" s="426"/>
      <c r="AM135" s="394"/>
      <c r="AN135" s="394"/>
      <c r="AO135" s="394"/>
      <c r="AP135" s="394"/>
      <c r="AQ135" s="394"/>
      <c r="AR135" s="394"/>
      <c r="AS135" s="394"/>
      <c r="AT135" s="394"/>
      <c r="AU135" s="394"/>
      <c r="AV135" s="394"/>
      <c r="AW135" s="394"/>
      <c r="AX135" s="394"/>
      <c r="AY135" s="394"/>
      <c r="AZ135" s="394"/>
      <c r="BA135" s="394"/>
      <c r="BB135" s="394"/>
      <c r="BC135" s="394"/>
      <c r="BD135" s="394"/>
      <c r="BE135" s="394"/>
      <c r="BF135" s="394"/>
      <c r="BG135" s="394"/>
      <c r="BH135" s="394"/>
      <c r="BI135" s="394"/>
      <c r="BJ135" s="394"/>
      <c r="BK135" s="394"/>
      <c r="BL135" s="394"/>
      <c r="BM135" s="394"/>
      <c r="BN135" s="394"/>
      <c r="BO135" s="394"/>
      <c r="BP135" s="394"/>
      <c r="BQ135" s="394"/>
      <c r="BR135" s="394"/>
    </row>
    <row r="136" spans="28:70" ht="17.25" customHeight="1">
      <c r="AB136" s="394"/>
      <c r="AC136" s="394"/>
      <c r="AD136" s="394"/>
      <c r="AE136" s="127"/>
      <c r="AF136" s="426"/>
      <c r="AG136" s="426"/>
      <c r="AH136" s="426"/>
      <c r="AI136" s="426"/>
      <c r="AJ136" s="426"/>
      <c r="AK136" s="426"/>
      <c r="AL136" s="426"/>
      <c r="AM136" s="394"/>
      <c r="AN136" s="394"/>
      <c r="AO136" s="394"/>
      <c r="AP136" s="394"/>
      <c r="AQ136" s="394"/>
      <c r="AR136" s="394"/>
      <c r="AS136" s="394"/>
      <c r="AT136" s="394"/>
      <c r="AU136" s="394"/>
      <c r="AV136" s="394"/>
      <c r="AW136" s="394"/>
      <c r="AX136" s="394"/>
      <c r="AY136" s="394"/>
      <c r="AZ136" s="394"/>
      <c r="BA136" s="394"/>
      <c r="BB136" s="394"/>
      <c r="BC136" s="394"/>
      <c r="BD136" s="394"/>
      <c r="BE136" s="394"/>
      <c r="BF136" s="394"/>
      <c r="BG136" s="394"/>
      <c r="BH136" s="394"/>
      <c r="BI136" s="394"/>
      <c r="BJ136" s="394"/>
      <c r="BK136" s="394"/>
      <c r="BL136" s="394"/>
      <c r="BM136" s="394"/>
      <c r="BN136" s="394"/>
      <c r="BO136" s="394"/>
      <c r="BP136" s="394"/>
      <c r="BQ136" s="394"/>
      <c r="BR136" s="394"/>
    </row>
    <row r="137" spans="28:70" ht="17.25" customHeight="1">
      <c r="AB137" s="394"/>
      <c r="AC137" s="394"/>
      <c r="AD137" s="394"/>
      <c r="AE137" s="127"/>
      <c r="AF137" s="426"/>
      <c r="AG137" s="426"/>
      <c r="AH137" s="426"/>
      <c r="AI137" s="426"/>
      <c r="AJ137" s="426"/>
      <c r="AK137" s="426"/>
      <c r="AL137" s="426"/>
      <c r="AM137" s="394"/>
      <c r="AN137" s="394"/>
      <c r="AO137" s="394"/>
      <c r="AP137" s="394"/>
      <c r="AQ137" s="394"/>
      <c r="AR137" s="394"/>
      <c r="AS137" s="394"/>
      <c r="AT137" s="394"/>
      <c r="AU137" s="394"/>
      <c r="AV137" s="394"/>
      <c r="AW137" s="394"/>
      <c r="AX137" s="394"/>
      <c r="AY137" s="394"/>
      <c r="AZ137" s="394"/>
      <c r="BA137" s="394"/>
      <c r="BB137" s="394"/>
      <c r="BC137" s="394"/>
      <c r="BD137" s="394"/>
      <c r="BE137" s="394"/>
      <c r="BF137" s="394"/>
      <c r="BG137" s="394"/>
      <c r="BH137" s="394"/>
      <c r="BI137" s="394"/>
      <c r="BJ137" s="394"/>
      <c r="BK137" s="394"/>
      <c r="BL137" s="394"/>
      <c r="BM137" s="394"/>
      <c r="BN137" s="394"/>
      <c r="BO137" s="394"/>
      <c r="BP137" s="394"/>
      <c r="BQ137" s="394"/>
      <c r="BR137" s="394"/>
    </row>
    <row r="138" spans="28:70" ht="17.25" customHeight="1">
      <c r="AB138" s="394"/>
      <c r="AC138" s="394"/>
      <c r="AD138" s="394"/>
      <c r="AE138" s="127"/>
      <c r="AF138" s="426"/>
      <c r="AG138" s="426"/>
      <c r="AH138" s="426"/>
      <c r="AI138" s="426"/>
      <c r="AJ138" s="426"/>
      <c r="AK138" s="426"/>
      <c r="AL138" s="426"/>
      <c r="AM138" s="394"/>
      <c r="AN138" s="394"/>
      <c r="AO138" s="394"/>
      <c r="AP138" s="394"/>
      <c r="AQ138" s="394"/>
      <c r="AR138" s="394"/>
      <c r="AS138" s="394"/>
      <c r="AT138" s="394"/>
      <c r="AU138" s="394"/>
      <c r="AV138" s="394"/>
      <c r="AW138" s="394"/>
      <c r="AX138" s="394"/>
      <c r="AY138" s="394"/>
      <c r="AZ138" s="394"/>
      <c r="BA138" s="394"/>
      <c r="BB138" s="394"/>
      <c r="BC138" s="394"/>
      <c r="BD138" s="394"/>
      <c r="BE138" s="394"/>
      <c r="BF138" s="394"/>
      <c r="BG138" s="394"/>
      <c r="BH138" s="394"/>
      <c r="BI138" s="394"/>
      <c r="BJ138" s="394"/>
      <c r="BK138" s="394"/>
      <c r="BL138" s="394"/>
      <c r="BM138" s="394"/>
      <c r="BN138" s="394"/>
      <c r="BO138" s="394"/>
      <c r="BP138" s="394"/>
      <c r="BQ138" s="394"/>
      <c r="BR138" s="394"/>
    </row>
    <row r="139" spans="28:70" ht="17.25" customHeight="1">
      <c r="AB139" s="394"/>
      <c r="AC139" s="394"/>
      <c r="AD139" s="394"/>
      <c r="AE139" s="127"/>
      <c r="AF139" s="426"/>
      <c r="AG139" s="426"/>
      <c r="AH139" s="426"/>
      <c r="AI139" s="426"/>
      <c r="AJ139" s="426"/>
      <c r="AK139" s="426"/>
      <c r="AL139" s="426"/>
      <c r="AM139" s="394"/>
      <c r="AN139" s="394"/>
      <c r="AO139" s="394"/>
      <c r="AP139" s="394"/>
      <c r="AQ139" s="394"/>
      <c r="AR139" s="394"/>
      <c r="AS139" s="394"/>
      <c r="AT139" s="394"/>
      <c r="AU139" s="394"/>
      <c r="AV139" s="394"/>
      <c r="AW139" s="394"/>
      <c r="AX139" s="394"/>
      <c r="AY139" s="394"/>
      <c r="AZ139" s="394"/>
      <c r="BA139" s="394"/>
      <c r="BB139" s="394"/>
      <c r="BC139" s="394"/>
      <c r="BD139" s="394"/>
      <c r="BE139" s="394"/>
      <c r="BF139" s="394"/>
      <c r="BG139" s="394"/>
      <c r="BH139" s="394"/>
      <c r="BI139" s="394"/>
      <c r="BJ139" s="394"/>
      <c r="BK139" s="394"/>
      <c r="BL139" s="394"/>
      <c r="BM139" s="394"/>
      <c r="BN139" s="394"/>
      <c r="BO139" s="394"/>
      <c r="BP139" s="394"/>
      <c r="BQ139" s="394"/>
      <c r="BR139" s="394"/>
    </row>
    <row r="140" spans="28:70" ht="17.25" customHeight="1">
      <c r="AB140" s="394"/>
      <c r="AC140" s="394"/>
      <c r="AD140" s="394"/>
      <c r="AE140" s="127"/>
      <c r="AF140" s="426"/>
      <c r="AG140" s="426"/>
      <c r="AH140" s="426"/>
      <c r="AI140" s="426"/>
      <c r="AJ140" s="426"/>
      <c r="AK140" s="426"/>
      <c r="AL140" s="426"/>
      <c r="AM140" s="394"/>
      <c r="AN140" s="394"/>
      <c r="AO140" s="394"/>
      <c r="AP140" s="394"/>
      <c r="AQ140" s="394"/>
      <c r="AR140" s="394"/>
      <c r="AS140" s="394"/>
      <c r="AT140" s="394"/>
      <c r="AU140" s="394"/>
      <c r="AV140" s="394"/>
      <c r="AW140" s="394"/>
      <c r="AX140" s="394"/>
      <c r="AY140" s="394"/>
      <c r="AZ140" s="394"/>
      <c r="BA140" s="394"/>
      <c r="BB140" s="394"/>
      <c r="BC140" s="394"/>
      <c r="BD140" s="394"/>
      <c r="BE140" s="394"/>
      <c r="BF140" s="394"/>
      <c r="BG140" s="394"/>
      <c r="BH140" s="394"/>
      <c r="BI140" s="394"/>
      <c r="BJ140" s="394"/>
      <c r="BK140" s="394"/>
      <c r="BL140" s="394"/>
      <c r="BM140" s="394"/>
      <c r="BN140" s="394"/>
      <c r="BO140" s="394"/>
      <c r="BP140" s="394"/>
      <c r="BQ140" s="394"/>
      <c r="BR140" s="394"/>
    </row>
    <row r="141" spans="28:70" ht="17.25" customHeight="1">
      <c r="AB141" s="394"/>
      <c r="AC141" s="394"/>
      <c r="AD141" s="394"/>
      <c r="AE141" s="127"/>
      <c r="AF141" s="426"/>
      <c r="AG141" s="426"/>
      <c r="AH141" s="426"/>
      <c r="AI141" s="426"/>
      <c r="AJ141" s="426"/>
      <c r="AK141" s="426"/>
      <c r="AL141" s="426"/>
      <c r="AM141" s="394"/>
      <c r="AN141" s="394"/>
      <c r="AO141" s="394"/>
      <c r="AP141" s="394"/>
      <c r="AQ141" s="394"/>
      <c r="AR141" s="394"/>
      <c r="AS141" s="394"/>
      <c r="AT141" s="394"/>
      <c r="AU141" s="394"/>
      <c r="AV141" s="394"/>
      <c r="AW141" s="394"/>
      <c r="AX141" s="394"/>
      <c r="AY141" s="394"/>
      <c r="AZ141" s="394"/>
      <c r="BA141" s="394"/>
      <c r="BB141" s="394"/>
      <c r="BC141" s="394"/>
      <c r="BD141" s="394"/>
      <c r="BE141" s="394"/>
      <c r="BF141" s="394"/>
      <c r="BG141" s="394"/>
      <c r="BH141" s="394"/>
      <c r="BI141" s="394"/>
      <c r="BJ141" s="394"/>
      <c r="BK141" s="394"/>
      <c r="BL141" s="394"/>
      <c r="BM141" s="394"/>
      <c r="BN141" s="394"/>
      <c r="BO141" s="394"/>
      <c r="BP141" s="394"/>
      <c r="BQ141" s="394"/>
      <c r="BR141" s="394"/>
    </row>
    <row r="142" spans="28:70" ht="17.25" customHeight="1">
      <c r="AB142" s="394"/>
      <c r="AC142" s="394"/>
      <c r="AD142" s="394"/>
      <c r="AE142" s="127"/>
      <c r="AF142" s="426"/>
      <c r="AG142" s="426"/>
      <c r="AH142" s="426"/>
      <c r="AI142" s="426"/>
      <c r="AJ142" s="426"/>
      <c r="AK142" s="426"/>
      <c r="AL142" s="426"/>
      <c r="AM142" s="394"/>
      <c r="AN142" s="394"/>
      <c r="AO142" s="394"/>
      <c r="AP142" s="394"/>
      <c r="AQ142" s="394"/>
      <c r="AR142" s="394"/>
      <c r="AS142" s="394"/>
      <c r="AT142" s="394"/>
      <c r="AU142" s="394"/>
      <c r="AV142" s="394"/>
      <c r="AW142" s="394"/>
      <c r="AX142" s="394"/>
      <c r="AY142" s="394"/>
      <c r="AZ142" s="394"/>
      <c r="BA142" s="394"/>
      <c r="BB142" s="394"/>
      <c r="BC142" s="394"/>
      <c r="BD142" s="394"/>
      <c r="BE142" s="394"/>
      <c r="BF142" s="394"/>
      <c r="BG142" s="394"/>
      <c r="BH142" s="394"/>
      <c r="BI142" s="394"/>
      <c r="BJ142" s="394"/>
      <c r="BK142" s="394"/>
      <c r="BL142" s="394"/>
      <c r="BM142" s="394"/>
      <c r="BN142" s="394"/>
      <c r="BO142" s="394"/>
      <c r="BP142" s="394"/>
      <c r="BQ142" s="394"/>
      <c r="BR142" s="394"/>
    </row>
    <row r="143" spans="28:70" ht="17.25" customHeight="1">
      <c r="AB143" s="394"/>
      <c r="AC143" s="394"/>
      <c r="AD143" s="394"/>
      <c r="AE143" s="127"/>
      <c r="AF143" s="426"/>
      <c r="AG143" s="426"/>
      <c r="AH143" s="426"/>
      <c r="AI143" s="426"/>
      <c r="AJ143" s="426"/>
      <c r="AK143" s="426"/>
      <c r="AL143" s="426"/>
      <c r="AM143" s="394"/>
      <c r="AN143" s="394"/>
      <c r="AO143" s="394"/>
      <c r="AP143" s="394"/>
      <c r="AQ143" s="394"/>
      <c r="AR143" s="394"/>
      <c r="AS143" s="394"/>
      <c r="AT143" s="394"/>
      <c r="AU143" s="394"/>
      <c r="AV143" s="394"/>
      <c r="AW143" s="394"/>
      <c r="AX143" s="394"/>
      <c r="AY143" s="394"/>
      <c r="AZ143" s="394"/>
      <c r="BA143" s="394"/>
      <c r="BB143" s="394"/>
      <c r="BC143" s="394"/>
      <c r="BD143" s="394"/>
      <c r="BE143" s="394"/>
      <c r="BF143" s="394"/>
      <c r="BG143" s="394"/>
      <c r="BH143" s="394"/>
      <c r="BI143" s="394"/>
      <c r="BJ143" s="394"/>
      <c r="BK143" s="394"/>
      <c r="BL143" s="394"/>
      <c r="BM143" s="394"/>
      <c r="BN143" s="394"/>
      <c r="BO143" s="394"/>
      <c r="BP143" s="394"/>
      <c r="BQ143" s="394"/>
      <c r="BR143" s="394"/>
    </row>
    <row r="144" spans="28:70" ht="17.25" customHeight="1">
      <c r="AB144" s="394"/>
      <c r="AC144" s="394"/>
      <c r="AD144" s="394"/>
      <c r="AE144" s="127"/>
      <c r="AF144" s="426"/>
      <c r="AG144" s="426"/>
      <c r="AH144" s="426"/>
      <c r="AI144" s="426"/>
      <c r="AJ144" s="426"/>
      <c r="AK144" s="426"/>
      <c r="AL144" s="426"/>
      <c r="AM144" s="394"/>
      <c r="AN144" s="394"/>
      <c r="AO144" s="394"/>
      <c r="AP144" s="394"/>
      <c r="AQ144" s="394"/>
      <c r="AR144" s="394"/>
      <c r="AS144" s="394"/>
      <c r="AT144" s="394"/>
      <c r="AU144" s="394"/>
      <c r="AV144" s="394"/>
      <c r="AW144" s="394"/>
      <c r="AX144" s="394"/>
      <c r="AY144" s="394"/>
      <c r="AZ144" s="394"/>
      <c r="BA144" s="394"/>
      <c r="BB144" s="394"/>
      <c r="BC144" s="394"/>
      <c r="BD144" s="394"/>
      <c r="BE144" s="394"/>
      <c r="BF144" s="394"/>
      <c r="BG144" s="394"/>
      <c r="BH144" s="394"/>
      <c r="BI144" s="394"/>
      <c r="BJ144" s="394"/>
      <c r="BK144" s="394"/>
      <c r="BL144" s="394"/>
      <c r="BM144" s="394"/>
      <c r="BN144" s="394"/>
      <c r="BO144" s="394"/>
      <c r="BP144" s="394"/>
      <c r="BQ144" s="394"/>
      <c r="BR144" s="394"/>
    </row>
    <row r="145" spans="28:70" ht="17.25" customHeight="1">
      <c r="AB145" s="394"/>
      <c r="AC145" s="394"/>
      <c r="AD145" s="394"/>
      <c r="AE145" s="127"/>
      <c r="AF145" s="426"/>
      <c r="AG145" s="426"/>
      <c r="AH145" s="426"/>
      <c r="AI145" s="426"/>
      <c r="AJ145" s="426"/>
      <c r="AK145" s="426"/>
      <c r="AL145" s="426"/>
      <c r="AM145" s="394"/>
      <c r="AN145" s="394"/>
      <c r="AO145" s="394"/>
      <c r="AP145" s="394"/>
      <c r="AQ145" s="394"/>
      <c r="AR145" s="394"/>
      <c r="AS145" s="394"/>
      <c r="AT145" s="394"/>
      <c r="AU145" s="394"/>
      <c r="AV145" s="394"/>
      <c r="AW145" s="394"/>
      <c r="AX145" s="394"/>
      <c r="AY145" s="394"/>
      <c r="AZ145" s="394"/>
      <c r="BA145" s="394"/>
      <c r="BB145" s="394"/>
      <c r="BC145" s="394"/>
      <c r="BD145" s="394"/>
      <c r="BE145" s="394"/>
      <c r="BF145" s="394"/>
      <c r="BG145" s="394"/>
      <c r="BH145" s="394"/>
      <c r="BI145" s="394"/>
      <c r="BJ145" s="394"/>
      <c r="BK145" s="394"/>
      <c r="BL145" s="394"/>
      <c r="BM145" s="394"/>
      <c r="BN145" s="394"/>
      <c r="BO145" s="394"/>
      <c r="BP145" s="394"/>
      <c r="BQ145" s="394"/>
      <c r="BR145" s="394"/>
    </row>
    <row r="146" spans="28:70" ht="17.25" customHeight="1">
      <c r="AB146" s="394"/>
      <c r="AC146" s="394"/>
      <c r="AD146" s="394"/>
      <c r="AE146" s="127"/>
      <c r="AF146" s="426"/>
      <c r="AG146" s="426"/>
      <c r="AH146" s="426"/>
      <c r="AI146" s="426"/>
      <c r="AJ146" s="426"/>
      <c r="AK146" s="426"/>
      <c r="AL146" s="426"/>
      <c r="AM146" s="394"/>
      <c r="AN146" s="394"/>
      <c r="AO146" s="394"/>
      <c r="AP146" s="394"/>
      <c r="AQ146" s="394"/>
      <c r="AR146" s="394"/>
      <c r="AS146" s="394"/>
      <c r="AT146" s="394"/>
      <c r="AU146" s="394"/>
      <c r="AV146" s="394"/>
      <c r="AW146" s="394"/>
      <c r="AX146" s="394"/>
      <c r="AY146" s="394"/>
      <c r="AZ146" s="394"/>
      <c r="BA146" s="394"/>
      <c r="BB146" s="394"/>
      <c r="BC146" s="394"/>
      <c r="BD146" s="394"/>
      <c r="BE146" s="394"/>
      <c r="BF146" s="394"/>
      <c r="BG146" s="394"/>
      <c r="BH146" s="394"/>
      <c r="BI146" s="394"/>
      <c r="BJ146" s="394"/>
      <c r="BK146" s="394"/>
      <c r="BL146" s="394"/>
      <c r="BM146" s="394"/>
      <c r="BN146" s="394"/>
      <c r="BO146" s="394"/>
      <c r="BP146" s="394"/>
      <c r="BQ146" s="394"/>
      <c r="BR146" s="394"/>
    </row>
  </sheetData>
  <sheetProtection formatRows="0" selectLockedCells="1"/>
  <sortState xmlns:xlrd2="http://schemas.microsoft.com/office/spreadsheetml/2017/richdata2" ref="AQ15:AS52">
    <sortCondition descending="1" ref="AS15"/>
  </sortState>
  <dataConsolidate/>
  <customSheetViews>
    <customSheetView guid="{CA546172-0AA0-4956-873D-5C937D195097}" fitToPage="1" printArea="1">
      <selection activeCell="C12" sqref="C12"/>
      <pageMargins left="0.43307086614173229" right="0.43307086614173229" top="0.35433070866141736" bottom="0.35433070866141736" header="0.31496062992125984" footer="0.31496062992125984"/>
      <printOptions horizontalCentered="1"/>
      <pageSetup paperSize="8" scale="66" orientation="landscape" r:id="rId1"/>
      <headerFooter>
        <oddFooter>&amp;L&amp;"Verdana,Standaard"&amp;9&amp;K000000&amp;F&amp;C&amp;"Verdana Vet,Vet"&amp;9&amp;K000000Pagina &amp;P van &amp;N&amp;R&amp;"Verdana,Standaard"&amp;9&amp;K000000&amp;D</oddFooter>
      </headerFooter>
    </customSheetView>
  </customSheetViews>
  <mergeCells count="116">
    <mergeCell ref="A1:C1"/>
    <mergeCell ref="I1:M1"/>
    <mergeCell ref="P1:Q1"/>
    <mergeCell ref="A2:C2"/>
    <mergeCell ref="E1:G1"/>
    <mergeCell ref="V8:W10"/>
    <mergeCell ref="A8:B8"/>
    <mergeCell ref="I8:M8"/>
    <mergeCell ref="P8:S8"/>
    <mergeCell ref="V4:X4"/>
    <mergeCell ref="V5:X7"/>
    <mergeCell ref="A6:B6"/>
    <mergeCell ref="F6:H6"/>
    <mergeCell ref="I6:M6"/>
    <mergeCell ref="A7:B7"/>
    <mergeCell ref="P9:S9"/>
    <mergeCell ref="P14:T14"/>
    <mergeCell ref="I10:M10"/>
    <mergeCell ref="F13:I13"/>
    <mergeCell ref="J13:N13"/>
    <mergeCell ref="P10:S11"/>
    <mergeCell ref="I7:M7"/>
    <mergeCell ref="A4:M4"/>
    <mergeCell ref="P4:T4"/>
    <mergeCell ref="F7:H7"/>
    <mergeCell ref="P13:S13"/>
    <mergeCell ref="F12:H12"/>
    <mergeCell ref="I12:M12"/>
    <mergeCell ref="P38:X38"/>
    <mergeCell ref="P39:X39"/>
    <mergeCell ref="P15:X15"/>
    <mergeCell ref="P16:X16"/>
    <mergeCell ref="P17:X17"/>
    <mergeCell ref="P18:X18"/>
    <mergeCell ref="P33:X33"/>
    <mergeCell ref="P34:X34"/>
    <mergeCell ref="P35:X35"/>
    <mergeCell ref="P36:X36"/>
    <mergeCell ref="P37:X37"/>
    <mergeCell ref="P28:X28"/>
    <mergeCell ref="P29:X29"/>
    <mergeCell ref="P30:X30"/>
    <mergeCell ref="P31:X31"/>
    <mergeCell ref="P32:X32"/>
    <mergeCell ref="P24:X24"/>
    <mergeCell ref="P25:X25"/>
    <mergeCell ref="P26:X26"/>
    <mergeCell ref="P27:X27"/>
    <mergeCell ref="P19:X19"/>
    <mergeCell ref="P20:X20"/>
    <mergeCell ref="P21:X21"/>
    <mergeCell ref="P22:X22"/>
    <mergeCell ref="P23:X23"/>
    <mergeCell ref="P54:X54"/>
    <mergeCell ref="P55:X55"/>
    <mergeCell ref="P56:X56"/>
    <mergeCell ref="P57:X57"/>
    <mergeCell ref="P58:X58"/>
    <mergeCell ref="P49:X49"/>
    <mergeCell ref="P102:X102"/>
    <mergeCell ref="P40:X40"/>
    <mergeCell ref="P41:X41"/>
    <mergeCell ref="P46:X46"/>
    <mergeCell ref="P47:X47"/>
    <mergeCell ref="P48:X48"/>
    <mergeCell ref="P42:X42"/>
    <mergeCell ref="P43:X43"/>
    <mergeCell ref="P44:X44"/>
    <mergeCell ref="P45:X45"/>
    <mergeCell ref="P50:X50"/>
    <mergeCell ref="P51:X51"/>
    <mergeCell ref="P52:X52"/>
    <mergeCell ref="P53:X53"/>
    <mergeCell ref="P64:X64"/>
    <mergeCell ref="P65:X65"/>
    <mergeCell ref="P66:X66"/>
    <mergeCell ref="P67:X67"/>
    <mergeCell ref="P68:X68"/>
    <mergeCell ref="P59:X59"/>
    <mergeCell ref="P60:X60"/>
    <mergeCell ref="P61:X61"/>
    <mergeCell ref="P62:X62"/>
    <mergeCell ref="P63:X63"/>
    <mergeCell ref="P74:X74"/>
    <mergeCell ref="P75:X75"/>
    <mergeCell ref="P76:X76"/>
    <mergeCell ref="P77:X77"/>
    <mergeCell ref="P78:X78"/>
    <mergeCell ref="P69:X69"/>
    <mergeCell ref="P70:X70"/>
    <mergeCell ref="P71:X71"/>
    <mergeCell ref="P72:X72"/>
    <mergeCell ref="P73:X73"/>
    <mergeCell ref="P84:X84"/>
    <mergeCell ref="P85:X85"/>
    <mergeCell ref="P86:X86"/>
    <mergeCell ref="P87:X87"/>
    <mergeCell ref="P88:X88"/>
    <mergeCell ref="P79:X79"/>
    <mergeCell ref="P80:X80"/>
    <mergeCell ref="P81:X81"/>
    <mergeCell ref="P82:X82"/>
    <mergeCell ref="P83:X83"/>
    <mergeCell ref="P99:X99"/>
    <mergeCell ref="P100:X100"/>
    <mergeCell ref="P101:X101"/>
    <mergeCell ref="P94:X94"/>
    <mergeCell ref="P95:X95"/>
    <mergeCell ref="P96:X96"/>
    <mergeCell ref="P97:X97"/>
    <mergeCell ref="P98:X98"/>
    <mergeCell ref="P89:X89"/>
    <mergeCell ref="P90:X90"/>
    <mergeCell ref="P91:X91"/>
    <mergeCell ref="P92:X92"/>
    <mergeCell ref="P93:X93"/>
  </mergeCells>
  <conditionalFormatting sqref="B15:B102">
    <cfRule type="expression" dxfId="62" priority="14">
      <formula>$AC15="fout"</formula>
    </cfRule>
  </conditionalFormatting>
  <conditionalFormatting sqref="F15:F102">
    <cfRule type="cellIs" dxfId="61" priority="1" stopIfTrue="1" operator="equal">
      <formula>"Nee"</formula>
    </cfRule>
  </conditionalFormatting>
  <conditionalFormatting sqref="G15">
    <cfRule type="cellIs" dxfId="60" priority="11" stopIfTrue="1" operator="equal">
      <formula>"Nee"</formula>
    </cfRule>
  </conditionalFormatting>
  <conditionalFormatting sqref="G16:G102">
    <cfRule type="cellIs" dxfId="59" priority="3" operator="equal">
      <formula>"Nee"</formula>
    </cfRule>
  </conditionalFormatting>
  <conditionalFormatting sqref="I15:I102">
    <cfRule type="cellIs" dxfId="58" priority="32" operator="equal">
      <formula>"Nee"</formula>
    </cfRule>
    <cfRule type="cellIs" dxfId="57" priority="33" operator="equal">
      <formula>"Ja"</formula>
    </cfRule>
  </conditionalFormatting>
  <conditionalFormatting sqref="K15:K102">
    <cfRule type="cellIs" dxfId="56" priority="29" operator="equal">
      <formula>999</formula>
    </cfRule>
  </conditionalFormatting>
  <conditionalFormatting sqref="L15:L102">
    <cfRule type="cellIs" dxfId="55" priority="17" stopIfTrue="1" operator="equal">
      <formula>0</formula>
    </cfRule>
  </conditionalFormatting>
  <conditionalFormatting sqref="M15:M102">
    <cfRule type="expression" dxfId="54" priority="45">
      <formula>AND($T$6+$T$7&lt;100,$S$1="Gunnen",M15=0,O15&lt;&gt;"Exit",B15&gt;"")</formula>
    </cfRule>
  </conditionalFormatting>
  <conditionalFormatting sqref="N15:N102">
    <cfRule type="cellIs" dxfId="53" priority="16" operator="equal">
      <formula>0</formula>
    </cfRule>
  </conditionalFormatting>
  <conditionalFormatting sqref="O15:O102">
    <cfRule type="expression" dxfId="52" priority="25" stopIfTrue="1">
      <formula>#REF!="Nee"</formula>
    </cfRule>
    <cfRule type="expression" dxfId="51" priority="26" stopIfTrue="1">
      <formula>I15="Nee"</formula>
    </cfRule>
    <cfRule type="cellIs" dxfId="50" priority="27" stopIfTrue="1" operator="equal">
      <formula>0</formula>
    </cfRule>
    <cfRule type="cellIs" dxfId="49" priority="31" operator="lessThanOrEqual">
      <formula>$T$9</formula>
    </cfRule>
  </conditionalFormatting>
  <conditionalFormatting sqref="P15:X102">
    <cfRule type="expression" dxfId="48" priority="13">
      <formula>AND($B15&lt;&gt;0,$P15=0)</formula>
    </cfRule>
  </conditionalFormatting>
  <conditionalFormatting sqref="AA15:AA102">
    <cfRule type="cellIs" dxfId="47" priority="18" operator="equal">
      <formula>999</formula>
    </cfRule>
  </conditionalFormatting>
  <dataValidations count="6">
    <dataValidation type="list" allowBlank="1" showInputMessage="1" showErrorMessage="1" sqref="E15:E102" xr:uid="{67D1BAE1-B0E9-42C5-9014-2E0C4C328BF6}">
      <formula1>Status_kandidaat</formula1>
    </dataValidation>
    <dataValidation type="list" allowBlank="1" showInputMessage="1" showErrorMessage="1" sqref="S1" xr:uid="{4E64C664-8307-4278-8348-B7CABEA83CFC}">
      <formula1>Status_Aanvraag</formula1>
    </dataValidation>
    <dataValidation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J15:J102 M15:N102" xr:uid="{D1B8E705-4F3B-4CE8-9821-F7E98CD92D1E}"/>
    <dataValidation type="list" allowBlank="1" showInputMessage="1" showErrorMessage="1" sqref="F15:G102" xr:uid="{AFB7903D-69B3-4792-AD7E-2E927561A144}">
      <formula1>Lijst1</formula1>
    </dataValidation>
    <dataValidation type="list" allowBlank="1" showInputMessage="1" showErrorMessage="1" sqref="B15:B102" xr:uid="{920C0BED-EE36-4FA4-AAE4-05E21630304C}">
      <formula1>INDIRECT(SUBSTITUTE($AA$11," ",""))</formula1>
    </dataValidation>
    <dataValidation type="list" allowBlank="1" showInputMessage="1" showErrorMessage="1" sqref="I12:M12" xr:uid="{BB62FD3B-8865-4A9A-A467-608530027415}">
      <formula1>INDIRECT(SUBSTITUTE(F12," ",""))</formula1>
    </dataValidation>
  </dataValidations>
  <hyperlinks>
    <hyperlink ref="AF18" r:id="rId2" display="Inhuurmanagement.iv@Belastingdienst.nl" xr:uid="{7F7E86A4-BDD1-42BA-84E0-7D36EF4AA33C}"/>
    <hyperlink ref="AF19" r:id="rId3" display="Inhuurmanagement.iv@Belastingdienst.nl" xr:uid="{83667000-FF71-4D6B-AD1F-2403CAACD7A0}"/>
    <hyperlink ref="AJ18" r:id="rId4" display="Inhuurmanagement.iv@Belastingdienst.nl" xr:uid="{05F32F25-243B-40C4-92B2-A0397A852C6B}"/>
    <hyperlink ref="AJ19" r:id="rId5" display="Inhuurmanagement.iv@Belastingdienst.nl" xr:uid="{5A36E493-2051-4CBE-8BEB-F2CEA71F4AF0}"/>
    <hyperlink ref="AM18" r:id="rId6" display="Inhuurmanagement.iv@Belastingdienst.nl" xr:uid="{2AD38FB2-D174-40A8-89E1-F20DFDB7665B}"/>
    <hyperlink ref="AM19" r:id="rId7" display="Inhuurmanagement.iv@Belastingdienst.nl" xr:uid="{2CD813E3-5B10-4828-9663-82EE74781660}"/>
  </hyperlinks>
  <printOptions horizontalCentered="1"/>
  <pageMargins left="0.43307086614173229" right="0.43307086614173229" top="0.35433070866141736" bottom="0.35433070866141736" header="0.31496062992125984" footer="0.31496062992125984"/>
  <pageSetup paperSize="8" scale="66" orientation="landscape" r:id="rId8"/>
  <headerFooter>
    <oddFooter>&amp;L&amp;"Verdana,Standaard"&amp;9&amp;K000000&amp;F&amp;C&amp;"Verdana Vet,Vet"&amp;9&amp;K000000Pagina &amp;P van &amp;N&amp;R&amp;"Verdana,Standaard"&amp;9&amp;K000000&amp;D</oddFooter>
  </headerFooter>
  <ignoredErrors>
    <ignoredError sqref="AB102 AE28 AB15:AB48" evalError="1"/>
    <ignoredError sqref="T12" unlockedFormula="1"/>
    <ignoredError sqref="T10" formula="1"/>
  </ignoredErrors>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543B-223C-4BA7-AE0F-0355756313F5}">
  <sheetPr codeName="Blad5">
    <pageSetUpPr fitToPage="1"/>
  </sheetPr>
  <dimension ref="A1:L85"/>
  <sheetViews>
    <sheetView workbookViewId="0">
      <selection sqref="A1:C1"/>
    </sheetView>
  </sheetViews>
  <sheetFormatPr defaultColWidth="10.83203125" defaultRowHeight="17.25" customHeight="1"/>
  <cols>
    <col min="1" max="1" width="14.08203125" style="101" customWidth="1"/>
    <col min="2" max="2" width="27.5" style="100" customWidth="1"/>
    <col min="3" max="3" width="21.08203125" style="100" customWidth="1"/>
    <col min="4" max="4" width="1.33203125" style="100" customWidth="1"/>
    <col min="5" max="5" width="21.08203125" style="100" customWidth="1"/>
    <col min="6" max="6" width="1.33203125" style="100" customWidth="1"/>
    <col min="7" max="7" width="21.08203125" style="100" customWidth="1"/>
    <col min="8" max="8" width="1.33203125" style="100" customWidth="1"/>
    <col min="9" max="9" width="7.58203125" style="100" customWidth="1"/>
    <col min="10" max="10" width="1.33203125" style="100" customWidth="1"/>
    <col min="11" max="11" width="10.83203125" style="214"/>
    <col min="12" max="16384" width="10.83203125" style="100"/>
  </cols>
  <sheetData>
    <row r="1" spans="1:11" ht="27.75" customHeight="1">
      <c r="A1" s="684" t="s">
        <v>221</v>
      </c>
      <c r="B1" s="685"/>
      <c r="C1" s="686"/>
      <c r="D1" s="726" t="s">
        <v>120</v>
      </c>
      <c r="E1" s="726"/>
      <c r="F1" s="222"/>
      <c r="G1" s="275">
        <f>'Aanvraag inhuur'!D1</f>
        <v>202410166</v>
      </c>
      <c r="H1" s="222"/>
      <c r="I1" s="222"/>
      <c r="J1" s="223"/>
      <c r="K1" s="215" t="s">
        <v>176</v>
      </c>
    </row>
    <row r="2" spans="1:11" ht="23.25" customHeight="1">
      <c r="A2" s="606"/>
      <c r="B2" s="729"/>
      <c r="C2" s="729"/>
      <c r="D2" s="79"/>
      <c r="E2" s="79"/>
      <c r="F2" s="79"/>
      <c r="G2" s="79"/>
      <c r="H2" s="50"/>
      <c r="I2" s="50"/>
      <c r="J2" s="144"/>
      <c r="K2" s="216" t="s">
        <v>4</v>
      </c>
    </row>
    <row r="3" spans="1:11" ht="32.25" customHeight="1">
      <c r="A3" s="606"/>
      <c r="B3" s="729"/>
      <c r="C3" s="729"/>
      <c r="D3" s="50"/>
      <c r="E3" s="50"/>
      <c r="F3" s="50"/>
      <c r="G3" s="50"/>
      <c r="H3" s="50"/>
      <c r="I3" s="50"/>
      <c r="J3" s="144"/>
      <c r="K3" s="216" t="s">
        <v>5</v>
      </c>
    </row>
    <row r="4" spans="1:11" ht="15" customHeight="1">
      <c r="A4" s="167"/>
      <c r="B4" s="168"/>
      <c r="C4" s="168"/>
      <c r="D4" s="168"/>
      <c r="E4" s="168"/>
      <c r="F4" s="168"/>
      <c r="G4" s="168"/>
      <c r="H4" s="50"/>
      <c r="I4" s="50"/>
      <c r="J4" s="144"/>
      <c r="K4" s="217"/>
    </row>
    <row r="5" spans="1:11" ht="15" customHeight="1">
      <c r="A5" s="723" t="s">
        <v>177</v>
      </c>
      <c r="B5" s="724"/>
      <c r="C5" s="724"/>
      <c r="D5" s="168"/>
      <c r="E5" s="727" t="str">
        <f>'Aanvraag inhuur'!C140</f>
        <v/>
      </c>
      <c r="F5" s="728"/>
      <c r="G5" s="347" t="str">
        <f ca="1">'Aanvraag inhuur'!D140</f>
        <v/>
      </c>
      <c r="H5" s="50"/>
      <c r="I5" s="50"/>
      <c r="J5" s="144"/>
      <c r="K5" s="217"/>
    </row>
    <row r="6" spans="1:11" ht="15" customHeight="1">
      <c r="A6" s="167"/>
      <c r="B6" s="168"/>
      <c r="C6" s="168"/>
      <c r="D6" s="168"/>
      <c r="E6" s="224"/>
      <c r="F6" s="225"/>
      <c r="G6" s="225"/>
      <c r="H6" s="50"/>
      <c r="I6" s="50"/>
      <c r="J6" s="144"/>
      <c r="K6" s="217"/>
    </row>
    <row r="7" spans="1:11" ht="15" customHeight="1">
      <c r="A7" s="723" t="s">
        <v>210</v>
      </c>
      <c r="B7" s="724"/>
      <c r="C7" s="724"/>
      <c r="D7" s="168"/>
      <c r="E7" s="730" t="str">
        <f>'Aanvraag inhuur'!D5</f>
        <v>accountteam11@rvo.nl</v>
      </c>
      <c r="F7" s="731"/>
      <c r="G7" s="732"/>
      <c r="H7" s="226"/>
      <c r="I7" s="57"/>
      <c r="J7" s="145"/>
      <c r="K7" s="217"/>
    </row>
    <row r="8" spans="1:11" ht="15" customHeight="1">
      <c r="A8" s="723" t="s">
        <v>178</v>
      </c>
      <c r="B8" s="724"/>
      <c r="C8" s="724"/>
      <c r="D8" s="169"/>
      <c r="E8" s="169"/>
      <c r="F8" s="169"/>
      <c r="G8" s="169"/>
      <c r="H8" s="227"/>
      <c r="I8" s="227"/>
      <c r="J8" s="228"/>
    </row>
    <row r="9" spans="1:11" ht="15" customHeight="1">
      <c r="A9" s="628" t="s">
        <v>205</v>
      </c>
      <c r="B9" s="629"/>
      <c r="C9" s="629"/>
      <c r="D9" s="629"/>
      <c r="E9" s="629"/>
      <c r="F9" s="629"/>
      <c r="G9" s="629"/>
      <c r="H9" s="229"/>
      <c r="I9" s="229"/>
      <c r="J9" s="230"/>
      <c r="K9" s="218"/>
    </row>
    <row r="10" spans="1:11" ht="15" customHeight="1">
      <c r="A10" s="274"/>
      <c r="B10" s="105"/>
      <c r="C10" s="105"/>
      <c r="D10" s="105"/>
      <c r="E10" s="105"/>
      <c r="F10" s="105"/>
      <c r="G10" s="105"/>
      <c r="H10" s="227"/>
      <c r="I10" s="227"/>
      <c r="J10" s="228"/>
    </row>
    <row r="11" spans="1:11" ht="33.75" customHeight="1">
      <c r="A11" s="723" t="s">
        <v>958</v>
      </c>
      <c r="B11" s="724"/>
      <c r="C11" s="724"/>
      <c r="D11" s="724"/>
      <c r="E11" s="724"/>
      <c r="F11" s="724"/>
      <c r="G11" s="724"/>
      <c r="H11" s="50"/>
      <c r="I11" s="50"/>
      <c r="J11" s="144"/>
      <c r="K11" s="217"/>
    </row>
    <row r="12" spans="1:11" ht="15" customHeight="1">
      <c r="A12" s="146"/>
      <c r="B12" s="136"/>
      <c r="C12" s="136"/>
      <c r="D12" s="51"/>
      <c r="E12" s="51"/>
      <c r="F12" s="51"/>
      <c r="G12" s="51"/>
      <c r="H12" s="50"/>
      <c r="I12" s="50"/>
      <c r="J12" s="144"/>
      <c r="K12" s="217"/>
    </row>
    <row r="13" spans="1:11" ht="17.25" customHeight="1">
      <c r="A13" s="147"/>
      <c r="B13" s="86"/>
      <c r="C13" s="591" t="s">
        <v>159</v>
      </c>
      <c r="D13" s="591"/>
      <c r="E13" s="591"/>
      <c r="F13" s="591"/>
      <c r="G13" s="591"/>
      <c r="H13" s="591"/>
      <c r="I13" s="166"/>
      <c r="J13" s="246"/>
      <c r="K13" s="217"/>
    </row>
    <row r="14" spans="1:11" ht="15" customHeight="1">
      <c r="A14" s="148"/>
      <c r="B14" s="49"/>
      <c r="C14" s="50"/>
      <c r="D14" s="50"/>
      <c r="E14" s="50"/>
      <c r="F14" s="50"/>
      <c r="G14" s="50"/>
      <c r="H14" s="50"/>
      <c r="I14" s="50"/>
      <c r="J14" s="144"/>
      <c r="K14" s="217"/>
    </row>
    <row r="15" spans="1:11" ht="17.25" customHeight="1">
      <c r="A15" s="158" t="s">
        <v>179</v>
      </c>
      <c r="B15" s="49"/>
      <c r="C15" s="50"/>
      <c r="D15" s="50"/>
      <c r="E15" s="50"/>
      <c r="F15" s="50"/>
      <c r="G15" s="50"/>
      <c r="H15" s="50"/>
      <c r="I15" s="50"/>
      <c r="J15" s="144"/>
      <c r="K15" s="217"/>
    </row>
    <row r="16" spans="1:11" ht="17.25" customHeight="1">
      <c r="A16" s="158"/>
      <c r="B16" s="231" t="s">
        <v>0</v>
      </c>
      <c r="C16" s="717" t="str">
        <f>'Aanvraag inhuur'!C9</f>
        <v>Ministerie van Economische Zaken</v>
      </c>
      <c r="D16" s="717"/>
      <c r="E16" s="717"/>
      <c r="F16" s="717"/>
      <c r="G16" s="717"/>
      <c r="H16" s="231"/>
      <c r="I16" s="229"/>
      <c r="J16" s="230"/>
      <c r="K16" s="217"/>
    </row>
    <row r="17" spans="1:11" ht="17.25" customHeight="1">
      <c r="A17" s="158"/>
      <c r="B17" s="231" t="s">
        <v>1</v>
      </c>
      <c r="C17" s="717" t="str">
        <f>'Aanvraag inhuur'!C10</f>
        <v>RVO</v>
      </c>
      <c r="D17" s="717"/>
      <c r="E17" s="717"/>
      <c r="F17" s="717"/>
      <c r="G17" s="717"/>
      <c r="H17" s="231"/>
      <c r="I17" s="229"/>
      <c r="J17" s="230"/>
      <c r="K17" s="217"/>
    </row>
    <row r="18" spans="1:11" ht="17.25" customHeight="1">
      <c r="A18" s="158"/>
      <c r="B18" s="231" t="s">
        <v>206</v>
      </c>
      <c r="C18" s="717" t="str">
        <f>'Aanvraag inhuur'!C11</f>
        <v>Afdeling X</v>
      </c>
      <c r="D18" s="717"/>
      <c r="E18" s="717"/>
      <c r="F18" s="717"/>
      <c r="G18" s="717"/>
      <c r="H18" s="231"/>
      <c r="I18" s="229"/>
      <c r="J18" s="230"/>
      <c r="K18" s="218"/>
    </row>
    <row r="19" spans="1:11" ht="6.75" customHeight="1">
      <c r="A19" s="158"/>
      <c r="B19" s="49"/>
      <c r="C19" s="51"/>
      <c r="D19" s="51"/>
      <c r="E19" s="51"/>
      <c r="F19" s="51"/>
      <c r="G19" s="51"/>
      <c r="H19" s="51"/>
      <c r="I19" s="229"/>
      <c r="J19" s="230"/>
      <c r="K19" s="218"/>
    </row>
    <row r="20" spans="1:11" ht="17.25" customHeight="1">
      <c r="A20" s="725" t="s">
        <v>207</v>
      </c>
      <c r="B20" s="646"/>
      <c r="C20" s="50"/>
      <c r="D20" s="232"/>
      <c r="E20" s="232"/>
      <c r="F20" s="232"/>
      <c r="G20" s="233"/>
      <c r="H20" s="51"/>
      <c r="I20" s="51"/>
      <c r="J20" s="234"/>
    </row>
    <row r="21" spans="1:11" ht="17.25" customHeight="1">
      <c r="A21" s="158"/>
      <c r="B21" s="50" t="s">
        <v>204</v>
      </c>
      <c r="C21" s="717" t="str">
        <f>'Aanvraag inhuur'!C18</f>
        <v>Adviseur Data management (Medior)</v>
      </c>
      <c r="D21" s="717"/>
      <c r="E21" s="717"/>
      <c r="F21" s="717"/>
      <c r="G21" s="717"/>
      <c r="H21" s="50"/>
      <c r="I21" s="235"/>
      <c r="J21" s="236"/>
    </row>
    <row r="22" spans="1:11" ht="17.25" customHeight="1">
      <c r="A22" s="237"/>
      <c r="B22" s="51" t="s">
        <v>208</v>
      </c>
      <c r="C22" s="717" t="str">
        <f>'Aanvraag inhuur'!C19</f>
        <v>Data Specialisten</v>
      </c>
      <c r="D22" s="717"/>
      <c r="E22" s="717"/>
      <c r="F22" s="717"/>
      <c r="G22" s="717"/>
      <c r="H22" s="231"/>
      <c r="I22" s="238"/>
      <c r="J22" s="239"/>
    </row>
    <row r="23" spans="1:11" ht="17.25" customHeight="1">
      <c r="A23" s="237"/>
      <c r="B23" s="51" t="s">
        <v>209</v>
      </c>
      <c r="C23" s="717" t="str">
        <f>'Aanvraag inhuur'!C20</f>
        <v>N.v.t. bij data specialisten</v>
      </c>
      <c r="D23" s="717"/>
      <c r="E23" s="717"/>
      <c r="F23" s="717"/>
      <c r="G23" s="717"/>
      <c r="H23" s="231"/>
      <c r="I23" s="238"/>
      <c r="J23" s="239"/>
    </row>
    <row r="24" spans="1:11" ht="17.25" customHeight="1">
      <c r="A24" s="237"/>
      <c r="B24" s="51" t="s">
        <v>220</v>
      </c>
      <c r="C24" s="717">
        <f>'Aanvraag inhuur'!C21</f>
        <v>0</v>
      </c>
      <c r="D24" s="717"/>
      <c r="E24" s="717"/>
      <c r="F24" s="717"/>
      <c r="G24" s="717"/>
      <c r="H24" s="231"/>
      <c r="I24" s="238"/>
      <c r="J24" s="239"/>
    </row>
    <row r="25" spans="1:11" ht="15" customHeight="1">
      <c r="A25" s="240"/>
      <c r="B25" s="241"/>
      <c r="C25" s="242"/>
      <c r="D25" s="242"/>
      <c r="E25" s="242"/>
      <c r="F25" s="242"/>
      <c r="G25" s="242"/>
      <c r="H25" s="242"/>
      <c r="I25" s="243"/>
      <c r="J25" s="244"/>
    </row>
    <row r="26" spans="1:11" ht="17.25" customHeight="1">
      <c r="A26" s="245" t="s">
        <v>180</v>
      </c>
      <c r="B26" s="49"/>
      <c r="C26" s="136"/>
      <c r="D26" s="50"/>
      <c r="E26" s="50"/>
      <c r="F26" s="50"/>
      <c r="G26" s="50"/>
      <c r="H26" s="50"/>
      <c r="I26" s="50"/>
      <c r="J26" s="144"/>
    </row>
    <row r="27" spans="1:11" ht="15" customHeight="1">
      <c r="A27" s="245"/>
      <c r="B27" s="49"/>
      <c r="C27" s="136"/>
      <c r="D27" s="50"/>
      <c r="E27" s="50"/>
      <c r="F27" s="50"/>
      <c r="G27" s="50"/>
      <c r="H27" s="50"/>
      <c r="I27" s="50"/>
      <c r="J27" s="144"/>
    </row>
    <row r="28" spans="1:11" ht="17.25" customHeight="1">
      <c r="A28" s="147"/>
      <c r="B28" s="86"/>
      <c r="C28" s="591" t="s">
        <v>181</v>
      </c>
      <c r="D28" s="591"/>
      <c r="E28" s="591"/>
      <c r="F28" s="591"/>
      <c r="G28" s="591"/>
      <c r="H28" s="591"/>
      <c r="I28" s="166"/>
      <c r="J28" s="246"/>
      <c r="K28" s="217"/>
    </row>
    <row r="29" spans="1:11" ht="15" customHeight="1">
      <c r="A29" s="148"/>
      <c r="B29" s="49"/>
      <c r="C29" s="50"/>
      <c r="D29" s="233"/>
      <c r="E29" s="233"/>
      <c r="F29" s="233"/>
      <c r="G29" s="233"/>
      <c r="H29" s="227"/>
      <c r="I29" s="227"/>
      <c r="J29" s="228"/>
    </row>
    <row r="30" spans="1:11" ht="17.25" customHeight="1">
      <c r="A30" s="158" t="s">
        <v>164</v>
      </c>
      <c r="B30" s="51" t="s">
        <v>218</v>
      </c>
      <c r="C30" s="718"/>
      <c r="D30" s="719"/>
      <c r="E30" s="720"/>
      <c r="F30" s="233"/>
      <c r="G30" s="227"/>
      <c r="H30" s="227"/>
      <c r="I30" s="227"/>
      <c r="J30" s="228"/>
    </row>
    <row r="31" spans="1:11" ht="6.75" customHeight="1">
      <c r="A31" s="148"/>
      <c r="B31" s="49"/>
      <c r="C31" s="50"/>
      <c r="D31" s="233"/>
      <c r="E31" s="233"/>
      <c r="F31" s="233"/>
      <c r="G31" s="233"/>
      <c r="H31" s="227"/>
      <c r="I31" s="227"/>
      <c r="J31" s="228"/>
    </row>
    <row r="32" spans="1:11" ht="17.25" customHeight="1">
      <c r="A32" s="148"/>
      <c r="B32" s="51" t="s">
        <v>219</v>
      </c>
      <c r="C32" s="718"/>
      <c r="D32" s="719"/>
      <c r="E32" s="720"/>
      <c r="F32" s="233"/>
      <c r="G32" s="227"/>
      <c r="H32" s="227"/>
      <c r="I32" s="227"/>
      <c r="J32" s="228"/>
    </row>
    <row r="33" spans="1:12" ht="6.75" customHeight="1">
      <c r="A33" s="148"/>
      <c r="B33" s="49"/>
      <c r="C33" s="50"/>
      <c r="D33" s="233"/>
      <c r="E33" s="233"/>
      <c r="F33" s="233"/>
      <c r="G33" s="233"/>
      <c r="H33" s="227"/>
      <c r="I33" s="227"/>
      <c r="J33" s="228"/>
    </row>
    <row r="34" spans="1:12" ht="17.25" customHeight="1">
      <c r="A34" s="148"/>
      <c r="B34" s="250" t="s">
        <v>213</v>
      </c>
      <c r="C34" s="718"/>
      <c r="D34" s="719"/>
      <c r="E34" s="720"/>
      <c r="F34" s="233"/>
      <c r="G34" s="227"/>
      <c r="H34" s="227"/>
      <c r="I34" s="227"/>
      <c r="J34" s="228"/>
    </row>
    <row r="35" spans="1:12" ht="6.75" customHeight="1">
      <c r="A35" s="148"/>
      <c r="B35" s="49"/>
      <c r="C35" s="50"/>
      <c r="D35" s="233"/>
      <c r="E35" s="233"/>
      <c r="F35" s="233"/>
      <c r="G35" s="233"/>
      <c r="H35" s="227"/>
      <c r="I35" s="227"/>
      <c r="J35" s="228"/>
    </row>
    <row r="36" spans="1:12" ht="17.25" customHeight="1">
      <c r="A36" s="148"/>
      <c r="B36" s="250" t="s">
        <v>214</v>
      </c>
      <c r="C36" s="718"/>
      <c r="D36" s="719"/>
      <c r="E36" s="720"/>
      <c r="F36" s="233"/>
      <c r="G36" s="227"/>
      <c r="H36" s="227"/>
      <c r="I36" s="227"/>
      <c r="J36" s="228"/>
    </row>
    <row r="37" spans="1:12" ht="6.75" customHeight="1">
      <c r="A37" s="148"/>
      <c r="B37" s="49"/>
      <c r="C37" s="50"/>
      <c r="D37" s="233"/>
      <c r="E37" s="233"/>
      <c r="F37" s="233"/>
      <c r="G37" s="233"/>
      <c r="H37" s="227"/>
      <c r="I37" s="227"/>
      <c r="J37" s="228"/>
    </row>
    <row r="38" spans="1:12" ht="17.25" customHeight="1">
      <c r="A38" s="158" t="s">
        <v>165</v>
      </c>
      <c r="B38" s="51" t="s">
        <v>217</v>
      </c>
      <c r="C38" s="718"/>
      <c r="D38" s="719"/>
      <c r="E38" s="720"/>
      <c r="F38" s="233"/>
      <c r="G38" s="227"/>
      <c r="H38" s="227"/>
      <c r="I38" s="227"/>
      <c r="J38" s="228"/>
    </row>
    <row r="39" spans="1:12" ht="6.75" customHeight="1">
      <c r="A39" s="245"/>
      <c r="B39" s="49"/>
      <c r="C39" s="136"/>
      <c r="D39" s="233"/>
      <c r="E39" s="50"/>
      <c r="F39" s="233"/>
      <c r="G39" s="50"/>
      <c r="H39" s="50"/>
      <c r="I39" s="50"/>
      <c r="J39" s="144"/>
    </row>
    <row r="40" spans="1:12" ht="25.5" customHeight="1">
      <c r="A40" s="158"/>
      <c r="B40" s="66" t="s">
        <v>942</v>
      </c>
      <c r="C40" s="718"/>
      <c r="D40" s="719"/>
      <c r="E40" s="720"/>
      <c r="F40" s="233"/>
      <c r="G40" s="227"/>
      <c r="H40" s="227"/>
      <c r="I40" s="227"/>
      <c r="J40" s="228"/>
    </row>
    <row r="41" spans="1:12" ht="6.75" customHeight="1">
      <c r="A41" s="245"/>
      <c r="B41" s="49"/>
      <c r="C41" s="136"/>
      <c r="D41" s="233"/>
      <c r="E41" s="50"/>
      <c r="F41" s="233"/>
      <c r="G41" s="50"/>
      <c r="H41" s="50"/>
      <c r="I41" s="50"/>
      <c r="J41" s="144"/>
    </row>
    <row r="42" spans="1:12" ht="17.25" customHeight="1">
      <c r="A42" s="245"/>
      <c r="B42" s="50" t="s">
        <v>211</v>
      </c>
      <c r="C42" s="718"/>
      <c r="D42" s="719"/>
      <c r="E42" s="720"/>
      <c r="F42" s="249"/>
      <c r="G42" s="249"/>
      <c r="H42" s="50"/>
      <c r="I42" s="50"/>
      <c r="J42" s="144"/>
    </row>
    <row r="43" spans="1:12" ht="6.75" customHeight="1">
      <c r="A43" s="245"/>
      <c r="B43" s="49"/>
      <c r="C43" s="136"/>
      <c r="D43" s="233"/>
      <c r="E43" s="50"/>
      <c r="F43" s="233"/>
      <c r="G43" s="50"/>
      <c r="H43" s="50"/>
      <c r="I43" s="50"/>
      <c r="J43" s="144"/>
    </row>
    <row r="44" spans="1:12" ht="24.75" customHeight="1">
      <c r="A44" s="251"/>
      <c r="B44" s="62" t="s">
        <v>233</v>
      </c>
      <c r="C44" s="96"/>
      <c r="D44" s="50"/>
      <c r="E44" s="50"/>
      <c r="F44" s="50"/>
      <c r="G44" s="50"/>
      <c r="H44" s="50"/>
      <c r="I44" s="50"/>
      <c r="J44" s="144"/>
    </row>
    <row r="45" spans="1:12" ht="7.5" customHeight="1">
      <c r="A45" s="160"/>
      <c r="B45" s="252"/>
      <c r="C45" s="252"/>
      <c r="D45" s="69"/>
      <c r="E45" s="69"/>
      <c r="F45" s="69"/>
      <c r="G45" s="69"/>
      <c r="H45" s="69"/>
      <c r="I45" s="69"/>
      <c r="J45" s="161"/>
    </row>
    <row r="46" spans="1:12" s="121" customFormat="1" ht="17.25" customHeight="1">
      <c r="A46" s="147"/>
      <c r="B46" s="86"/>
      <c r="C46" s="591" t="s">
        <v>182</v>
      </c>
      <c r="D46" s="591"/>
      <c r="E46" s="591"/>
      <c r="F46" s="591"/>
      <c r="G46" s="591"/>
      <c r="H46" s="591"/>
      <c r="I46" s="591"/>
      <c r="J46" s="87"/>
      <c r="K46" s="219"/>
    </row>
    <row r="47" spans="1:12" s="121" customFormat="1" ht="7.5" customHeight="1">
      <c r="A47" s="253"/>
      <c r="B47" s="254"/>
      <c r="C47" s="254"/>
      <c r="D47" s="254"/>
      <c r="E47" s="254"/>
      <c r="F47" s="254"/>
      <c r="G47" s="254"/>
      <c r="H47" s="50"/>
      <c r="I47" s="713" t="s">
        <v>183</v>
      </c>
      <c r="J47" s="144"/>
      <c r="K47" s="220"/>
    </row>
    <row r="48" spans="1:12" s="106" customFormat="1" ht="17.25" customHeight="1">
      <c r="A48" s="148"/>
      <c r="B48" s="49"/>
      <c r="C48" s="49" t="s">
        <v>8</v>
      </c>
      <c r="D48" s="66"/>
      <c r="E48" s="66"/>
      <c r="F48" s="66"/>
      <c r="G48" s="67" t="s">
        <v>184</v>
      </c>
      <c r="H48" s="50"/>
      <c r="I48" s="714"/>
      <c r="J48" s="144"/>
      <c r="K48" s="221"/>
      <c r="L48" s="121"/>
    </row>
    <row r="49" spans="1:11" s="106" customFormat="1" ht="25.5" customHeight="1">
      <c r="A49" s="251" t="s">
        <v>185</v>
      </c>
      <c r="B49" s="255"/>
      <c r="C49" s="708" t="str">
        <f>'Aanvraag inhuur'!C33</f>
        <v>Bewezen ervaring met uitwerking Data en/of analytics Governance</v>
      </c>
      <c r="D49" s="709"/>
      <c r="E49" s="710"/>
      <c r="F49" s="66"/>
      <c r="G49" s="276">
        <f>IF('Aanvraag inhuur'!F33&lt;&gt;"",'Aanvraag inhuur'!F33," ")</f>
        <v>2</v>
      </c>
      <c r="H49" s="50"/>
      <c r="I49" s="198"/>
      <c r="J49" s="144"/>
      <c r="K49" s="221"/>
    </row>
    <row r="50" spans="1:11" s="106" customFormat="1" ht="25.5" customHeight="1">
      <c r="A50" s="721" t="s">
        <v>186</v>
      </c>
      <c r="B50" s="722"/>
      <c r="C50" s="708" t="str">
        <f>'Aanvraag inhuur'!C34</f>
        <v>Ervaring met opstellen van kaders en/of richtlijnen op het gebied van data en/of analytics</v>
      </c>
      <c r="D50" s="709"/>
      <c r="E50" s="710"/>
      <c r="F50" s="66"/>
      <c r="G50" s="276">
        <f>IF('Aanvraag inhuur'!F34&lt;&gt;"",'Aanvraag inhuur'!F34," ")</f>
        <v>2</v>
      </c>
      <c r="H50" s="50"/>
      <c r="I50" s="198"/>
      <c r="J50" s="144"/>
      <c r="K50" s="221"/>
    </row>
    <row r="51" spans="1:11" s="106" customFormat="1" ht="25.5" customHeight="1">
      <c r="A51" s="715"/>
      <c r="B51" s="716"/>
      <c r="C51" s="708">
        <f>'Aanvraag inhuur'!C35</f>
        <v>0</v>
      </c>
      <c r="D51" s="709"/>
      <c r="E51" s="710"/>
      <c r="F51" s="66"/>
      <c r="G51" s="276" t="str">
        <f>IF('Aanvraag inhuur'!F35&lt;&gt;"",'Aanvraag inhuur'!F35," ")</f>
        <v xml:space="preserve"> </v>
      </c>
      <c r="H51" s="50"/>
      <c r="I51" s="198"/>
      <c r="J51" s="144"/>
      <c r="K51" s="221"/>
    </row>
    <row r="52" spans="1:11" s="106" customFormat="1" ht="25.5" customHeight="1">
      <c r="A52" s="256"/>
      <c r="B52" s="257"/>
      <c r="C52" s="708">
        <f>'Aanvraag inhuur'!C36</f>
        <v>0</v>
      </c>
      <c r="D52" s="709"/>
      <c r="E52" s="710"/>
      <c r="F52" s="66"/>
      <c r="G52" s="276" t="str">
        <f>IF('Aanvraag inhuur'!F36&lt;&gt;"",'Aanvraag inhuur'!F36," ")</f>
        <v xml:space="preserve"> </v>
      </c>
      <c r="H52" s="50"/>
      <c r="I52" s="198"/>
      <c r="J52" s="144"/>
      <c r="K52" s="221"/>
    </row>
    <row r="53" spans="1:11" s="106" customFormat="1" ht="25.5" customHeight="1">
      <c r="A53" s="256"/>
      <c r="B53" s="257"/>
      <c r="C53" s="708">
        <f>'Aanvraag inhuur'!C37</f>
        <v>0</v>
      </c>
      <c r="D53" s="709"/>
      <c r="E53" s="710"/>
      <c r="F53" s="66"/>
      <c r="G53" s="276" t="str">
        <f>IF('Aanvraag inhuur'!F37&lt;&gt;"",'Aanvraag inhuur'!F37," ")</f>
        <v xml:space="preserve"> </v>
      </c>
      <c r="H53" s="50"/>
      <c r="I53" s="198"/>
      <c r="J53" s="144"/>
      <c r="K53" s="221"/>
    </row>
    <row r="54" spans="1:11" s="106" customFormat="1" ht="25.5" customHeight="1">
      <c r="A54" s="256"/>
      <c r="B54" s="257"/>
      <c r="C54" s="708">
        <f>'Aanvraag inhuur'!C38</f>
        <v>0</v>
      </c>
      <c r="D54" s="709"/>
      <c r="E54" s="710"/>
      <c r="F54" s="66"/>
      <c r="G54" s="276" t="str">
        <f>IF('Aanvraag inhuur'!F38&lt;&gt;"",'Aanvraag inhuur'!F38," ")</f>
        <v xml:space="preserve"> </v>
      </c>
      <c r="H54" s="50"/>
      <c r="I54" s="198"/>
      <c r="J54" s="144"/>
      <c r="K54" s="221"/>
    </row>
    <row r="55" spans="1:11" s="106" customFormat="1" ht="25.5" customHeight="1">
      <c r="A55" s="155"/>
      <c r="B55" s="258"/>
      <c r="C55" s="708">
        <f>'Aanvraag inhuur'!C39</f>
        <v>0</v>
      </c>
      <c r="D55" s="709"/>
      <c r="E55" s="710"/>
      <c r="F55" s="66"/>
      <c r="G55" s="276" t="str">
        <f>IF('Aanvraag inhuur'!F39&lt;&gt;"",'Aanvraag inhuur'!F39," ")</f>
        <v xml:space="preserve"> </v>
      </c>
      <c r="H55" s="50"/>
      <c r="I55" s="198"/>
      <c r="J55" s="144"/>
      <c r="K55" s="221"/>
    </row>
    <row r="56" spans="1:11" s="106" customFormat="1" ht="25.5" customHeight="1">
      <c r="A56" s="148"/>
      <c r="B56" s="52"/>
      <c r="C56" s="708">
        <f>'Aanvraag inhuur'!C40</f>
        <v>0</v>
      </c>
      <c r="D56" s="709"/>
      <c r="E56" s="710"/>
      <c r="F56" s="66"/>
      <c r="G56" s="276" t="str">
        <f>IF('Aanvraag inhuur'!F40&lt;&gt;"",'Aanvraag inhuur'!F40," ")</f>
        <v xml:space="preserve"> </v>
      </c>
      <c r="H56" s="50"/>
      <c r="I56" s="198"/>
      <c r="J56" s="144"/>
      <c r="K56" s="221"/>
    </row>
    <row r="57" spans="1:11" s="106" customFormat="1" ht="25.5" customHeight="1">
      <c r="A57" s="148"/>
      <c r="B57" s="52"/>
      <c r="C57" s="708">
        <f>'Aanvraag inhuur'!C41</f>
        <v>0</v>
      </c>
      <c r="D57" s="709"/>
      <c r="E57" s="710"/>
      <c r="F57" s="66"/>
      <c r="G57" s="276" t="str">
        <f>IF('Aanvraag inhuur'!F41&lt;&gt;"",'Aanvraag inhuur'!F41," ")</f>
        <v xml:space="preserve"> </v>
      </c>
      <c r="H57" s="50"/>
      <c r="I57" s="198"/>
      <c r="J57" s="144"/>
      <c r="K57" s="221"/>
    </row>
    <row r="58" spans="1:11" s="106" customFormat="1" ht="17.25" customHeight="1">
      <c r="A58" s="148"/>
      <c r="B58" s="49"/>
      <c r="C58" s="49" t="s">
        <v>116</v>
      </c>
      <c r="D58" s="66"/>
      <c r="E58" s="66"/>
      <c r="F58" s="66"/>
      <c r="G58" s="67"/>
      <c r="H58" s="50"/>
      <c r="I58" s="50"/>
      <c r="J58" s="144"/>
      <c r="K58" s="221"/>
    </row>
    <row r="59" spans="1:11" s="106" customFormat="1" ht="25.5" customHeight="1">
      <c r="A59" s="711" t="s">
        <v>118</v>
      </c>
      <c r="B59" s="712"/>
      <c r="C59" s="708" t="str">
        <f>'Aanvraag inhuur'!C43</f>
        <v>WO opleiding</v>
      </c>
      <c r="D59" s="709"/>
      <c r="E59" s="709"/>
      <c r="F59" s="709"/>
      <c r="G59" s="710"/>
      <c r="H59" s="50"/>
      <c r="I59" s="198"/>
      <c r="J59" s="144"/>
      <c r="K59" s="221"/>
    </row>
    <row r="60" spans="1:11" s="106" customFormat="1" ht="25.5" customHeight="1">
      <c r="A60" s="148"/>
      <c r="B60" s="259"/>
      <c r="C60" s="708">
        <f>'Aanvraag inhuur'!C44</f>
        <v>0</v>
      </c>
      <c r="D60" s="709"/>
      <c r="E60" s="709"/>
      <c r="F60" s="709"/>
      <c r="G60" s="710"/>
      <c r="H60" s="50"/>
      <c r="I60" s="198"/>
      <c r="J60" s="144"/>
      <c r="K60" s="221"/>
    </row>
    <row r="61" spans="1:11" s="106" customFormat="1" ht="25.5" customHeight="1">
      <c r="A61" s="148"/>
      <c r="B61" s="49"/>
      <c r="C61" s="708">
        <f>'Aanvraag inhuur'!C45</f>
        <v>0</v>
      </c>
      <c r="D61" s="709"/>
      <c r="E61" s="709"/>
      <c r="F61" s="709"/>
      <c r="G61" s="710"/>
      <c r="H61" s="50"/>
      <c r="I61" s="198"/>
      <c r="J61" s="144"/>
      <c r="K61" s="221"/>
    </row>
    <row r="62" spans="1:11" s="106" customFormat="1" ht="25.5" customHeight="1">
      <c r="A62" s="148"/>
      <c r="B62" s="159"/>
      <c r="C62" s="708">
        <f>'Aanvraag inhuur'!C46</f>
        <v>0</v>
      </c>
      <c r="D62" s="709"/>
      <c r="E62" s="709"/>
      <c r="F62" s="709"/>
      <c r="G62" s="710"/>
      <c r="H62" s="50"/>
      <c r="I62" s="198"/>
      <c r="J62" s="144"/>
      <c r="K62" s="221"/>
    </row>
    <row r="63" spans="1:11" s="121" customFormat="1" ht="8.25" customHeight="1">
      <c r="A63" s="148"/>
      <c r="B63" s="49"/>
      <c r="C63" s="50"/>
      <c r="D63" s="66"/>
      <c r="E63" s="50"/>
      <c r="F63" s="66"/>
      <c r="G63" s="262"/>
      <c r="H63" s="50"/>
      <c r="I63" s="50"/>
      <c r="J63" s="144"/>
      <c r="K63" s="219"/>
    </row>
    <row r="64" spans="1:11" s="106" customFormat="1" ht="25.5" customHeight="1">
      <c r="A64" s="155"/>
      <c r="B64" s="260" t="s">
        <v>39</v>
      </c>
      <c r="C64" s="708" t="str">
        <f>'Aanvraag inhuur'!C48</f>
        <v>Data en/of Analytics Governance</v>
      </c>
      <c r="D64" s="709"/>
      <c r="E64" s="709"/>
      <c r="F64" s="709"/>
      <c r="G64" s="710"/>
      <c r="H64" s="50"/>
      <c r="I64" s="198"/>
      <c r="J64" s="144"/>
      <c r="K64" s="221"/>
    </row>
    <row r="65" spans="1:11" s="106" customFormat="1" ht="25.5" customHeight="1">
      <c r="A65" s="148"/>
      <c r="B65" s="261"/>
      <c r="C65" s="708">
        <f>'Aanvraag inhuur'!C49</f>
        <v>0</v>
      </c>
      <c r="D65" s="709"/>
      <c r="E65" s="709"/>
      <c r="F65" s="709"/>
      <c r="G65" s="710"/>
      <c r="H65" s="50"/>
      <c r="I65" s="198"/>
      <c r="J65" s="144"/>
      <c r="K65" s="221"/>
    </row>
    <row r="66" spans="1:11" s="106" customFormat="1" ht="25.5" customHeight="1">
      <c r="A66" s="148"/>
      <c r="B66" s="49"/>
      <c r="C66" s="708">
        <f>'Aanvraag inhuur'!C50</f>
        <v>0</v>
      </c>
      <c r="D66" s="709"/>
      <c r="E66" s="709"/>
      <c r="F66" s="709"/>
      <c r="G66" s="710"/>
      <c r="H66" s="50"/>
      <c r="I66" s="198"/>
      <c r="J66" s="144"/>
      <c r="K66" s="221"/>
    </row>
    <row r="67" spans="1:11" ht="8.25" customHeight="1">
      <c r="A67" s="148"/>
      <c r="B67" s="51"/>
      <c r="C67" s="51"/>
      <c r="D67" s="50"/>
      <c r="E67" s="50"/>
      <c r="F67" s="50"/>
      <c r="G67" s="50"/>
      <c r="H67" s="50"/>
      <c r="I67" s="50"/>
      <c r="J67" s="144"/>
    </row>
    <row r="68" spans="1:11" ht="17.25" customHeight="1">
      <c r="A68" s="147"/>
      <c r="B68" s="86"/>
      <c r="C68" s="166" t="s">
        <v>215</v>
      </c>
      <c r="D68" s="166"/>
      <c r="E68" s="166"/>
      <c r="F68" s="166"/>
      <c r="G68" s="166"/>
      <c r="H68" s="247"/>
      <c r="I68" s="247"/>
      <c r="J68" s="248"/>
      <c r="K68" s="217"/>
    </row>
    <row r="69" spans="1:11" ht="6" customHeight="1">
      <c r="A69" s="148"/>
      <c r="B69" s="51"/>
      <c r="C69" s="50"/>
      <c r="D69" s="266"/>
      <c r="E69" s="707"/>
      <c r="F69" s="266"/>
      <c r="G69" s="707"/>
      <c r="H69" s="227"/>
      <c r="I69" s="227"/>
      <c r="J69" s="228"/>
    </row>
    <row r="70" spans="1:11" ht="17.25" customHeight="1">
      <c r="A70" s="148"/>
      <c r="B70" s="49"/>
      <c r="C70" s="49" t="s">
        <v>187</v>
      </c>
      <c r="D70" s="266"/>
      <c r="E70" s="700"/>
      <c r="F70" s="266"/>
      <c r="G70" s="700"/>
      <c r="H70" s="227"/>
      <c r="I70" s="227"/>
      <c r="J70" s="228"/>
    </row>
    <row r="71" spans="1:11" ht="26.25" customHeight="1">
      <c r="A71" s="148"/>
      <c r="B71" s="51" t="s">
        <v>212</v>
      </c>
      <c r="C71" s="273"/>
      <c r="D71" s="264"/>
      <c r="E71" s="700"/>
      <c r="F71" s="264"/>
      <c r="G71" s="700"/>
      <c r="H71" s="50"/>
      <c r="I71" s="50"/>
      <c r="J71" s="144"/>
    </row>
    <row r="72" spans="1:11" ht="9" hidden="1" customHeight="1">
      <c r="A72" s="173"/>
      <c r="B72" s="197"/>
      <c r="C72" s="171"/>
      <c r="D72" s="264"/>
      <c r="E72" s="700"/>
      <c r="F72" s="264"/>
      <c r="G72" s="700"/>
      <c r="H72" s="227"/>
      <c r="I72" s="227"/>
      <c r="J72" s="228"/>
    </row>
    <row r="73" spans="1:11" ht="26.25" hidden="1" customHeight="1">
      <c r="A73" s="148"/>
      <c r="B73" s="66" t="s">
        <v>188</v>
      </c>
      <c r="C73" s="263"/>
      <c r="D73" s="264"/>
      <c r="E73" s="265"/>
      <c r="F73" s="264"/>
      <c r="G73" s="700"/>
      <c r="H73" s="50"/>
      <c r="I73" s="50"/>
      <c r="J73" s="144"/>
    </row>
    <row r="74" spans="1:11" ht="9" customHeight="1">
      <c r="A74" s="148"/>
      <c r="B74" s="51"/>
      <c r="C74" s="262"/>
      <c r="D74" s="264"/>
      <c r="E74" s="265"/>
      <c r="F74" s="264"/>
      <c r="G74" s="701"/>
      <c r="H74" s="227"/>
      <c r="I74" s="227"/>
      <c r="J74" s="228"/>
    </row>
    <row r="75" spans="1:11" ht="17.25" hidden="1" customHeight="1">
      <c r="A75" s="194"/>
      <c r="B75" s="195"/>
      <c r="C75" s="196" t="s">
        <v>189</v>
      </c>
      <c r="D75" s="196"/>
      <c r="E75" s="196"/>
      <c r="F75" s="196"/>
      <c r="G75" s="196"/>
      <c r="H75" s="199"/>
      <c r="I75" s="199"/>
      <c r="J75" s="200"/>
      <c r="K75" s="217"/>
    </row>
    <row r="76" spans="1:11" ht="6" hidden="1" customHeight="1">
      <c r="A76" s="173"/>
      <c r="B76" s="197"/>
      <c r="C76" s="172"/>
      <c r="D76" s="201"/>
      <c r="E76" s="204"/>
      <c r="F76" s="201"/>
      <c r="G76" s="203"/>
      <c r="H76" s="192"/>
      <c r="I76" s="192"/>
      <c r="J76" s="193"/>
    </row>
    <row r="77" spans="1:11" ht="104.25" hidden="1" customHeight="1">
      <c r="A77" s="173"/>
      <c r="B77" s="197" t="s">
        <v>190</v>
      </c>
      <c r="C77" s="203"/>
      <c r="D77" s="203"/>
      <c r="E77" s="203"/>
      <c r="F77" s="702" t="s">
        <v>191</v>
      </c>
      <c r="G77" s="702"/>
      <c r="H77" s="702"/>
      <c r="I77" s="702"/>
      <c r="J77" s="703"/>
    </row>
    <row r="78" spans="1:11" ht="9" hidden="1" customHeight="1">
      <c r="A78" s="173"/>
      <c r="B78" s="197"/>
      <c r="C78" s="171"/>
      <c r="D78" s="202"/>
      <c r="E78" s="205"/>
      <c r="F78" s="202"/>
      <c r="G78" s="205"/>
      <c r="H78" s="192"/>
      <c r="I78" s="192"/>
      <c r="J78" s="193"/>
    </row>
    <row r="79" spans="1:11" ht="17.25" customHeight="1">
      <c r="A79" s="147"/>
      <c r="B79" s="86"/>
      <c r="C79" s="166" t="s">
        <v>192</v>
      </c>
      <c r="D79" s="166"/>
      <c r="E79" s="166"/>
      <c r="F79" s="166"/>
      <c r="G79" s="166"/>
      <c r="H79" s="166"/>
      <c r="I79" s="166"/>
      <c r="J79" s="246"/>
      <c r="K79" s="217"/>
    </row>
    <row r="80" spans="1:11" ht="8.25" customHeight="1">
      <c r="A80" s="148"/>
      <c r="B80" s="51"/>
      <c r="C80" s="50"/>
      <c r="D80" s="268"/>
      <c r="E80" s="268"/>
      <c r="F80" s="268"/>
      <c r="G80" s="227"/>
      <c r="H80" s="227"/>
      <c r="I80" s="227"/>
      <c r="J80" s="228"/>
    </row>
    <row r="81" spans="1:10" ht="210.75" customHeight="1">
      <c r="A81" s="267" t="s">
        <v>216</v>
      </c>
      <c r="B81" s="585"/>
      <c r="C81" s="586"/>
      <c r="D81" s="586"/>
      <c r="E81" s="586"/>
      <c r="F81" s="586"/>
      <c r="G81" s="586"/>
      <c r="H81" s="586"/>
      <c r="I81" s="587"/>
      <c r="J81" s="228"/>
    </row>
    <row r="82" spans="1:10" ht="239.25" customHeight="1">
      <c r="A82" s="148"/>
      <c r="B82" s="704"/>
      <c r="C82" s="705"/>
      <c r="D82" s="705"/>
      <c r="E82" s="705"/>
      <c r="F82" s="705"/>
      <c r="G82" s="705"/>
      <c r="H82" s="705"/>
      <c r="I82" s="706"/>
      <c r="J82" s="228"/>
    </row>
    <row r="83" spans="1:10" ht="210.75" customHeight="1">
      <c r="A83" s="148"/>
      <c r="B83" s="704"/>
      <c r="C83" s="705"/>
      <c r="D83" s="705"/>
      <c r="E83" s="705"/>
      <c r="F83" s="705"/>
      <c r="G83" s="705"/>
      <c r="H83" s="705"/>
      <c r="I83" s="706"/>
      <c r="J83" s="228"/>
    </row>
    <row r="84" spans="1:10" ht="168.75" customHeight="1">
      <c r="A84" s="148"/>
      <c r="B84" s="588"/>
      <c r="C84" s="589"/>
      <c r="D84" s="589"/>
      <c r="E84" s="589"/>
      <c r="F84" s="589"/>
      <c r="G84" s="589"/>
      <c r="H84" s="589"/>
      <c r="I84" s="590"/>
      <c r="J84" s="228"/>
    </row>
    <row r="85" spans="1:10" ht="9.75" customHeight="1">
      <c r="A85" s="160"/>
      <c r="B85" s="270"/>
      <c r="C85" s="69"/>
      <c r="D85" s="271"/>
      <c r="E85" s="271"/>
      <c r="F85" s="271"/>
      <c r="G85" s="271"/>
      <c r="H85" s="272"/>
      <c r="I85" s="272"/>
      <c r="J85" s="269"/>
    </row>
  </sheetData>
  <sheetProtection sheet="1" formatRows="0" selectLockedCells="1"/>
  <dataConsolidate/>
  <customSheetViews>
    <customSheetView guid="{CA546172-0AA0-4956-873D-5C937D195097}" fitToPage="1" hiddenRows="1">
      <selection activeCell="C30" sqref="C30:E30"/>
      <rowBreaks count="2" manualBreakCount="2">
        <brk id="45" max="16383" man="1"/>
        <brk id="78" max="16383" man="1"/>
      </rowBreaks>
      <pageMargins left="0.62992125984251968" right="0.23622047244094491" top="0.55118110236220474" bottom="0.55118110236220474" header="0.31496062992125984" footer="0.31496062992125984"/>
      <pageSetup paperSize="9" scale="73" fitToHeight="0" orientation="portrait" r:id="rId1"/>
      <headerFooter>
        <oddFooter>&amp;L&amp;"Verdana,Standaard"&amp;9&amp;K000000&amp;F&amp;C&amp;"Verdana Vet,Vet"&amp;9&amp;K000000Pagina &amp;P van &amp;N&amp;R&amp;"Verdana,Standaard"&amp;9&amp;K000000&amp;D</oddFooter>
      </headerFooter>
    </customSheetView>
  </customSheetViews>
  <mergeCells count="56">
    <mergeCell ref="D1:E1"/>
    <mergeCell ref="A1:C1"/>
    <mergeCell ref="C42:E42"/>
    <mergeCell ref="C40:E40"/>
    <mergeCell ref="E5:F5"/>
    <mergeCell ref="C24:G24"/>
    <mergeCell ref="C16:G16"/>
    <mergeCell ref="A3:C3"/>
    <mergeCell ref="A7:C7"/>
    <mergeCell ref="E7:G7"/>
    <mergeCell ref="A11:G11"/>
    <mergeCell ref="A5:C5"/>
    <mergeCell ref="A2:C2"/>
    <mergeCell ref="C17:G17"/>
    <mergeCell ref="C18:G18"/>
    <mergeCell ref="A9:G9"/>
    <mergeCell ref="A8:C8"/>
    <mergeCell ref="C13:H13"/>
    <mergeCell ref="A20:B20"/>
    <mergeCell ref="C21:G21"/>
    <mergeCell ref="C22:G22"/>
    <mergeCell ref="C23:G23"/>
    <mergeCell ref="C30:E30"/>
    <mergeCell ref="C28:H28"/>
    <mergeCell ref="A50:B50"/>
    <mergeCell ref="C50:E50"/>
    <mergeCell ref="C32:E32"/>
    <mergeCell ref="C34:E34"/>
    <mergeCell ref="C36:E36"/>
    <mergeCell ref="C38:E38"/>
    <mergeCell ref="C55:E55"/>
    <mergeCell ref="C46:I46"/>
    <mergeCell ref="I47:I48"/>
    <mergeCell ref="C49:E49"/>
    <mergeCell ref="A51:B51"/>
    <mergeCell ref="C51:E51"/>
    <mergeCell ref="C52:E52"/>
    <mergeCell ref="C53:E53"/>
    <mergeCell ref="C54:E54"/>
    <mergeCell ref="G69:G70"/>
    <mergeCell ref="C56:E56"/>
    <mergeCell ref="C57:E57"/>
    <mergeCell ref="A59:B59"/>
    <mergeCell ref="C59:G59"/>
    <mergeCell ref="C60:G60"/>
    <mergeCell ref="C61:G61"/>
    <mergeCell ref="C62:G62"/>
    <mergeCell ref="C64:G64"/>
    <mergeCell ref="C65:G65"/>
    <mergeCell ref="C66:G66"/>
    <mergeCell ref="E69:E70"/>
    <mergeCell ref="E71:E72"/>
    <mergeCell ref="G71:G72"/>
    <mergeCell ref="G73:G74"/>
    <mergeCell ref="F77:J77"/>
    <mergeCell ref="B81:I84"/>
  </mergeCells>
  <conditionalFormatting sqref="K47">
    <cfRule type="cellIs" dxfId="46" priority="1" operator="greaterThan">
      <formula>"'"</formula>
    </cfRule>
  </conditionalFormatting>
  <dataValidations count="1">
    <dataValidation type="list" allowBlank="1" showInputMessage="1" showErrorMessage="1" sqref="C44 I59:I62 I64:I66 I49:I57" xr:uid="{79BD4B16-8256-49C0-A274-144FB1F8D4DB}">
      <formula1>$K$2:$K$3</formula1>
    </dataValidation>
  </dataValidations>
  <pageMargins left="0.62992125984251968" right="0.23622047244094491" top="0.55118110236220474" bottom="0.55118110236220474" header="0.31496062992125984" footer="0.31496062992125984"/>
  <pageSetup paperSize="9" scale="73" fitToHeight="0" orientation="portrait" r:id="rId2"/>
  <headerFooter>
    <oddFooter>&amp;L&amp;"Verdana,Standaard"&amp;9&amp;K000000&amp;F&amp;C&amp;"Verdana Vet,Vet"&amp;9&amp;K000000Pagina &amp;P van &amp;N&amp;R&amp;"Verdana,Standaard"&amp;9&amp;K000000&amp;D</oddFooter>
  </headerFooter>
  <rowBreaks count="2" manualBreakCount="2">
    <brk id="45" max="16383" man="1"/>
    <brk id="78" max="16383"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1BA2-FF21-4D14-A31C-C388FA7BC553}">
  <sheetPr codeName="Blad10">
    <pageSetUpPr fitToPage="1"/>
  </sheetPr>
  <dimension ref="A1:AV138"/>
  <sheetViews>
    <sheetView workbookViewId="0">
      <selection sqref="A1:C1"/>
    </sheetView>
  </sheetViews>
  <sheetFormatPr defaultColWidth="10.83203125" defaultRowHeight="17.25" customHeight="1"/>
  <cols>
    <col min="1" max="1" width="3.75" style="107" bestFit="1" customWidth="1"/>
    <col min="2" max="2" width="20.25" style="121" customWidth="1"/>
    <col min="3" max="3" width="20.75" style="121" customWidth="1"/>
    <col min="4" max="4" width="19.75" style="121" customWidth="1"/>
    <col min="5" max="6" width="9.75" style="342" customWidth="1"/>
    <col min="7" max="7" width="14.58203125" style="219" customWidth="1"/>
    <col min="8" max="8" width="12.58203125" style="219" customWidth="1"/>
    <col min="9" max="9" width="12.58203125" style="121" customWidth="1"/>
    <col min="10" max="10" width="12.58203125" style="361" customWidth="1"/>
    <col min="11" max="14" width="12.58203125" style="121" customWidth="1"/>
    <col min="15" max="22" width="12.58203125" style="121" hidden="1" customWidth="1"/>
    <col min="23" max="23" width="9" style="121" customWidth="1"/>
    <col min="24" max="24" width="9" style="121" hidden="1" customWidth="1"/>
    <col min="25" max="25" width="65.75" style="121" customWidth="1"/>
    <col min="26" max="26" width="1" style="121" customWidth="1"/>
    <col min="27" max="27" width="10.08203125" style="394" customWidth="1"/>
    <col min="28" max="32" width="10.83203125" style="394"/>
    <col min="33" max="47" width="10.83203125" style="361"/>
    <col min="48" max="16384" width="10.83203125" style="121"/>
  </cols>
  <sheetData>
    <row r="1" spans="1:48" ht="27.75" customHeight="1">
      <c r="A1" s="684" t="s">
        <v>193</v>
      </c>
      <c r="B1" s="685"/>
      <c r="C1" s="686"/>
      <c r="D1" s="286"/>
      <c r="E1" s="747" t="s">
        <v>120</v>
      </c>
      <c r="F1" s="747"/>
      <c r="G1" s="747"/>
      <c r="H1" s="687">
        <f>'Aanvraag inhuur'!D1</f>
        <v>202410166</v>
      </c>
      <c r="I1" s="688"/>
      <c r="J1" s="688"/>
      <c r="K1" s="689"/>
      <c r="L1" s="222"/>
      <c r="M1" s="222"/>
      <c r="N1" s="222"/>
      <c r="O1" s="222"/>
      <c r="P1" s="222"/>
      <c r="Q1" s="222"/>
      <c r="R1" s="222"/>
      <c r="S1" s="222"/>
      <c r="T1" s="222"/>
      <c r="U1" s="222"/>
      <c r="V1" s="222"/>
      <c r="W1" s="222"/>
      <c r="X1" s="222"/>
      <c r="Y1" s="222"/>
      <c r="Z1" s="223"/>
      <c r="AA1" s="437"/>
      <c r="AB1" s="361"/>
      <c r="AC1" s="361"/>
      <c r="AD1" s="361"/>
      <c r="AE1" s="361"/>
      <c r="AF1" s="361"/>
    </row>
    <row r="2" spans="1:48" ht="24" customHeight="1">
      <c r="A2" s="692"/>
      <c r="B2" s="693"/>
      <c r="C2" s="693"/>
      <c r="D2" s="79"/>
      <c r="E2" s="326"/>
      <c r="F2" s="326"/>
      <c r="G2" s="283"/>
      <c r="H2" s="283"/>
      <c r="I2" s="50"/>
      <c r="J2" s="363"/>
      <c r="K2" s="50"/>
      <c r="L2" s="50"/>
      <c r="M2" s="50"/>
      <c r="N2" s="50"/>
      <c r="O2" s="50"/>
      <c r="P2" s="50"/>
      <c r="Q2" s="50"/>
      <c r="R2" s="50"/>
      <c r="S2" s="50"/>
      <c r="T2" s="50"/>
      <c r="U2" s="50"/>
      <c r="V2" s="50"/>
      <c r="W2" s="50"/>
      <c r="X2" s="50"/>
      <c r="Y2" s="229"/>
      <c r="Z2" s="144"/>
      <c r="AA2" s="437"/>
      <c r="AB2" s="361"/>
      <c r="AC2" s="361"/>
      <c r="AD2" s="361"/>
      <c r="AE2" s="361"/>
      <c r="AF2" s="361"/>
    </row>
    <row r="3" spans="1:48" ht="17.25" customHeight="1">
      <c r="A3" s="678" t="s">
        <v>159</v>
      </c>
      <c r="B3" s="591"/>
      <c r="C3" s="591"/>
      <c r="D3" s="591"/>
      <c r="E3" s="591"/>
      <c r="F3" s="591"/>
      <c r="G3" s="591"/>
      <c r="H3" s="591"/>
      <c r="I3" s="679"/>
      <c r="J3" s="388"/>
      <c r="K3" s="71"/>
      <c r="L3" s="71"/>
      <c r="M3" s="71"/>
      <c r="N3" s="71"/>
      <c r="O3" s="71"/>
      <c r="P3" s="71"/>
      <c r="Q3" s="71"/>
      <c r="R3" s="71"/>
      <c r="S3" s="71"/>
      <c r="T3" s="71"/>
      <c r="U3" s="71"/>
      <c r="V3" s="71"/>
      <c r="W3" s="71"/>
      <c r="X3" s="71"/>
      <c r="Y3" s="345" t="s">
        <v>194</v>
      </c>
      <c r="Z3" s="327"/>
      <c r="AA3" s="448"/>
      <c r="AG3" s="394"/>
      <c r="AH3" s="394"/>
      <c r="AI3" s="394"/>
      <c r="AJ3" s="394"/>
      <c r="AK3" s="394"/>
      <c r="AL3" s="394"/>
      <c r="AM3" s="394"/>
      <c r="AN3" s="394"/>
      <c r="AO3" s="394"/>
      <c r="AP3" s="394"/>
      <c r="AQ3" s="394"/>
      <c r="AR3" s="394"/>
      <c r="AS3" s="394"/>
      <c r="AT3" s="394"/>
      <c r="AU3" s="394"/>
      <c r="AV3" s="394"/>
    </row>
    <row r="4" spans="1:48" ht="12.65" customHeight="1">
      <c r="A4" s="148"/>
      <c r="B4" s="49"/>
      <c r="C4" s="50"/>
      <c r="D4" s="50"/>
      <c r="E4" s="328"/>
      <c r="F4" s="328"/>
      <c r="G4" s="262"/>
      <c r="H4" s="390" t="s">
        <v>361</v>
      </c>
      <c r="I4" s="50"/>
      <c r="J4" s="363"/>
      <c r="K4" s="50"/>
      <c r="L4" s="50"/>
      <c r="M4" s="50"/>
      <c r="N4" s="50"/>
      <c r="O4" s="50"/>
      <c r="P4" s="50"/>
      <c r="Q4" s="50"/>
      <c r="R4" s="50"/>
      <c r="S4" s="50"/>
      <c r="T4" s="50"/>
      <c r="U4" s="50"/>
      <c r="V4" s="50"/>
      <c r="W4" s="50"/>
      <c r="X4" s="50"/>
      <c r="Y4" s="229"/>
      <c r="Z4" s="144"/>
      <c r="AA4" s="448"/>
      <c r="AG4" s="394"/>
      <c r="AH4" s="394"/>
      <c r="AI4" s="394"/>
      <c r="AJ4" s="394"/>
      <c r="AK4" s="394"/>
      <c r="AL4" s="394"/>
      <c r="AM4" s="394"/>
      <c r="AN4" s="394"/>
      <c r="AO4" s="394"/>
      <c r="AP4" s="394"/>
      <c r="AQ4" s="394"/>
      <c r="AR4" s="394"/>
      <c r="AS4" s="394"/>
      <c r="AT4" s="394"/>
      <c r="AU4" s="394"/>
      <c r="AV4" s="394"/>
    </row>
    <row r="5" spans="1:48" s="106" customFormat="1" ht="19.5" customHeight="1">
      <c r="A5" s="735" t="s">
        <v>0</v>
      </c>
      <c r="B5" s="736"/>
      <c r="C5" s="734" t="str">
        <f>'Aanvraag inhuur'!C9</f>
        <v>Ministerie van Economische Zaken</v>
      </c>
      <c r="D5" s="734"/>
      <c r="E5" s="736" t="s">
        <v>222</v>
      </c>
      <c r="F5" s="736"/>
      <c r="G5" s="734" t="str">
        <f>'Aanvraag inhuur'!C13</f>
        <v>Persoon Y</v>
      </c>
      <c r="H5" s="734"/>
      <c r="I5" s="293"/>
      <c r="J5" s="388"/>
      <c r="K5" s="330"/>
      <c r="L5" s="330"/>
      <c r="M5" s="330"/>
      <c r="N5" s="330"/>
      <c r="O5" s="330"/>
      <c r="P5" s="330"/>
      <c r="Q5" s="748"/>
      <c r="R5" s="748"/>
      <c r="S5" s="748"/>
      <c r="T5" s="748"/>
      <c r="U5" s="748"/>
      <c r="V5" s="748"/>
      <c r="W5" s="748"/>
      <c r="X5" s="477"/>
      <c r="Y5" s="229" t="s">
        <v>232</v>
      </c>
      <c r="Z5" s="230"/>
      <c r="AA5" s="449"/>
      <c r="AB5" s="128"/>
      <c r="AC5" s="128"/>
      <c r="AD5" s="427"/>
      <c r="AE5" s="427"/>
      <c r="AF5" s="128"/>
      <c r="AG5" s="128"/>
      <c r="AH5" s="128"/>
      <c r="AI5" s="128"/>
      <c r="AJ5" s="128"/>
      <c r="AK5" s="128"/>
      <c r="AL5" s="128"/>
      <c r="AM5" s="128"/>
      <c r="AN5" s="128"/>
      <c r="AO5" s="128"/>
      <c r="AP5" s="128"/>
      <c r="AQ5" s="128"/>
      <c r="AR5" s="128"/>
      <c r="AS5" s="128"/>
      <c r="AT5" s="128"/>
      <c r="AU5" s="128"/>
      <c r="AV5" s="128"/>
    </row>
    <row r="6" spans="1:48" s="106" customFormat="1" ht="19.5" customHeight="1">
      <c r="A6" s="735" t="s">
        <v>1</v>
      </c>
      <c r="B6" s="736"/>
      <c r="C6" s="734" t="str">
        <f>'Aanvraag inhuur'!C10</f>
        <v>RVO</v>
      </c>
      <c r="D6" s="734"/>
      <c r="E6" s="736" t="s">
        <v>144</v>
      </c>
      <c r="F6" s="736"/>
      <c r="G6" s="734" t="str">
        <f>'Aanvraag inhuur'!C14</f>
        <v>Persoon Z</v>
      </c>
      <c r="H6" s="734"/>
      <c r="I6" s="293"/>
      <c r="J6" s="388"/>
      <c r="K6" s="330"/>
      <c r="L6" s="330"/>
      <c r="M6" s="330"/>
      <c r="N6" s="330"/>
      <c r="O6" s="330"/>
      <c r="P6" s="330"/>
      <c r="Q6" s="226"/>
      <c r="R6" s="226"/>
      <c r="S6" s="226"/>
      <c r="T6" s="226"/>
      <c r="U6" s="226"/>
      <c r="V6" s="226"/>
      <c r="W6" s="226"/>
      <c r="X6" s="226"/>
      <c r="Y6" s="346" t="str">
        <f>'Aanvraag inhuur'!D5</f>
        <v>accountteam11@rvo.nl</v>
      </c>
      <c r="Z6" s="230"/>
      <c r="AA6" s="449"/>
      <c r="AB6" s="128"/>
      <c r="AC6" s="128"/>
      <c r="AD6" s="427"/>
      <c r="AE6" s="427"/>
      <c r="AF6" s="128"/>
      <c r="AG6" s="128"/>
      <c r="AH6" s="128"/>
      <c r="AI6" s="128"/>
      <c r="AJ6" s="128"/>
      <c r="AK6" s="128"/>
      <c r="AL6" s="128"/>
      <c r="AM6" s="128"/>
      <c r="AN6" s="128"/>
      <c r="AO6" s="128"/>
      <c r="AP6" s="128"/>
      <c r="AQ6" s="128"/>
      <c r="AR6" s="128"/>
      <c r="AS6" s="128"/>
      <c r="AT6" s="128"/>
      <c r="AU6" s="128"/>
      <c r="AV6" s="128"/>
    </row>
    <row r="7" spans="1:48" s="106" customFormat="1" ht="19.5" customHeight="1">
      <c r="A7" s="735" t="s">
        <v>206</v>
      </c>
      <c r="B7" s="736"/>
      <c r="C7" s="734" t="str">
        <f>'Aanvraag inhuur'!C11</f>
        <v>Afdeling X</v>
      </c>
      <c r="D7" s="734"/>
      <c r="E7" s="736" t="s">
        <v>454</v>
      </c>
      <c r="F7" s="736"/>
      <c r="G7" s="734">
        <f>'Overzicht inhuurdesk'!I12</f>
        <v>0</v>
      </c>
      <c r="H7" s="734"/>
      <c r="I7" s="329"/>
      <c r="J7" s="443"/>
      <c r="K7" s="329"/>
      <c r="L7" s="329"/>
      <c r="M7" s="329"/>
      <c r="N7" s="329"/>
      <c r="O7" s="329"/>
      <c r="P7" s="329"/>
      <c r="Q7" s="329"/>
      <c r="R7" s="329"/>
      <c r="S7" s="329"/>
      <c r="T7" s="329"/>
      <c r="U7" s="329"/>
      <c r="V7" s="329"/>
      <c r="W7" s="329"/>
      <c r="X7" s="329"/>
      <c r="Y7" s="229"/>
      <c r="Z7" s="230"/>
      <c r="AA7" s="450"/>
      <c r="AB7" s="128"/>
      <c r="AC7" s="128"/>
      <c r="AD7" s="427" t="s">
        <v>375</v>
      </c>
      <c r="AE7" s="427">
        <v>0</v>
      </c>
      <c r="AF7" s="128"/>
      <c r="AG7" s="128"/>
      <c r="AH7" s="128"/>
      <c r="AI7" s="128"/>
      <c r="AJ7" s="128"/>
      <c r="AK7" s="128"/>
      <c r="AL7" s="128"/>
      <c r="AM7" s="128"/>
      <c r="AN7" s="128"/>
      <c r="AO7" s="128"/>
      <c r="AP7" s="128"/>
      <c r="AQ7" s="128"/>
      <c r="AR7" s="128"/>
      <c r="AS7" s="128"/>
      <c r="AT7" s="128"/>
      <c r="AU7" s="128"/>
      <c r="AV7" s="128"/>
    </row>
    <row r="8" spans="1:48" ht="12.65" customHeight="1">
      <c r="A8" s="289"/>
      <c r="B8" s="49"/>
      <c r="C8" s="136"/>
      <c r="D8" s="50"/>
      <c r="E8" s="328"/>
      <c r="F8" s="328"/>
      <c r="G8" s="262"/>
      <c r="H8" s="262"/>
      <c r="I8" s="50"/>
      <c r="J8" s="363"/>
      <c r="K8" s="50"/>
      <c r="L8" s="50"/>
      <c r="M8" s="50"/>
      <c r="N8" s="50"/>
      <c r="O8" s="50"/>
      <c r="P8" s="50"/>
      <c r="Q8" s="50"/>
      <c r="R8" s="50"/>
      <c r="S8" s="50"/>
      <c r="T8" s="50"/>
      <c r="U8" s="50"/>
      <c r="V8" s="50"/>
      <c r="W8" s="50"/>
      <c r="X8" s="50"/>
      <c r="Y8" s="50"/>
      <c r="Z8" s="161"/>
      <c r="AD8" s="427" t="s">
        <v>376</v>
      </c>
      <c r="AE8" s="427">
        <v>0.2</v>
      </c>
      <c r="AG8" s="394"/>
      <c r="AH8" s="394"/>
      <c r="AI8" s="394"/>
      <c r="AJ8" s="394"/>
      <c r="AK8" s="394"/>
      <c r="AL8" s="394"/>
      <c r="AM8" s="394"/>
      <c r="AN8" s="394"/>
      <c r="AO8" s="394"/>
      <c r="AP8" s="394"/>
      <c r="AQ8" s="394"/>
      <c r="AR8" s="394"/>
      <c r="AS8" s="394"/>
      <c r="AT8" s="394"/>
      <c r="AU8" s="394"/>
      <c r="AV8" s="394"/>
    </row>
    <row r="9" spans="1:48" ht="17.25" customHeight="1">
      <c r="A9" s="678" t="s">
        <v>195</v>
      </c>
      <c r="B9" s="591"/>
      <c r="C9" s="591"/>
      <c r="D9" s="591"/>
      <c r="E9" s="591"/>
      <c r="F9" s="591"/>
      <c r="G9" s="591"/>
      <c r="H9" s="591"/>
      <c r="I9" s="591"/>
      <c r="J9" s="591"/>
      <c r="K9" s="591"/>
      <c r="L9" s="591"/>
      <c r="M9" s="591"/>
      <c r="N9" s="591"/>
      <c r="O9" s="591"/>
      <c r="P9" s="591"/>
      <c r="Q9" s="591"/>
      <c r="R9" s="591"/>
      <c r="S9" s="591"/>
      <c r="T9" s="591"/>
      <c r="U9" s="591"/>
      <c r="V9" s="591"/>
      <c r="W9" s="591"/>
      <c r="X9" s="591"/>
      <c r="Y9" s="591"/>
      <c r="Z9" s="679"/>
      <c r="AA9" s="448"/>
      <c r="AD9" s="427" t="s">
        <v>377</v>
      </c>
      <c r="AE9" s="427">
        <v>0.4</v>
      </c>
      <c r="AG9" s="394"/>
      <c r="AH9" s="394"/>
      <c r="AI9" s="394"/>
      <c r="AJ9" s="394"/>
      <c r="AK9" s="394"/>
      <c r="AL9" s="394"/>
      <c r="AM9" s="394"/>
      <c r="AN9" s="394"/>
      <c r="AO9" s="394"/>
      <c r="AP9" s="394"/>
      <c r="AQ9" s="394"/>
      <c r="AR9" s="394"/>
      <c r="AS9" s="394"/>
      <c r="AT9" s="394"/>
      <c r="AU9" s="394"/>
      <c r="AV9" s="394"/>
    </row>
    <row r="10" spans="1:48" ht="36" customHeight="1">
      <c r="A10" s="737"/>
      <c r="B10" s="739" t="s">
        <v>196</v>
      </c>
      <c r="C10" s="739"/>
      <c r="D10" s="739"/>
      <c r="E10" s="739"/>
      <c r="F10" s="739"/>
      <c r="G10" s="739"/>
      <c r="H10" s="739"/>
      <c r="I10" s="743" t="s">
        <v>234</v>
      </c>
      <c r="J10" s="744"/>
      <c r="K10" s="744"/>
      <c r="L10" s="744"/>
      <c r="M10" s="744"/>
      <c r="N10" s="744"/>
      <c r="O10" s="744"/>
      <c r="P10" s="744"/>
      <c r="Q10" s="744"/>
      <c r="R10" s="744"/>
      <c r="S10" s="744"/>
      <c r="T10" s="744"/>
      <c r="U10" s="744"/>
      <c r="V10" s="744"/>
      <c r="W10" s="331" t="s">
        <v>409</v>
      </c>
      <c r="X10" s="331" t="s">
        <v>409</v>
      </c>
      <c r="Y10" s="332"/>
      <c r="Z10" s="333"/>
      <c r="AA10" s="448"/>
      <c r="AD10" s="427" t="s">
        <v>378</v>
      </c>
      <c r="AE10" s="427">
        <v>0.6</v>
      </c>
      <c r="AG10" s="394"/>
      <c r="AH10" s="394"/>
      <c r="AI10" s="394"/>
      <c r="AJ10" s="394"/>
      <c r="AK10" s="394"/>
      <c r="AL10" s="394"/>
      <c r="AM10" s="394"/>
      <c r="AN10" s="394"/>
      <c r="AO10" s="394"/>
      <c r="AP10" s="394"/>
      <c r="AQ10" s="394"/>
      <c r="AR10" s="394"/>
      <c r="AS10" s="394"/>
      <c r="AT10" s="394"/>
      <c r="AU10" s="394"/>
      <c r="AV10" s="394"/>
    </row>
    <row r="11" spans="1:48" ht="16.5" customHeight="1">
      <c r="A11" s="738"/>
      <c r="B11" s="740"/>
      <c r="C11" s="740"/>
      <c r="D11" s="740"/>
      <c r="E11" s="740"/>
      <c r="F11" s="740"/>
      <c r="G11" s="740"/>
      <c r="H11" s="740"/>
      <c r="I11" s="334"/>
      <c r="J11" s="334">
        <f>'Aanvraag inhuur'!C80</f>
        <v>100</v>
      </c>
      <c r="K11" s="334"/>
      <c r="L11" s="334">
        <f>'Aanvraag inhuur'!C81</f>
        <v>0</v>
      </c>
      <c r="M11" s="334"/>
      <c r="N11" s="334">
        <f>'Aanvraag inhuur'!C82</f>
        <v>0</v>
      </c>
      <c r="O11" s="334"/>
      <c r="P11" s="334">
        <f>'Aanvraag inhuur'!C83</f>
        <v>0</v>
      </c>
      <c r="Q11" s="334"/>
      <c r="R11" s="334">
        <f>'Aanvraag inhuur'!C84</f>
        <v>0</v>
      </c>
      <c r="S11" s="334"/>
      <c r="T11" s="334">
        <f>'Aanvraag inhuur'!C85</f>
        <v>0</v>
      </c>
      <c r="U11" s="334"/>
      <c r="V11" s="334">
        <f>'Aanvraag inhuur'!C86</f>
        <v>0</v>
      </c>
      <c r="W11" s="335">
        <f>SUM(J11:V11)+AB$12</f>
        <v>100</v>
      </c>
      <c r="X11" s="335">
        <f>SUM(J11:V11)</f>
        <v>100</v>
      </c>
      <c r="Y11" s="336"/>
      <c r="Z11" s="333"/>
      <c r="AA11" s="451"/>
      <c r="AD11" s="427" t="s">
        <v>379</v>
      </c>
      <c r="AE11" s="427">
        <v>0.8</v>
      </c>
      <c r="AG11" s="394"/>
      <c r="AH11" s="394"/>
      <c r="AI11" s="394"/>
      <c r="AJ11" s="394"/>
      <c r="AK11" s="394"/>
      <c r="AL11" s="394"/>
      <c r="AM11" s="394"/>
      <c r="AN11" s="394"/>
      <c r="AO11" s="394"/>
      <c r="AP11" s="394"/>
      <c r="AQ11" s="394"/>
      <c r="AR11" s="394"/>
      <c r="AS11" s="394"/>
      <c r="AT11" s="394"/>
      <c r="AU11" s="394"/>
      <c r="AV11" s="394"/>
    </row>
    <row r="12" spans="1:48" ht="10.5" customHeight="1">
      <c r="A12" s="738"/>
      <c r="B12" s="740"/>
      <c r="C12" s="740"/>
      <c r="D12" s="740"/>
      <c r="E12" s="740"/>
      <c r="F12" s="740"/>
      <c r="G12" s="740"/>
      <c r="H12" s="740"/>
      <c r="I12" s="741" t="str">
        <f>'Aanvraag inhuur'!B80</f>
        <v>Kwaliteit</v>
      </c>
      <c r="J12" s="745" t="str">
        <f>IF(J11&gt;0,CONCATENATE("Punten ",I12),"")</f>
        <v>Punten Kwaliteit</v>
      </c>
      <c r="K12" s="741" t="str">
        <f>'Aanvraag inhuur'!B81</f>
        <v xml:space="preserve"> </v>
      </c>
      <c r="L12" s="745" t="str">
        <f>IF(L11&gt;0,CONCATENATE("Punten ",K12),"")</f>
        <v/>
      </c>
      <c r="M12" s="741" t="str">
        <f>'Aanvraag inhuur'!B82</f>
        <v xml:space="preserve"> </v>
      </c>
      <c r="N12" s="745" t="str">
        <f>IF(N11&gt;0,CONCATENATE("Punten ",M12),"")</f>
        <v/>
      </c>
      <c r="O12" s="741" t="str">
        <f>'Aanvraag inhuur'!B83</f>
        <v xml:space="preserve"> </v>
      </c>
      <c r="P12" s="745" t="str">
        <f>IF(P11&gt;0,CONCATENATE("Punten ",O12),"")</f>
        <v/>
      </c>
      <c r="Q12" s="741" t="str">
        <f>'Aanvraag inhuur'!B84</f>
        <v xml:space="preserve"> </v>
      </c>
      <c r="R12" s="745" t="str">
        <f>IF(R11&gt;0,CONCATENATE("Punten ",Q12),"")</f>
        <v/>
      </c>
      <c r="S12" s="741" t="str">
        <f>'Aanvraag inhuur'!B85</f>
        <v xml:space="preserve"> </v>
      </c>
      <c r="T12" s="745" t="str">
        <f>IF(T11&gt;0,CONCATENATE("Punten ",S12),"")</f>
        <v/>
      </c>
      <c r="U12" s="741" t="str">
        <f>'Aanvraag inhuur'!B86</f>
        <v xml:space="preserve"> </v>
      </c>
      <c r="V12" s="745" t="str">
        <f>IF(V11&gt;0,CONCATENATE("Punten ",U12),"")</f>
        <v/>
      </c>
      <c r="W12" s="335"/>
      <c r="X12" s="335"/>
      <c r="Y12" s="336"/>
      <c r="Z12" s="333"/>
      <c r="AA12" s="451" t="s">
        <v>383</v>
      </c>
      <c r="AB12" s="452">
        <f>'Overzicht inhuurdesk'!T6</f>
        <v>0</v>
      </c>
      <c r="AD12" s="427" t="s">
        <v>380</v>
      </c>
      <c r="AE12" s="427">
        <v>1</v>
      </c>
      <c r="AG12" s="394"/>
      <c r="AH12" s="394"/>
      <c r="AI12" s="394"/>
      <c r="AJ12" s="394"/>
      <c r="AK12" s="394"/>
      <c r="AL12" s="394"/>
      <c r="AM12" s="394"/>
      <c r="AN12" s="394"/>
      <c r="AO12" s="394"/>
      <c r="AP12" s="394"/>
      <c r="AQ12" s="394"/>
      <c r="AR12" s="394"/>
      <c r="AS12" s="394"/>
      <c r="AT12" s="394"/>
      <c r="AU12" s="394"/>
      <c r="AV12" s="394"/>
    </row>
    <row r="13" spans="1:48" s="281" customFormat="1" ht="54.75" customHeight="1">
      <c r="A13" s="305"/>
      <c r="B13" s="350" t="s">
        <v>164</v>
      </c>
      <c r="C13" s="350" t="s">
        <v>144</v>
      </c>
      <c r="D13" s="350" t="s">
        <v>165</v>
      </c>
      <c r="E13" s="280" t="s">
        <v>197</v>
      </c>
      <c r="F13" s="280" t="s">
        <v>382</v>
      </c>
      <c r="G13" s="280" t="s">
        <v>198</v>
      </c>
      <c r="H13" s="352" t="s">
        <v>199</v>
      </c>
      <c r="I13" s="742"/>
      <c r="J13" s="746"/>
      <c r="K13" s="742"/>
      <c r="L13" s="746"/>
      <c r="M13" s="742"/>
      <c r="N13" s="746"/>
      <c r="O13" s="742"/>
      <c r="P13" s="746"/>
      <c r="Q13" s="742"/>
      <c r="R13" s="746"/>
      <c r="S13" s="742"/>
      <c r="T13" s="746"/>
      <c r="U13" s="742"/>
      <c r="V13" s="746"/>
      <c r="W13" s="351" t="s">
        <v>171</v>
      </c>
      <c r="X13" s="351" t="s">
        <v>408</v>
      </c>
      <c r="Y13" s="337" t="s">
        <v>200</v>
      </c>
      <c r="Z13" s="338"/>
      <c r="AA13" s="427" t="s">
        <v>384</v>
      </c>
      <c r="AB13" s="427" t="e">
        <f>SMALL(AB14:AB101,1)</f>
        <v>#NUM!</v>
      </c>
      <c r="AC13" s="427"/>
      <c r="AD13" s="427"/>
      <c r="AE13" s="427"/>
      <c r="AF13" s="427"/>
      <c r="AG13" s="427"/>
      <c r="AH13" s="427"/>
      <c r="AI13" s="427"/>
      <c r="AJ13" s="427"/>
      <c r="AK13" s="427"/>
      <c r="AL13" s="427"/>
      <c r="AM13" s="427"/>
      <c r="AN13" s="427"/>
      <c r="AO13" s="427"/>
      <c r="AP13" s="427"/>
      <c r="AQ13" s="427"/>
      <c r="AR13" s="427"/>
      <c r="AS13" s="427"/>
      <c r="AT13" s="427"/>
      <c r="AU13" s="427"/>
      <c r="AV13" s="427"/>
    </row>
    <row r="14" spans="1:48" s="106" customFormat="1" ht="25" customHeight="1">
      <c r="A14" s="313">
        <v>1</v>
      </c>
      <c r="B14" s="206">
        <f>'Overzicht inhuurdesk'!B15</f>
        <v>0</v>
      </c>
      <c r="C14" s="206">
        <f>'Overzicht inhuurdesk'!C15</f>
        <v>0</v>
      </c>
      <c r="D14" s="207">
        <f>'Overzicht inhuurdesk'!D15</f>
        <v>0</v>
      </c>
      <c r="E14" s="208">
        <f>'Overzicht inhuurdesk'!J15</f>
        <v>0</v>
      </c>
      <c r="F14" s="445" t="str">
        <f t="shared" ref="F14" si="0">IF(AND(G14="OK",H14="Ja"),AB$13/AB14*AB$12,"")</f>
        <v/>
      </c>
      <c r="G14" s="209" t="str">
        <f>IF(B14&gt;" ",IF('Overzicht inhuurdesk'!F15="Nee","Voldoet niet aan eisen  volgens opdrachtnemer","OK")," ")</f>
        <v xml:space="preserve"> </v>
      </c>
      <c r="H14" s="180"/>
      <c r="I14" s="210"/>
      <c r="J14" s="445" t="str">
        <f>IFERROR((VLOOKUP(I14,$AD$7:$AE$12,2,FALSE)*J$11),"")</f>
        <v/>
      </c>
      <c r="K14" s="210"/>
      <c r="L14" s="446" t="str">
        <f t="shared" ref="L14:L101" si="1">IFERROR((VLOOKUP(K14,$AD$7:$AE$12,2,FALSE)*L$11),"")</f>
        <v/>
      </c>
      <c r="M14" s="210"/>
      <c r="N14" s="447" t="str">
        <f t="shared" ref="N14:N101" si="2">IFERROR((VLOOKUP(M14,$AD$7:$AE$12,2,FALSE)*N$11),"")</f>
        <v/>
      </c>
      <c r="O14" s="444"/>
      <c r="P14" s="444" t="str">
        <f t="shared" ref="P14:P101" si="3">IFERROR((VLOOKUP(O14,$AD$7:$AE$12,2,FALSE)*P$11),"")</f>
        <v/>
      </c>
      <c r="Q14" s="444"/>
      <c r="R14" s="444" t="str">
        <f t="shared" ref="R14:R101" si="4">IFERROR((VLOOKUP(Q14,$AD$7:$AE$12,2,FALSE)*R$11),"")</f>
        <v/>
      </c>
      <c r="S14" s="210"/>
      <c r="T14" s="444" t="str">
        <f t="shared" ref="T14:T101" si="5">IFERROR((VLOOKUP(S14,$AD$7:$AE$12,2,FALSE)*T$11),"")</f>
        <v/>
      </c>
      <c r="U14" s="210"/>
      <c r="V14" s="444" t="str">
        <f t="shared" ref="V14:V101" si="6">IFERROR((VLOOKUP(U14,$AD$7:$AE$12,2,FALSE)*V$11),"")</f>
        <v/>
      </c>
      <c r="W14" s="341" t="str">
        <f>IF(AND($B14&gt;"",H14="Ja"),SUM(J14,L14,N14,P14,R14,T14,V14,F14),"")</f>
        <v/>
      </c>
      <c r="X14" s="479" t="str">
        <f>IF(AND($B14&gt;"",$H14="Ja"),W14-F14,"")</f>
        <v/>
      </c>
      <c r="Y14" s="211"/>
      <c r="Z14" s="340"/>
      <c r="AA14" s="343" t="s">
        <v>201</v>
      </c>
      <c r="AB14" s="394" t="b">
        <f>IF(E14&gt;0,IF(AND(H14="Ja",G14="OK"),E14,"999"))</f>
        <v>0</v>
      </c>
      <c r="AC14" s="128"/>
      <c r="AD14" s="128"/>
      <c r="AE14" s="128"/>
      <c r="AF14" s="128"/>
      <c r="AG14" s="128"/>
      <c r="AH14" s="128"/>
      <c r="AI14" s="128"/>
      <c r="AJ14" s="128"/>
      <c r="AK14" s="128"/>
      <c r="AL14" s="128"/>
      <c r="AM14" s="128"/>
      <c r="AN14" s="128"/>
      <c r="AO14" s="128"/>
      <c r="AP14" s="128"/>
      <c r="AQ14" s="128"/>
      <c r="AR14" s="128"/>
      <c r="AS14" s="128"/>
      <c r="AT14" s="128"/>
      <c r="AU14" s="128"/>
      <c r="AV14" s="128"/>
    </row>
    <row r="15" spans="1:48" ht="25" customHeight="1">
      <c r="A15" s="313">
        <v>2</v>
      </c>
      <c r="B15" s="206">
        <f>'Overzicht inhuurdesk'!B16</f>
        <v>0</v>
      </c>
      <c r="C15" s="206">
        <f>'Overzicht inhuurdesk'!C16</f>
        <v>0</v>
      </c>
      <c r="D15" s="207">
        <f>'Overzicht inhuurdesk'!D16</f>
        <v>0</v>
      </c>
      <c r="E15" s="208">
        <f>'Overzicht inhuurdesk'!J16</f>
        <v>0</v>
      </c>
      <c r="F15" s="445" t="str">
        <f>IF(AND(G15="OK",H15="Ja"),AB$13/AB15*AB$12,"")</f>
        <v/>
      </c>
      <c r="G15" s="209" t="str">
        <f>IF(B15&gt;" ",IF('Overzicht inhuurdesk'!F16="Nee","Voldoet niet aan eisen  volgens opdrachtnemer","OK")," ")</f>
        <v xml:space="preserve"> </v>
      </c>
      <c r="H15" s="180"/>
      <c r="I15" s="210"/>
      <c r="J15" s="445" t="str">
        <f t="shared" ref="J15:J101" si="7">IFERROR((VLOOKUP(I15,$AD$7:$AE$12,2,FALSE)*J$11),"")</f>
        <v/>
      </c>
      <c r="K15" s="210"/>
      <c r="L15" s="446" t="str">
        <f t="shared" si="1"/>
        <v/>
      </c>
      <c r="M15" s="210"/>
      <c r="N15" s="447" t="str">
        <f t="shared" si="2"/>
        <v/>
      </c>
      <c r="O15" s="444"/>
      <c r="P15" s="444" t="str">
        <f t="shared" si="3"/>
        <v/>
      </c>
      <c r="Q15" s="444"/>
      <c r="R15" s="444" t="str">
        <f t="shared" si="4"/>
        <v/>
      </c>
      <c r="S15" s="210"/>
      <c r="T15" s="444" t="str">
        <f t="shared" si="5"/>
        <v/>
      </c>
      <c r="U15" s="210"/>
      <c r="V15" s="444" t="str">
        <f t="shared" si="6"/>
        <v/>
      </c>
      <c r="W15" s="341" t="str">
        <f t="shared" ref="W15:W101" si="8">IF(AND($B15&gt;"",H15="Ja"),SUM(J15,L15,N15,P15,R15,T15,V15,F15),"")</f>
        <v/>
      </c>
      <c r="X15" s="479" t="str">
        <f t="shared" ref="X15:X78" si="9">IF(AND($B15&gt;"",$H15="Ja"),W15-F15,"")</f>
        <v/>
      </c>
      <c r="Y15" s="211"/>
      <c r="Z15" s="340"/>
      <c r="AA15" s="344" t="s">
        <v>4</v>
      </c>
      <c r="AB15" s="394" t="b">
        <f t="shared" ref="AB15:AB101" si="10">IF(E15&gt;0,IF(AND(H15="Ja",G15="OK"),E15,"999"))</f>
        <v>0</v>
      </c>
      <c r="AG15" s="394"/>
      <c r="AH15" s="394"/>
      <c r="AI15" s="394"/>
      <c r="AJ15" s="394"/>
      <c r="AK15" s="394"/>
      <c r="AL15" s="394"/>
      <c r="AM15" s="394"/>
      <c r="AN15" s="394"/>
      <c r="AO15" s="394"/>
      <c r="AP15" s="394"/>
      <c r="AQ15" s="394"/>
      <c r="AR15" s="394"/>
      <c r="AS15" s="394"/>
      <c r="AT15" s="394"/>
      <c r="AU15" s="394"/>
      <c r="AV15" s="394"/>
    </row>
    <row r="16" spans="1:48" ht="25" customHeight="1">
      <c r="A16" s="313">
        <v>3</v>
      </c>
      <c r="B16" s="206">
        <f>'Overzicht inhuurdesk'!B17</f>
        <v>0</v>
      </c>
      <c r="C16" s="206">
        <f>'Overzicht inhuurdesk'!C17</f>
        <v>0</v>
      </c>
      <c r="D16" s="207">
        <f>'Overzicht inhuurdesk'!D17</f>
        <v>0</v>
      </c>
      <c r="E16" s="208">
        <f>'Overzicht inhuurdesk'!J17</f>
        <v>0</v>
      </c>
      <c r="F16" s="445" t="str">
        <f t="shared" ref="F16:F48" si="11">IF(AND(G16="OK",H16="Ja"),AB$13/AB16*AB$12,"")</f>
        <v/>
      </c>
      <c r="G16" s="209" t="str">
        <f>IF(B16&gt;" ",IF('Overzicht inhuurdesk'!F17="Nee","Voldoet niet aan eisen  volgens opdrachtnemer","OK")," ")</f>
        <v xml:space="preserve"> </v>
      </c>
      <c r="H16" s="180"/>
      <c r="I16" s="210"/>
      <c r="J16" s="445" t="str">
        <f t="shared" si="7"/>
        <v/>
      </c>
      <c r="K16" s="210"/>
      <c r="L16" s="446" t="str">
        <f t="shared" si="1"/>
        <v/>
      </c>
      <c r="M16" s="210"/>
      <c r="N16" s="447" t="str">
        <f t="shared" si="2"/>
        <v/>
      </c>
      <c r="O16" s="444"/>
      <c r="P16" s="444" t="str">
        <f t="shared" si="3"/>
        <v/>
      </c>
      <c r="Q16" s="444"/>
      <c r="R16" s="444" t="str">
        <f t="shared" si="4"/>
        <v/>
      </c>
      <c r="S16" s="210"/>
      <c r="T16" s="444" t="str">
        <f t="shared" si="5"/>
        <v/>
      </c>
      <c r="U16" s="210"/>
      <c r="V16" s="444" t="str">
        <f t="shared" si="6"/>
        <v/>
      </c>
      <c r="W16" s="341" t="str">
        <f t="shared" si="8"/>
        <v/>
      </c>
      <c r="X16" s="479" t="str">
        <f t="shared" si="9"/>
        <v/>
      </c>
      <c r="Y16" s="211"/>
      <c r="Z16" s="340"/>
      <c r="AA16" s="344" t="s">
        <v>5</v>
      </c>
      <c r="AB16" s="394" t="b">
        <f t="shared" si="10"/>
        <v>0</v>
      </c>
      <c r="AG16" s="394"/>
      <c r="AH16" s="394"/>
      <c r="AI16" s="394"/>
      <c r="AJ16" s="394"/>
      <c r="AK16" s="394"/>
      <c r="AL16" s="394"/>
      <c r="AM16" s="394"/>
      <c r="AN16" s="394"/>
      <c r="AO16" s="394"/>
      <c r="AP16" s="394"/>
      <c r="AQ16" s="394"/>
      <c r="AR16" s="394"/>
      <c r="AS16" s="394"/>
      <c r="AT16" s="394"/>
      <c r="AU16" s="394"/>
      <c r="AV16" s="394"/>
    </row>
    <row r="17" spans="1:48" ht="25" customHeight="1">
      <c r="A17" s="313">
        <v>4</v>
      </c>
      <c r="B17" s="206">
        <f>'Overzicht inhuurdesk'!B18</f>
        <v>0</v>
      </c>
      <c r="C17" s="206">
        <f>'Overzicht inhuurdesk'!C18</f>
        <v>0</v>
      </c>
      <c r="D17" s="207">
        <f>'Overzicht inhuurdesk'!D18</f>
        <v>0</v>
      </c>
      <c r="E17" s="208">
        <f>'Overzicht inhuurdesk'!J18</f>
        <v>0</v>
      </c>
      <c r="F17" s="445" t="str">
        <f t="shared" si="11"/>
        <v/>
      </c>
      <c r="G17" s="209" t="str">
        <f>IF(B17&gt;" ",IF('Overzicht inhuurdesk'!F18="Nee","Voldoet niet aan eisen  volgens opdrachtnemer","OK")," ")</f>
        <v xml:space="preserve"> </v>
      </c>
      <c r="H17" s="180"/>
      <c r="I17" s="210"/>
      <c r="J17" s="445" t="str">
        <f t="shared" si="7"/>
        <v/>
      </c>
      <c r="K17" s="210"/>
      <c r="L17" s="446" t="str">
        <f t="shared" si="1"/>
        <v/>
      </c>
      <c r="M17" s="210"/>
      <c r="N17" s="447" t="str">
        <f t="shared" si="2"/>
        <v/>
      </c>
      <c r="O17" s="444"/>
      <c r="P17" s="444" t="str">
        <f t="shared" si="3"/>
        <v/>
      </c>
      <c r="Q17" s="444"/>
      <c r="R17" s="444" t="str">
        <f t="shared" si="4"/>
        <v/>
      </c>
      <c r="S17" s="210"/>
      <c r="T17" s="444" t="str">
        <f t="shared" si="5"/>
        <v/>
      </c>
      <c r="U17" s="210"/>
      <c r="V17" s="444" t="str">
        <f t="shared" si="6"/>
        <v/>
      </c>
      <c r="W17" s="341" t="str">
        <f t="shared" si="8"/>
        <v/>
      </c>
      <c r="X17" s="479" t="str">
        <f t="shared" si="9"/>
        <v/>
      </c>
      <c r="Y17" s="211"/>
      <c r="Z17" s="340"/>
      <c r="AB17" s="394" t="b">
        <f t="shared" si="10"/>
        <v>0</v>
      </c>
      <c r="AG17" s="394"/>
      <c r="AH17" s="394"/>
      <c r="AI17" s="394"/>
      <c r="AJ17" s="394"/>
      <c r="AK17" s="394"/>
      <c r="AL17" s="394"/>
      <c r="AM17" s="394"/>
      <c r="AN17" s="394"/>
      <c r="AO17" s="394"/>
      <c r="AP17" s="394"/>
      <c r="AQ17" s="394"/>
      <c r="AR17" s="394"/>
      <c r="AS17" s="394"/>
      <c r="AT17" s="394"/>
      <c r="AU17" s="394"/>
      <c r="AV17" s="394"/>
    </row>
    <row r="18" spans="1:48" ht="25" customHeight="1">
      <c r="A18" s="313">
        <v>5</v>
      </c>
      <c r="B18" s="206">
        <f>'Overzicht inhuurdesk'!B19</f>
        <v>0</v>
      </c>
      <c r="C18" s="206">
        <f>'Overzicht inhuurdesk'!C19</f>
        <v>0</v>
      </c>
      <c r="D18" s="207">
        <f>'Overzicht inhuurdesk'!D19</f>
        <v>0</v>
      </c>
      <c r="E18" s="208">
        <f>'Overzicht inhuurdesk'!J19</f>
        <v>0</v>
      </c>
      <c r="F18" s="445" t="str">
        <f t="shared" si="11"/>
        <v/>
      </c>
      <c r="G18" s="209" t="str">
        <f>IF(B18&gt;" ",IF('Overzicht inhuurdesk'!F19="Nee","Voldoet niet aan eisen  volgens opdrachtnemer","OK")," ")</f>
        <v xml:space="preserve"> </v>
      </c>
      <c r="H18" s="180"/>
      <c r="I18" s="210"/>
      <c r="J18" s="445" t="str">
        <f t="shared" si="7"/>
        <v/>
      </c>
      <c r="K18" s="210"/>
      <c r="L18" s="446" t="str">
        <f t="shared" si="1"/>
        <v/>
      </c>
      <c r="M18" s="210"/>
      <c r="N18" s="447" t="str">
        <f t="shared" si="2"/>
        <v/>
      </c>
      <c r="O18" s="444"/>
      <c r="P18" s="444" t="str">
        <f t="shared" si="3"/>
        <v/>
      </c>
      <c r="Q18" s="444"/>
      <c r="R18" s="444" t="str">
        <f t="shared" si="4"/>
        <v/>
      </c>
      <c r="S18" s="210"/>
      <c r="T18" s="444" t="str">
        <f t="shared" si="5"/>
        <v/>
      </c>
      <c r="U18" s="210"/>
      <c r="V18" s="444" t="str">
        <f t="shared" si="6"/>
        <v/>
      </c>
      <c r="W18" s="341" t="str">
        <f t="shared" si="8"/>
        <v/>
      </c>
      <c r="X18" s="479" t="str">
        <f t="shared" si="9"/>
        <v/>
      </c>
      <c r="Y18" s="211"/>
      <c r="Z18" s="340"/>
      <c r="AB18" s="394" t="b">
        <f t="shared" si="10"/>
        <v>0</v>
      </c>
      <c r="AG18" s="394"/>
      <c r="AH18" s="394"/>
      <c r="AI18" s="394"/>
      <c r="AJ18" s="394"/>
      <c r="AK18" s="394"/>
      <c r="AL18" s="394"/>
      <c r="AM18" s="394"/>
      <c r="AN18" s="394"/>
      <c r="AO18" s="394"/>
      <c r="AP18" s="394"/>
      <c r="AQ18" s="394"/>
      <c r="AR18" s="394"/>
      <c r="AS18" s="394"/>
      <c r="AT18" s="394"/>
      <c r="AU18" s="394"/>
      <c r="AV18" s="394"/>
    </row>
    <row r="19" spans="1:48" ht="25" customHeight="1">
      <c r="A19" s="313">
        <v>6</v>
      </c>
      <c r="B19" s="206">
        <f>'Overzicht inhuurdesk'!B20</f>
        <v>0</v>
      </c>
      <c r="C19" s="206">
        <f>'Overzicht inhuurdesk'!C20</f>
        <v>0</v>
      </c>
      <c r="D19" s="207">
        <f>'Overzicht inhuurdesk'!D20</f>
        <v>0</v>
      </c>
      <c r="E19" s="208">
        <f>'Overzicht inhuurdesk'!J20</f>
        <v>0</v>
      </c>
      <c r="F19" s="445" t="str">
        <f t="shared" si="11"/>
        <v/>
      </c>
      <c r="G19" s="209" t="str">
        <f>IF(B19&gt;" ",IF('Overzicht inhuurdesk'!F20="Nee","Voldoet niet aan eisen  volgens opdrachtnemer","OK")," ")</f>
        <v xml:space="preserve"> </v>
      </c>
      <c r="H19" s="180"/>
      <c r="I19" s="210"/>
      <c r="J19" s="445" t="str">
        <f t="shared" si="7"/>
        <v/>
      </c>
      <c r="K19" s="210"/>
      <c r="L19" s="446" t="str">
        <f t="shared" si="1"/>
        <v/>
      </c>
      <c r="M19" s="210"/>
      <c r="N19" s="447" t="str">
        <f t="shared" si="2"/>
        <v/>
      </c>
      <c r="O19" s="444"/>
      <c r="P19" s="444" t="str">
        <f t="shared" si="3"/>
        <v/>
      </c>
      <c r="Q19" s="444"/>
      <c r="R19" s="444" t="str">
        <f t="shared" si="4"/>
        <v/>
      </c>
      <c r="S19" s="210"/>
      <c r="T19" s="444" t="str">
        <f t="shared" si="5"/>
        <v/>
      </c>
      <c r="U19" s="210"/>
      <c r="V19" s="444" t="str">
        <f t="shared" si="6"/>
        <v/>
      </c>
      <c r="W19" s="341" t="str">
        <f t="shared" si="8"/>
        <v/>
      </c>
      <c r="X19" s="479" t="str">
        <f t="shared" si="9"/>
        <v/>
      </c>
      <c r="Y19" s="211"/>
      <c r="Z19" s="340"/>
      <c r="AB19" s="394" t="b">
        <f t="shared" si="10"/>
        <v>0</v>
      </c>
      <c r="AG19" s="394"/>
      <c r="AH19" s="394"/>
      <c r="AI19" s="394"/>
      <c r="AJ19" s="394"/>
      <c r="AK19" s="394"/>
      <c r="AL19" s="394"/>
      <c r="AM19" s="394"/>
      <c r="AN19" s="394"/>
      <c r="AO19" s="394"/>
      <c r="AP19" s="394"/>
      <c r="AQ19" s="394"/>
      <c r="AR19" s="394"/>
      <c r="AS19" s="394"/>
      <c r="AT19" s="394"/>
      <c r="AU19" s="394"/>
      <c r="AV19" s="394"/>
    </row>
    <row r="20" spans="1:48" ht="25" customHeight="1">
      <c r="A20" s="313">
        <v>7</v>
      </c>
      <c r="B20" s="206">
        <f>'Overzicht inhuurdesk'!B21</f>
        <v>0</v>
      </c>
      <c r="C20" s="206">
        <f>'Overzicht inhuurdesk'!C21</f>
        <v>0</v>
      </c>
      <c r="D20" s="207">
        <f>'Overzicht inhuurdesk'!D21</f>
        <v>0</v>
      </c>
      <c r="E20" s="208">
        <f>'Overzicht inhuurdesk'!J21</f>
        <v>0</v>
      </c>
      <c r="F20" s="445" t="str">
        <f t="shared" si="11"/>
        <v/>
      </c>
      <c r="G20" s="209" t="str">
        <f>IF(B20&gt;" ",IF('Overzicht inhuurdesk'!F21="Nee","Voldoet niet aan eisen  volgens opdrachtnemer","OK")," ")</f>
        <v xml:space="preserve"> </v>
      </c>
      <c r="H20" s="180"/>
      <c r="I20" s="210"/>
      <c r="J20" s="445" t="str">
        <f t="shared" si="7"/>
        <v/>
      </c>
      <c r="K20" s="210"/>
      <c r="L20" s="446" t="str">
        <f t="shared" si="1"/>
        <v/>
      </c>
      <c r="M20" s="210"/>
      <c r="N20" s="447" t="str">
        <f t="shared" si="2"/>
        <v/>
      </c>
      <c r="O20" s="444"/>
      <c r="P20" s="444" t="str">
        <f t="shared" si="3"/>
        <v/>
      </c>
      <c r="Q20" s="444"/>
      <c r="R20" s="444" t="str">
        <f t="shared" si="4"/>
        <v/>
      </c>
      <c r="S20" s="210"/>
      <c r="T20" s="444" t="str">
        <f t="shared" si="5"/>
        <v/>
      </c>
      <c r="U20" s="210"/>
      <c r="V20" s="444" t="str">
        <f t="shared" si="6"/>
        <v/>
      </c>
      <c r="W20" s="341" t="str">
        <f t="shared" si="8"/>
        <v/>
      </c>
      <c r="X20" s="479" t="str">
        <f t="shared" si="9"/>
        <v/>
      </c>
      <c r="Y20" s="211"/>
      <c r="Z20" s="340"/>
      <c r="AB20" s="394" t="b">
        <f t="shared" si="10"/>
        <v>0</v>
      </c>
      <c r="AG20" s="394"/>
      <c r="AH20" s="394"/>
      <c r="AI20" s="394"/>
      <c r="AJ20" s="394"/>
      <c r="AK20" s="394"/>
      <c r="AL20" s="394"/>
      <c r="AM20" s="394"/>
      <c r="AN20" s="394"/>
      <c r="AO20" s="394"/>
      <c r="AP20" s="394"/>
      <c r="AQ20" s="394"/>
      <c r="AR20" s="394"/>
      <c r="AS20" s="394"/>
      <c r="AT20" s="394"/>
      <c r="AU20" s="394"/>
      <c r="AV20" s="394"/>
    </row>
    <row r="21" spans="1:48" ht="25" customHeight="1">
      <c r="A21" s="313">
        <v>8</v>
      </c>
      <c r="B21" s="206">
        <f>'Overzicht inhuurdesk'!B22</f>
        <v>0</v>
      </c>
      <c r="C21" s="206">
        <f>'Overzicht inhuurdesk'!C22</f>
        <v>0</v>
      </c>
      <c r="D21" s="207">
        <f>'Overzicht inhuurdesk'!D22</f>
        <v>0</v>
      </c>
      <c r="E21" s="208">
        <f>'Overzicht inhuurdesk'!J22</f>
        <v>0</v>
      </c>
      <c r="F21" s="445" t="str">
        <f t="shared" si="11"/>
        <v/>
      </c>
      <c r="G21" s="209" t="str">
        <f>IF(B21&gt;" ",IF('Overzicht inhuurdesk'!F22="Nee","Voldoet niet aan eisen  volgens opdrachtnemer","OK")," ")</f>
        <v xml:space="preserve"> </v>
      </c>
      <c r="H21" s="180"/>
      <c r="I21" s="210"/>
      <c r="J21" s="445" t="str">
        <f t="shared" si="7"/>
        <v/>
      </c>
      <c r="K21" s="210"/>
      <c r="L21" s="446" t="str">
        <f t="shared" si="1"/>
        <v/>
      </c>
      <c r="M21" s="210"/>
      <c r="N21" s="447" t="str">
        <f t="shared" si="2"/>
        <v/>
      </c>
      <c r="O21" s="444"/>
      <c r="P21" s="444" t="str">
        <f t="shared" si="3"/>
        <v/>
      </c>
      <c r="Q21" s="444"/>
      <c r="R21" s="444" t="str">
        <f t="shared" si="4"/>
        <v/>
      </c>
      <c r="S21" s="210"/>
      <c r="T21" s="444" t="str">
        <f t="shared" si="5"/>
        <v/>
      </c>
      <c r="U21" s="210"/>
      <c r="V21" s="444" t="str">
        <f t="shared" si="6"/>
        <v/>
      </c>
      <c r="W21" s="341" t="str">
        <f t="shared" si="8"/>
        <v/>
      </c>
      <c r="X21" s="479" t="str">
        <f t="shared" si="9"/>
        <v/>
      </c>
      <c r="Y21" s="211"/>
      <c r="Z21" s="340"/>
      <c r="AB21" s="394" t="b">
        <f t="shared" si="10"/>
        <v>0</v>
      </c>
      <c r="AG21" s="394"/>
      <c r="AH21" s="394"/>
      <c r="AI21" s="394"/>
      <c r="AJ21" s="394"/>
      <c r="AK21" s="394"/>
      <c r="AL21" s="394"/>
      <c r="AM21" s="394"/>
      <c r="AN21" s="394"/>
      <c r="AO21" s="394"/>
      <c r="AP21" s="394"/>
      <c r="AQ21" s="394"/>
      <c r="AR21" s="394"/>
      <c r="AS21" s="394"/>
      <c r="AT21" s="394"/>
      <c r="AU21" s="394"/>
      <c r="AV21" s="394"/>
    </row>
    <row r="22" spans="1:48" ht="25" customHeight="1">
      <c r="A22" s="313">
        <v>9</v>
      </c>
      <c r="B22" s="206">
        <f>'Overzicht inhuurdesk'!B23</f>
        <v>0</v>
      </c>
      <c r="C22" s="206">
        <f>'Overzicht inhuurdesk'!C23</f>
        <v>0</v>
      </c>
      <c r="D22" s="207">
        <f>'Overzicht inhuurdesk'!D23</f>
        <v>0</v>
      </c>
      <c r="E22" s="208">
        <f>'Overzicht inhuurdesk'!J23</f>
        <v>0</v>
      </c>
      <c r="F22" s="445" t="str">
        <f t="shared" si="11"/>
        <v/>
      </c>
      <c r="G22" s="209" t="str">
        <f>IF(B22&gt;" ",IF('Overzicht inhuurdesk'!F23="Nee","Voldoet niet aan eisen  volgens opdrachtnemer","OK")," ")</f>
        <v xml:space="preserve"> </v>
      </c>
      <c r="H22" s="180"/>
      <c r="I22" s="210"/>
      <c r="J22" s="445" t="str">
        <f t="shared" si="7"/>
        <v/>
      </c>
      <c r="K22" s="210"/>
      <c r="L22" s="446" t="str">
        <f t="shared" si="1"/>
        <v/>
      </c>
      <c r="M22" s="210"/>
      <c r="N22" s="447" t="str">
        <f t="shared" si="2"/>
        <v/>
      </c>
      <c r="O22" s="444"/>
      <c r="P22" s="444" t="str">
        <f t="shared" si="3"/>
        <v/>
      </c>
      <c r="Q22" s="444"/>
      <c r="R22" s="444" t="str">
        <f t="shared" si="4"/>
        <v/>
      </c>
      <c r="S22" s="210"/>
      <c r="T22" s="444" t="str">
        <f t="shared" si="5"/>
        <v/>
      </c>
      <c r="U22" s="210"/>
      <c r="V22" s="444" t="str">
        <f t="shared" si="6"/>
        <v/>
      </c>
      <c r="W22" s="341" t="str">
        <f t="shared" si="8"/>
        <v/>
      </c>
      <c r="X22" s="479" t="str">
        <f t="shared" si="9"/>
        <v/>
      </c>
      <c r="Y22" s="211"/>
      <c r="Z22" s="340"/>
      <c r="AB22" s="394" t="b">
        <f t="shared" si="10"/>
        <v>0</v>
      </c>
      <c r="AG22" s="394"/>
      <c r="AH22" s="394"/>
      <c r="AI22" s="394"/>
      <c r="AJ22" s="394"/>
      <c r="AK22" s="394"/>
      <c r="AL22" s="394"/>
      <c r="AM22" s="394"/>
      <c r="AN22" s="394"/>
      <c r="AO22" s="394"/>
      <c r="AP22" s="394"/>
      <c r="AQ22" s="394"/>
      <c r="AR22" s="394"/>
      <c r="AS22" s="394"/>
      <c r="AT22" s="394"/>
      <c r="AU22" s="394"/>
      <c r="AV22" s="394"/>
    </row>
    <row r="23" spans="1:48" ht="25" customHeight="1">
      <c r="A23" s="313">
        <v>10</v>
      </c>
      <c r="B23" s="206">
        <f>'Overzicht inhuurdesk'!B24</f>
        <v>0</v>
      </c>
      <c r="C23" s="206">
        <f>'Overzicht inhuurdesk'!C24</f>
        <v>0</v>
      </c>
      <c r="D23" s="207">
        <f>'Overzicht inhuurdesk'!D24</f>
        <v>0</v>
      </c>
      <c r="E23" s="208">
        <f>'Overzicht inhuurdesk'!J24</f>
        <v>0</v>
      </c>
      <c r="F23" s="445" t="str">
        <f t="shared" si="11"/>
        <v/>
      </c>
      <c r="G23" s="209" t="str">
        <f>IF(B23&gt;" ",IF('Overzicht inhuurdesk'!F24="Nee","Voldoet niet aan eisen  volgens opdrachtnemer","OK")," ")</f>
        <v xml:space="preserve"> </v>
      </c>
      <c r="H23" s="180"/>
      <c r="I23" s="210"/>
      <c r="J23" s="445" t="str">
        <f t="shared" si="7"/>
        <v/>
      </c>
      <c r="K23" s="210"/>
      <c r="L23" s="446" t="str">
        <f t="shared" si="1"/>
        <v/>
      </c>
      <c r="M23" s="210"/>
      <c r="N23" s="447" t="str">
        <f t="shared" si="2"/>
        <v/>
      </c>
      <c r="O23" s="444"/>
      <c r="P23" s="444" t="str">
        <f t="shared" si="3"/>
        <v/>
      </c>
      <c r="Q23" s="444"/>
      <c r="R23" s="444" t="str">
        <f t="shared" si="4"/>
        <v/>
      </c>
      <c r="S23" s="210"/>
      <c r="T23" s="444" t="str">
        <f t="shared" si="5"/>
        <v/>
      </c>
      <c r="U23" s="210"/>
      <c r="V23" s="444" t="str">
        <f t="shared" si="6"/>
        <v/>
      </c>
      <c r="W23" s="341" t="str">
        <f t="shared" si="8"/>
        <v/>
      </c>
      <c r="X23" s="479" t="str">
        <f t="shared" si="9"/>
        <v/>
      </c>
      <c r="Y23" s="211"/>
      <c r="Z23" s="340"/>
      <c r="AB23" s="394" t="b">
        <f t="shared" si="10"/>
        <v>0</v>
      </c>
      <c r="AG23" s="394"/>
      <c r="AH23" s="394"/>
      <c r="AI23" s="394"/>
      <c r="AJ23" s="394"/>
      <c r="AK23" s="394"/>
      <c r="AL23" s="394"/>
      <c r="AM23" s="394"/>
      <c r="AN23" s="394"/>
      <c r="AO23" s="394"/>
      <c r="AP23" s="394"/>
      <c r="AQ23" s="394"/>
      <c r="AR23" s="394"/>
      <c r="AS23" s="394"/>
      <c r="AT23" s="394"/>
      <c r="AU23" s="394"/>
      <c r="AV23" s="394"/>
    </row>
    <row r="24" spans="1:48" ht="25" customHeight="1">
      <c r="A24" s="313">
        <v>11</v>
      </c>
      <c r="B24" s="206">
        <f>'Overzicht inhuurdesk'!B25</f>
        <v>0</v>
      </c>
      <c r="C24" s="206">
        <f>'Overzicht inhuurdesk'!C25</f>
        <v>0</v>
      </c>
      <c r="D24" s="207">
        <f>'Overzicht inhuurdesk'!D25</f>
        <v>0</v>
      </c>
      <c r="E24" s="208">
        <f>'Overzicht inhuurdesk'!J25</f>
        <v>0</v>
      </c>
      <c r="F24" s="445" t="str">
        <f t="shared" si="11"/>
        <v/>
      </c>
      <c r="G24" s="209" t="str">
        <f>IF(B24&gt;" ",IF('Overzicht inhuurdesk'!F25="Nee","Voldoet niet aan eisen  volgens opdrachtnemer","OK")," ")</f>
        <v xml:space="preserve"> </v>
      </c>
      <c r="H24" s="180"/>
      <c r="I24" s="210"/>
      <c r="J24" s="445" t="str">
        <f t="shared" si="7"/>
        <v/>
      </c>
      <c r="K24" s="210"/>
      <c r="L24" s="446" t="str">
        <f t="shared" si="1"/>
        <v/>
      </c>
      <c r="M24" s="210"/>
      <c r="N24" s="447" t="str">
        <f t="shared" si="2"/>
        <v/>
      </c>
      <c r="O24" s="444"/>
      <c r="P24" s="444" t="str">
        <f t="shared" si="3"/>
        <v/>
      </c>
      <c r="Q24" s="444"/>
      <c r="R24" s="444" t="str">
        <f t="shared" si="4"/>
        <v/>
      </c>
      <c r="S24" s="210"/>
      <c r="T24" s="444" t="str">
        <f t="shared" si="5"/>
        <v/>
      </c>
      <c r="U24" s="210"/>
      <c r="V24" s="444" t="str">
        <f t="shared" si="6"/>
        <v/>
      </c>
      <c r="W24" s="341" t="str">
        <f t="shared" si="8"/>
        <v/>
      </c>
      <c r="X24" s="479" t="str">
        <f t="shared" si="9"/>
        <v/>
      </c>
      <c r="Y24" s="211"/>
      <c r="Z24" s="340"/>
      <c r="AB24" s="394" t="b">
        <f t="shared" si="10"/>
        <v>0</v>
      </c>
      <c r="AG24" s="394"/>
      <c r="AH24" s="394"/>
      <c r="AI24" s="394"/>
      <c r="AJ24" s="394"/>
      <c r="AK24" s="394"/>
      <c r="AL24" s="394"/>
      <c r="AM24" s="394"/>
      <c r="AN24" s="394"/>
      <c r="AO24" s="394"/>
      <c r="AP24" s="394"/>
      <c r="AQ24" s="394"/>
      <c r="AR24" s="394"/>
      <c r="AS24" s="394"/>
      <c r="AT24" s="394"/>
      <c r="AU24" s="394"/>
      <c r="AV24" s="394"/>
    </row>
    <row r="25" spans="1:48" ht="25" customHeight="1">
      <c r="A25" s="313">
        <v>12</v>
      </c>
      <c r="B25" s="206">
        <f>'Overzicht inhuurdesk'!B26</f>
        <v>0</v>
      </c>
      <c r="C25" s="206">
        <f>'Overzicht inhuurdesk'!C26</f>
        <v>0</v>
      </c>
      <c r="D25" s="207">
        <f>'Overzicht inhuurdesk'!D26</f>
        <v>0</v>
      </c>
      <c r="E25" s="208">
        <f>'Overzicht inhuurdesk'!J26</f>
        <v>0</v>
      </c>
      <c r="F25" s="445" t="str">
        <f t="shared" si="11"/>
        <v/>
      </c>
      <c r="G25" s="209" t="str">
        <f>IF(B25&gt;" ",IF('Overzicht inhuurdesk'!F26="Nee","Voldoet niet aan eisen  volgens opdrachtnemer","OK")," ")</f>
        <v xml:space="preserve"> </v>
      </c>
      <c r="H25" s="180"/>
      <c r="I25" s="210"/>
      <c r="J25" s="445" t="str">
        <f t="shared" si="7"/>
        <v/>
      </c>
      <c r="K25" s="210"/>
      <c r="L25" s="446" t="str">
        <f t="shared" si="1"/>
        <v/>
      </c>
      <c r="M25" s="210"/>
      <c r="N25" s="447" t="str">
        <f t="shared" si="2"/>
        <v/>
      </c>
      <c r="O25" s="444"/>
      <c r="P25" s="444" t="str">
        <f t="shared" si="3"/>
        <v/>
      </c>
      <c r="Q25" s="444"/>
      <c r="R25" s="444" t="str">
        <f t="shared" si="4"/>
        <v/>
      </c>
      <c r="S25" s="210"/>
      <c r="T25" s="444" t="str">
        <f t="shared" si="5"/>
        <v/>
      </c>
      <c r="U25" s="210"/>
      <c r="V25" s="444" t="str">
        <f t="shared" si="6"/>
        <v/>
      </c>
      <c r="W25" s="341" t="str">
        <f t="shared" si="8"/>
        <v/>
      </c>
      <c r="X25" s="479" t="str">
        <f t="shared" si="9"/>
        <v/>
      </c>
      <c r="Y25" s="211"/>
      <c r="Z25" s="340"/>
      <c r="AB25" s="394" t="b">
        <f t="shared" si="10"/>
        <v>0</v>
      </c>
      <c r="AG25" s="394"/>
      <c r="AH25" s="394"/>
      <c r="AI25" s="394"/>
      <c r="AJ25" s="394"/>
      <c r="AK25" s="394"/>
      <c r="AL25" s="394"/>
      <c r="AM25" s="394"/>
      <c r="AN25" s="394"/>
      <c r="AO25" s="394"/>
      <c r="AP25" s="394"/>
      <c r="AQ25" s="394"/>
      <c r="AR25" s="394"/>
      <c r="AS25" s="394"/>
      <c r="AT25" s="394"/>
      <c r="AU25" s="394"/>
      <c r="AV25" s="394"/>
    </row>
    <row r="26" spans="1:48" ht="25" customHeight="1">
      <c r="A26" s="313">
        <v>13</v>
      </c>
      <c r="B26" s="206">
        <f>'Overzicht inhuurdesk'!B27</f>
        <v>0</v>
      </c>
      <c r="C26" s="206">
        <f>'Overzicht inhuurdesk'!C27</f>
        <v>0</v>
      </c>
      <c r="D26" s="207">
        <f>'Overzicht inhuurdesk'!D27</f>
        <v>0</v>
      </c>
      <c r="E26" s="208">
        <f>'Overzicht inhuurdesk'!J27</f>
        <v>0</v>
      </c>
      <c r="F26" s="445" t="str">
        <f t="shared" si="11"/>
        <v/>
      </c>
      <c r="G26" s="209" t="str">
        <f>IF(B26&gt;" ",IF('Overzicht inhuurdesk'!F27="Nee","Voldoet niet aan eisen  volgens opdrachtnemer","OK")," ")</f>
        <v xml:space="preserve"> </v>
      </c>
      <c r="H26" s="180"/>
      <c r="I26" s="210"/>
      <c r="J26" s="445" t="str">
        <f t="shared" si="7"/>
        <v/>
      </c>
      <c r="K26" s="210"/>
      <c r="L26" s="446" t="str">
        <f t="shared" si="1"/>
        <v/>
      </c>
      <c r="M26" s="210"/>
      <c r="N26" s="447" t="str">
        <f t="shared" si="2"/>
        <v/>
      </c>
      <c r="O26" s="444"/>
      <c r="P26" s="444" t="str">
        <f t="shared" si="3"/>
        <v/>
      </c>
      <c r="Q26" s="444"/>
      <c r="R26" s="444" t="str">
        <f t="shared" si="4"/>
        <v/>
      </c>
      <c r="S26" s="210"/>
      <c r="T26" s="444" t="str">
        <f t="shared" si="5"/>
        <v/>
      </c>
      <c r="U26" s="210"/>
      <c r="V26" s="444" t="str">
        <f t="shared" si="6"/>
        <v/>
      </c>
      <c r="W26" s="341" t="str">
        <f t="shared" si="8"/>
        <v/>
      </c>
      <c r="X26" s="479" t="str">
        <f t="shared" si="9"/>
        <v/>
      </c>
      <c r="Y26" s="211"/>
      <c r="Z26" s="340"/>
      <c r="AB26" s="394" t="b">
        <f t="shared" si="10"/>
        <v>0</v>
      </c>
      <c r="AG26" s="394"/>
      <c r="AH26" s="394"/>
      <c r="AI26" s="394"/>
      <c r="AJ26" s="394"/>
      <c r="AK26" s="394"/>
      <c r="AL26" s="394"/>
      <c r="AM26" s="394"/>
      <c r="AN26" s="394"/>
      <c r="AO26" s="394"/>
      <c r="AP26" s="394"/>
      <c r="AQ26" s="394"/>
      <c r="AR26" s="394"/>
      <c r="AS26" s="394"/>
      <c r="AT26" s="394"/>
      <c r="AU26" s="394"/>
      <c r="AV26" s="394"/>
    </row>
    <row r="27" spans="1:48" ht="25" customHeight="1">
      <c r="A27" s="313">
        <v>14</v>
      </c>
      <c r="B27" s="206">
        <f>'Overzicht inhuurdesk'!B28</f>
        <v>0</v>
      </c>
      <c r="C27" s="206">
        <f>'Overzicht inhuurdesk'!C28</f>
        <v>0</v>
      </c>
      <c r="D27" s="207">
        <f>'Overzicht inhuurdesk'!D28</f>
        <v>0</v>
      </c>
      <c r="E27" s="208">
        <f>'Overzicht inhuurdesk'!J28</f>
        <v>0</v>
      </c>
      <c r="F27" s="445" t="str">
        <f t="shared" si="11"/>
        <v/>
      </c>
      <c r="G27" s="209" t="str">
        <f>IF(B27&gt;" ",IF('Overzicht inhuurdesk'!F28="Nee","Voldoet niet aan eisen  volgens opdrachtnemer","OK")," ")</f>
        <v xml:space="preserve"> </v>
      </c>
      <c r="H27" s="180"/>
      <c r="I27" s="210"/>
      <c r="J27" s="445" t="str">
        <f t="shared" si="7"/>
        <v/>
      </c>
      <c r="K27" s="210"/>
      <c r="L27" s="446" t="str">
        <f t="shared" si="1"/>
        <v/>
      </c>
      <c r="M27" s="210"/>
      <c r="N27" s="447" t="str">
        <f t="shared" si="2"/>
        <v/>
      </c>
      <c r="O27" s="444"/>
      <c r="P27" s="444" t="str">
        <f t="shared" si="3"/>
        <v/>
      </c>
      <c r="Q27" s="444"/>
      <c r="R27" s="444" t="str">
        <f t="shared" si="4"/>
        <v/>
      </c>
      <c r="S27" s="210"/>
      <c r="T27" s="444" t="str">
        <f t="shared" si="5"/>
        <v/>
      </c>
      <c r="U27" s="210"/>
      <c r="V27" s="444" t="str">
        <f t="shared" si="6"/>
        <v/>
      </c>
      <c r="W27" s="341" t="str">
        <f t="shared" si="8"/>
        <v/>
      </c>
      <c r="X27" s="479" t="str">
        <f t="shared" si="9"/>
        <v/>
      </c>
      <c r="Y27" s="211"/>
      <c r="Z27" s="340"/>
      <c r="AB27" s="394" t="b">
        <f t="shared" si="10"/>
        <v>0</v>
      </c>
      <c r="AG27" s="394"/>
      <c r="AH27" s="394"/>
      <c r="AI27" s="394"/>
      <c r="AJ27" s="394"/>
      <c r="AK27" s="394"/>
      <c r="AL27" s="394"/>
      <c r="AM27" s="394"/>
      <c r="AN27" s="394"/>
      <c r="AO27" s="394"/>
      <c r="AP27" s="394"/>
      <c r="AQ27" s="394"/>
      <c r="AR27" s="394"/>
      <c r="AS27" s="394"/>
      <c r="AT27" s="394"/>
      <c r="AU27" s="394"/>
      <c r="AV27" s="394"/>
    </row>
    <row r="28" spans="1:48" ht="25" customHeight="1">
      <c r="A28" s="313">
        <v>15</v>
      </c>
      <c r="B28" s="206">
        <f>'Overzicht inhuurdesk'!B29</f>
        <v>0</v>
      </c>
      <c r="C28" s="206">
        <f>'Overzicht inhuurdesk'!C29</f>
        <v>0</v>
      </c>
      <c r="D28" s="207">
        <f>'Overzicht inhuurdesk'!D29</f>
        <v>0</v>
      </c>
      <c r="E28" s="208">
        <f>'Overzicht inhuurdesk'!J29</f>
        <v>0</v>
      </c>
      <c r="F28" s="445" t="str">
        <f t="shared" si="11"/>
        <v/>
      </c>
      <c r="G28" s="209" t="str">
        <f>IF(B28&gt;" ",IF('Overzicht inhuurdesk'!F29="Nee","Voldoet niet aan eisen  volgens opdrachtnemer","OK")," ")</f>
        <v xml:space="preserve"> </v>
      </c>
      <c r="H28" s="180"/>
      <c r="I28" s="210"/>
      <c r="J28" s="445" t="str">
        <f t="shared" si="7"/>
        <v/>
      </c>
      <c r="K28" s="210"/>
      <c r="L28" s="446" t="str">
        <f t="shared" si="1"/>
        <v/>
      </c>
      <c r="M28" s="210"/>
      <c r="N28" s="447" t="str">
        <f t="shared" si="2"/>
        <v/>
      </c>
      <c r="O28" s="444"/>
      <c r="P28" s="444" t="str">
        <f t="shared" si="3"/>
        <v/>
      </c>
      <c r="Q28" s="444"/>
      <c r="R28" s="444" t="str">
        <f t="shared" si="4"/>
        <v/>
      </c>
      <c r="S28" s="210"/>
      <c r="T28" s="444" t="str">
        <f t="shared" si="5"/>
        <v/>
      </c>
      <c r="U28" s="210"/>
      <c r="V28" s="444" t="str">
        <f t="shared" si="6"/>
        <v/>
      </c>
      <c r="W28" s="341" t="str">
        <f t="shared" si="8"/>
        <v/>
      </c>
      <c r="X28" s="479" t="str">
        <f t="shared" si="9"/>
        <v/>
      </c>
      <c r="Y28" s="211"/>
      <c r="Z28" s="340"/>
      <c r="AB28" s="394" t="b">
        <f t="shared" si="10"/>
        <v>0</v>
      </c>
      <c r="AG28" s="394"/>
      <c r="AH28" s="394"/>
      <c r="AI28" s="394"/>
      <c r="AJ28" s="394"/>
      <c r="AK28" s="394"/>
      <c r="AL28" s="394"/>
      <c r="AM28" s="394"/>
      <c r="AN28" s="394"/>
      <c r="AO28" s="394"/>
      <c r="AP28" s="394"/>
      <c r="AQ28" s="394"/>
      <c r="AR28" s="394"/>
      <c r="AS28" s="394"/>
      <c r="AT28" s="394"/>
      <c r="AU28" s="394"/>
      <c r="AV28" s="394"/>
    </row>
    <row r="29" spans="1:48" ht="25" customHeight="1">
      <c r="A29" s="313">
        <v>16</v>
      </c>
      <c r="B29" s="206">
        <f>'Overzicht inhuurdesk'!B30</f>
        <v>0</v>
      </c>
      <c r="C29" s="206">
        <f>'Overzicht inhuurdesk'!C30</f>
        <v>0</v>
      </c>
      <c r="D29" s="207">
        <f>'Overzicht inhuurdesk'!D30</f>
        <v>0</v>
      </c>
      <c r="E29" s="208">
        <f>'Overzicht inhuurdesk'!J30</f>
        <v>0</v>
      </c>
      <c r="F29" s="445" t="str">
        <f t="shared" si="11"/>
        <v/>
      </c>
      <c r="G29" s="209" t="str">
        <f>IF(B29&gt;" ",IF('Overzicht inhuurdesk'!F30="Nee","Voldoet niet aan eisen  volgens opdrachtnemer","OK")," ")</f>
        <v xml:space="preserve"> </v>
      </c>
      <c r="H29" s="180"/>
      <c r="I29" s="210"/>
      <c r="J29" s="445" t="str">
        <f t="shared" si="7"/>
        <v/>
      </c>
      <c r="K29" s="210"/>
      <c r="L29" s="446" t="str">
        <f t="shared" si="1"/>
        <v/>
      </c>
      <c r="M29" s="210"/>
      <c r="N29" s="447" t="str">
        <f t="shared" si="2"/>
        <v/>
      </c>
      <c r="O29" s="444"/>
      <c r="P29" s="444" t="str">
        <f t="shared" si="3"/>
        <v/>
      </c>
      <c r="Q29" s="444"/>
      <c r="R29" s="444" t="str">
        <f t="shared" si="4"/>
        <v/>
      </c>
      <c r="S29" s="210"/>
      <c r="T29" s="444" t="str">
        <f t="shared" si="5"/>
        <v/>
      </c>
      <c r="U29" s="210"/>
      <c r="V29" s="444" t="str">
        <f t="shared" si="6"/>
        <v/>
      </c>
      <c r="W29" s="341" t="str">
        <f t="shared" si="8"/>
        <v/>
      </c>
      <c r="X29" s="479" t="str">
        <f t="shared" si="9"/>
        <v/>
      </c>
      <c r="Y29" s="211"/>
      <c r="Z29" s="340"/>
      <c r="AB29" s="394" t="b">
        <f t="shared" si="10"/>
        <v>0</v>
      </c>
      <c r="AG29" s="394"/>
      <c r="AH29" s="394"/>
      <c r="AI29" s="394"/>
      <c r="AJ29" s="394"/>
      <c r="AK29" s="394"/>
      <c r="AL29" s="394"/>
      <c r="AM29" s="394"/>
      <c r="AN29" s="394"/>
      <c r="AO29" s="394"/>
      <c r="AP29" s="394"/>
      <c r="AQ29" s="394"/>
      <c r="AR29" s="394"/>
      <c r="AS29" s="394"/>
      <c r="AT29" s="394"/>
      <c r="AU29" s="394"/>
      <c r="AV29" s="394"/>
    </row>
    <row r="30" spans="1:48" ht="25" customHeight="1">
      <c r="A30" s="313">
        <v>17</v>
      </c>
      <c r="B30" s="206">
        <f>'Overzicht inhuurdesk'!B31</f>
        <v>0</v>
      </c>
      <c r="C30" s="206">
        <f>'Overzicht inhuurdesk'!C31</f>
        <v>0</v>
      </c>
      <c r="D30" s="207">
        <f>'Overzicht inhuurdesk'!D31</f>
        <v>0</v>
      </c>
      <c r="E30" s="208">
        <f>'Overzicht inhuurdesk'!J31</f>
        <v>0</v>
      </c>
      <c r="F30" s="445" t="str">
        <f t="shared" si="11"/>
        <v/>
      </c>
      <c r="G30" s="209" t="str">
        <f>IF(B30&gt;" ",IF('Overzicht inhuurdesk'!F31="Nee","Voldoet niet aan eisen  volgens opdrachtnemer","OK")," ")</f>
        <v xml:space="preserve"> </v>
      </c>
      <c r="H30" s="180"/>
      <c r="I30" s="210"/>
      <c r="J30" s="445" t="str">
        <f t="shared" si="7"/>
        <v/>
      </c>
      <c r="K30" s="210"/>
      <c r="L30" s="446" t="str">
        <f t="shared" si="1"/>
        <v/>
      </c>
      <c r="M30" s="210"/>
      <c r="N30" s="447" t="str">
        <f t="shared" si="2"/>
        <v/>
      </c>
      <c r="O30" s="444"/>
      <c r="P30" s="444" t="str">
        <f t="shared" si="3"/>
        <v/>
      </c>
      <c r="Q30" s="444"/>
      <c r="R30" s="444" t="str">
        <f t="shared" si="4"/>
        <v/>
      </c>
      <c r="S30" s="210"/>
      <c r="T30" s="444" t="str">
        <f t="shared" si="5"/>
        <v/>
      </c>
      <c r="U30" s="210"/>
      <c r="V30" s="444" t="str">
        <f t="shared" si="6"/>
        <v/>
      </c>
      <c r="W30" s="341" t="str">
        <f t="shared" si="8"/>
        <v/>
      </c>
      <c r="X30" s="479" t="str">
        <f t="shared" si="9"/>
        <v/>
      </c>
      <c r="Y30" s="211"/>
      <c r="Z30" s="340"/>
      <c r="AB30" s="394" t="b">
        <f t="shared" si="10"/>
        <v>0</v>
      </c>
      <c r="AG30" s="394"/>
      <c r="AH30" s="394"/>
      <c r="AI30" s="394"/>
      <c r="AJ30" s="394"/>
      <c r="AK30" s="394"/>
      <c r="AL30" s="394"/>
      <c r="AM30" s="394"/>
      <c r="AN30" s="394"/>
      <c r="AO30" s="394"/>
      <c r="AP30" s="394"/>
      <c r="AQ30" s="394"/>
      <c r="AR30" s="394"/>
      <c r="AS30" s="394"/>
      <c r="AT30" s="394"/>
      <c r="AU30" s="394"/>
      <c r="AV30" s="394"/>
    </row>
    <row r="31" spans="1:48" ht="25" customHeight="1">
      <c r="A31" s="313">
        <v>18</v>
      </c>
      <c r="B31" s="206">
        <f>'Overzicht inhuurdesk'!B32</f>
        <v>0</v>
      </c>
      <c r="C31" s="206">
        <f>'Overzicht inhuurdesk'!C32</f>
        <v>0</v>
      </c>
      <c r="D31" s="207">
        <f>'Overzicht inhuurdesk'!D32</f>
        <v>0</v>
      </c>
      <c r="E31" s="208">
        <f>'Overzicht inhuurdesk'!J32</f>
        <v>0</v>
      </c>
      <c r="F31" s="445" t="str">
        <f t="shared" si="11"/>
        <v/>
      </c>
      <c r="G31" s="209" t="str">
        <f>IF(B31&gt;" ",IF('Overzicht inhuurdesk'!F32="Nee","Voldoet niet aan eisen  volgens opdrachtnemer","OK")," ")</f>
        <v xml:space="preserve"> </v>
      </c>
      <c r="H31" s="180"/>
      <c r="I31" s="210"/>
      <c r="J31" s="445" t="str">
        <f t="shared" si="7"/>
        <v/>
      </c>
      <c r="K31" s="210"/>
      <c r="L31" s="446" t="str">
        <f t="shared" si="1"/>
        <v/>
      </c>
      <c r="M31" s="210"/>
      <c r="N31" s="447" t="str">
        <f t="shared" si="2"/>
        <v/>
      </c>
      <c r="O31" s="444"/>
      <c r="P31" s="444" t="str">
        <f t="shared" si="3"/>
        <v/>
      </c>
      <c r="Q31" s="444"/>
      <c r="R31" s="444" t="str">
        <f t="shared" si="4"/>
        <v/>
      </c>
      <c r="S31" s="210"/>
      <c r="T31" s="444" t="str">
        <f t="shared" si="5"/>
        <v/>
      </c>
      <c r="U31" s="210"/>
      <c r="V31" s="444" t="str">
        <f t="shared" si="6"/>
        <v/>
      </c>
      <c r="W31" s="341" t="str">
        <f t="shared" si="8"/>
        <v/>
      </c>
      <c r="X31" s="479" t="str">
        <f t="shared" si="9"/>
        <v/>
      </c>
      <c r="Y31" s="211"/>
      <c r="Z31" s="340"/>
      <c r="AB31" s="394" t="b">
        <f t="shared" si="10"/>
        <v>0</v>
      </c>
      <c r="AG31" s="394"/>
      <c r="AH31" s="394"/>
      <c r="AI31" s="394"/>
      <c r="AJ31" s="394"/>
      <c r="AK31" s="394"/>
      <c r="AL31" s="394"/>
      <c r="AM31" s="394"/>
      <c r="AN31" s="394"/>
      <c r="AO31" s="394"/>
      <c r="AP31" s="394"/>
      <c r="AQ31" s="394"/>
      <c r="AR31" s="394"/>
      <c r="AS31" s="394"/>
      <c r="AT31" s="394"/>
      <c r="AU31" s="394"/>
      <c r="AV31" s="394"/>
    </row>
    <row r="32" spans="1:48" ht="25" customHeight="1">
      <c r="A32" s="313">
        <v>19</v>
      </c>
      <c r="B32" s="206">
        <f>'Overzicht inhuurdesk'!B33</f>
        <v>0</v>
      </c>
      <c r="C32" s="206">
        <f>'Overzicht inhuurdesk'!C33</f>
        <v>0</v>
      </c>
      <c r="D32" s="207">
        <f>'Overzicht inhuurdesk'!D33</f>
        <v>0</v>
      </c>
      <c r="E32" s="208">
        <f>'Overzicht inhuurdesk'!J33</f>
        <v>0</v>
      </c>
      <c r="F32" s="445" t="str">
        <f t="shared" si="11"/>
        <v/>
      </c>
      <c r="G32" s="209" t="str">
        <f>IF(B32&gt;" ",IF('Overzicht inhuurdesk'!F33="Nee","Voldoet niet aan eisen  volgens opdrachtnemer","OK")," ")</f>
        <v xml:space="preserve"> </v>
      </c>
      <c r="H32" s="180"/>
      <c r="I32" s="210"/>
      <c r="J32" s="445" t="str">
        <f t="shared" si="7"/>
        <v/>
      </c>
      <c r="K32" s="210"/>
      <c r="L32" s="446" t="str">
        <f t="shared" si="1"/>
        <v/>
      </c>
      <c r="M32" s="210"/>
      <c r="N32" s="447" t="str">
        <f t="shared" si="2"/>
        <v/>
      </c>
      <c r="O32" s="444"/>
      <c r="P32" s="444" t="str">
        <f t="shared" si="3"/>
        <v/>
      </c>
      <c r="Q32" s="444"/>
      <c r="R32" s="444" t="str">
        <f t="shared" si="4"/>
        <v/>
      </c>
      <c r="S32" s="210"/>
      <c r="T32" s="444" t="str">
        <f t="shared" si="5"/>
        <v/>
      </c>
      <c r="U32" s="210"/>
      <c r="V32" s="444" t="str">
        <f t="shared" si="6"/>
        <v/>
      </c>
      <c r="W32" s="341" t="str">
        <f t="shared" si="8"/>
        <v/>
      </c>
      <c r="X32" s="479" t="str">
        <f t="shared" si="9"/>
        <v/>
      </c>
      <c r="Y32" s="211"/>
      <c r="Z32" s="340"/>
      <c r="AB32" s="394" t="b">
        <f t="shared" si="10"/>
        <v>0</v>
      </c>
      <c r="AG32" s="394"/>
      <c r="AH32" s="394"/>
      <c r="AI32" s="394"/>
      <c r="AJ32" s="394"/>
      <c r="AK32" s="394"/>
      <c r="AL32" s="394"/>
      <c r="AM32" s="394"/>
      <c r="AN32" s="394"/>
      <c r="AO32" s="394"/>
      <c r="AP32" s="394"/>
      <c r="AQ32" s="394"/>
      <c r="AR32" s="394"/>
      <c r="AS32" s="394"/>
      <c r="AT32" s="394"/>
      <c r="AU32" s="394"/>
      <c r="AV32" s="394"/>
    </row>
    <row r="33" spans="1:48" ht="25" customHeight="1">
      <c r="A33" s="313">
        <v>20</v>
      </c>
      <c r="B33" s="206">
        <f>'Overzicht inhuurdesk'!B34</f>
        <v>0</v>
      </c>
      <c r="C33" s="206">
        <f>'Overzicht inhuurdesk'!C34</f>
        <v>0</v>
      </c>
      <c r="D33" s="207">
        <f>'Overzicht inhuurdesk'!D34</f>
        <v>0</v>
      </c>
      <c r="E33" s="208">
        <f>'Overzicht inhuurdesk'!J34</f>
        <v>0</v>
      </c>
      <c r="F33" s="445" t="str">
        <f t="shared" si="11"/>
        <v/>
      </c>
      <c r="G33" s="209" t="str">
        <f>IF(B33&gt;" ",IF('Overzicht inhuurdesk'!F34="Nee","Voldoet niet aan eisen  volgens opdrachtnemer","OK")," ")</f>
        <v xml:space="preserve"> </v>
      </c>
      <c r="H33" s="180"/>
      <c r="I33" s="210"/>
      <c r="J33" s="445" t="str">
        <f t="shared" si="7"/>
        <v/>
      </c>
      <c r="K33" s="210"/>
      <c r="L33" s="446" t="str">
        <f t="shared" si="1"/>
        <v/>
      </c>
      <c r="M33" s="210"/>
      <c r="N33" s="447" t="str">
        <f t="shared" si="2"/>
        <v/>
      </c>
      <c r="O33" s="444"/>
      <c r="P33" s="444" t="str">
        <f t="shared" si="3"/>
        <v/>
      </c>
      <c r="Q33" s="444"/>
      <c r="R33" s="444" t="str">
        <f t="shared" si="4"/>
        <v/>
      </c>
      <c r="S33" s="210"/>
      <c r="T33" s="444" t="str">
        <f t="shared" si="5"/>
        <v/>
      </c>
      <c r="U33" s="210"/>
      <c r="V33" s="444" t="str">
        <f t="shared" si="6"/>
        <v/>
      </c>
      <c r="W33" s="341" t="str">
        <f t="shared" si="8"/>
        <v/>
      </c>
      <c r="X33" s="479" t="str">
        <f t="shared" si="9"/>
        <v/>
      </c>
      <c r="Y33" s="211"/>
      <c r="Z33" s="340"/>
      <c r="AB33" s="394" t="b">
        <f t="shared" si="10"/>
        <v>0</v>
      </c>
      <c r="AG33" s="394"/>
      <c r="AH33" s="394"/>
      <c r="AI33" s="394"/>
      <c r="AJ33" s="394"/>
      <c r="AK33" s="394"/>
      <c r="AL33" s="394"/>
      <c r="AM33" s="394"/>
      <c r="AN33" s="394"/>
      <c r="AO33" s="394"/>
      <c r="AP33" s="394"/>
      <c r="AQ33" s="394"/>
      <c r="AR33" s="394"/>
      <c r="AS33" s="394"/>
      <c r="AT33" s="394"/>
      <c r="AU33" s="394"/>
      <c r="AV33" s="394"/>
    </row>
    <row r="34" spans="1:48" ht="25" customHeight="1">
      <c r="A34" s="313">
        <v>21</v>
      </c>
      <c r="B34" s="206">
        <f>'Overzicht inhuurdesk'!B35</f>
        <v>0</v>
      </c>
      <c r="C34" s="206">
        <f>'Overzicht inhuurdesk'!C35</f>
        <v>0</v>
      </c>
      <c r="D34" s="207">
        <f>'Overzicht inhuurdesk'!D35</f>
        <v>0</v>
      </c>
      <c r="E34" s="208">
        <f>'Overzicht inhuurdesk'!J35</f>
        <v>0</v>
      </c>
      <c r="F34" s="445" t="str">
        <f t="shared" si="11"/>
        <v/>
      </c>
      <c r="G34" s="209" t="str">
        <f>IF(B34&gt;" ",IF('Overzicht inhuurdesk'!F35="Nee","Voldoet niet aan eisen  volgens opdrachtnemer","OK")," ")</f>
        <v xml:space="preserve"> </v>
      </c>
      <c r="H34" s="180"/>
      <c r="I34" s="210"/>
      <c r="J34" s="445" t="str">
        <f t="shared" si="7"/>
        <v/>
      </c>
      <c r="K34" s="210"/>
      <c r="L34" s="446" t="str">
        <f t="shared" si="1"/>
        <v/>
      </c>
      <c r="M34" s="210"/>
      <c r="N34" s="447" t="str">
        <f t="shared" si="2"/>
        <v/>
      </c>
      <c r="O34" s="444"/>
      <c r="P34" s="444" t="str">
        <f t="shared" si="3"/>
        <v/>
      </c>
      <c r="Q34" s="444"/>
      <c r="R34" s="444" t="str">
        <f t="shared" si="4"/>
        <v/>
      </c>
      <c r="S34" s="210"/>
      <c r="T34" s="444" t="str">
        <f t="shared" si="5"/>
        <v/>
      </c>
      <c r="U34" s="210"/>
      <c r="V34" s="444" t="str">
        <f t="shared" si="6"/>
        <v/>
      </c>
      <c r="W34" s="341" t="str">
        <f t="shared" si="8"/>
        <v/>
      </c>
      <c r="X34" s="479" t="str">
        <f t="shared" si="9"/>
        <v/>
      </c>
      <c r="Y34" s="211"/>
      <c r="Z34" s="340"/>
      <c r="AB34" s="394" t="b">
        <f t="shared" si="10"/>
        <v>0</v>
      </c>
      <c r="AG34" s="394"/>
      <c r="AH34" s="394"/>
      <c r="AI34" s="394"/>
      <c r="AJ34" s="394"/>
      <c r="AK34" s="394"/>
      <c r="AL34" s="394"/>
      <c r="AM34" s="394"/>
      <c r="AN34" s="394"/>
      <c r="AO34" s="394"/>
      <c r="AP34" s="394"/>
      <c r="AQ34" s="394"/>
      <c r="AR34" s="394"/>
      <c r="AS34" s="394"/>
      <c r="AT34" s="394"/>
      <c r="AU34" s="394"/>
      <c r="AV34" s="394"/>
    </row>
    <row r="35" spans="1:48" ht="25" customHeight="1">
      <c r="A35" s="313">
        <v>22</v>
      </c>
      <c r="B35" s="206">
        <f>'Overzicht inhuurdesk'!B36</f>
        <v>0</v>
      </c>
      <c r="C35" s="206">
        <f>'Overzicht inhuurdesk'!C36</f>
        <v>0</v>
      </c>
      <c r="D35" s="207">
        <f>'Overzicht inhuurdesk'!D36</f>
        <v>0</v>
      </c>
      <c r="E35" s="208">
        <f>'Overzicht inhuurdesk'!J36</f>
        <v>0</v>
      </c>
      <c r="F35" s="445" t="str">
        <f t="shared" si="11"/>
        <v/>
      </c>
      <c r="G35" s="209" t="str">
        <f>IF(B35&gt;" ",IF('Overzicht inhuurdesk'!F36="Nee","Voldoet niet aan eisen  volgens opdrachtnemer","OK")," ")</f>
        <v xml:space="preserve"> </v>
      </c>
      <c r="H35" s="180"/>
      <c r="I35" s="210"/>
      <c r="J35" s="445" t="str">
        <f t="shared" si="7"/>
        <v/>
      </c>
      <c r="K35" s="210"/>
      <c r="L35" s="446" t="str">
        <f t="shared" si="1"/>
        <v/>
      </c>
      <c r="M35" s="210"/>
      <c r="N35" s="447" t="str">
        <f t="shared" si="2"/>
        <v/>
      </c>
      <c r="O35" s="444"/>
      <c r="P35" s="444" t="str">
        <f t="shared" si="3"/>
        <v/>
      </c>
      <c r="Q35" s="444"/>
      <c r="R35" s="444" t="str">
        <f t="shared" si="4"/>
        <v/>
      </c>
      <c r="S35" s="210"/>
      <c r="T35" s="444" t="str">
        <f t="shared" si="5"/>
        <v/>
      </c>
      <c r="U35" s="210"/>
      <c r="V35" s="444" t="str">
        <f t="shared" si="6"/>
        <v/>
      </c>
      <c r="W35" s="341" t="str">
        <f t="shared" si="8"/>
        <v/>
      </c>
      <c r="X35" s="479" t="str">
        <f t="shared" si="9"/>
        <v/>
      </c>
      <c r="Y35" s="211"/>
      <c r="Z35" s="340"/>
      <c r="AB35" s="394" t="b">
        <f t="shared" si="10"/>
        <v>0</v>
      </c>
      <c r="AG35" s="394"/>
      <c r="AH35" s="394"/>
      <c r="AI35" s="394"/>
      <c r="AJ35" s="394"/>
      <c r="AK35" s="394"/>
      <c r="AL35" s="394"/>
      <c r="AM35" s="394"/>
      <c r="AN35" s="394"/>
      <c r="AO35" s="394"/>
      <c r="AP35" s="394"/>
      <c r="AQ35" s="394"/>
      <c r="AR35" s="394"/>
      <c r="AS35" s="394"/>
      <c r="AT35" s="394"/>
      <c r="AU35" s="394"/>
      <c r="AV35" s="394"/>
    </row>
    <row r="36" spans="1:48" ht="25" customHeight="1">
      <c r="A36" s="313">
        <v>23</v>
      </c>
      <c r="B36" s="206">
        <f>'Overzicht inhuurdesk'!B37</f>
        <v>0</v>
      </c>
      <c r="C36" s="206">
        <f>'Overzicht inhuurdesk'!C37</f>
        <v>0</v>
      </c>
      <c r="D36" s="207">
        <f>'Overzicht inhuurdesk'!D37</f>
        <v>0</v>
      </c>
      <c r="E36" s="208">
        <f>'Overzicht inhuurdesk'!J37</f>
        <v>0</v>
      </c>
      <c r="F36" s="445" t="str">
        <f t="shared" si="11"/>
        <v/>
      </c>
      <c r="G36" s="209" t="str">
        <f>IF(B36&gt;" ",IF('Overzicht inhuurdesk'!F37="Nee","Voldoet niet aan eisen  volgens opdrachtnemer","OK")," ")</f>
        <v xml:space="preserve"> </v>
      </c>
      <c r="H36" s="180"/>
      <c r="I36" s="210"/>
      <c r="J36" s="445" t="str">
        <f t="shared" si="7"/>
        <v/>
      </c>
      <c r="K36" s="210"/>
      <c r="L36" s="446" t="str">
        <f t="shared" si="1"/>
        <v/>
      </c>
      <c r="M36" s="210"/>
      <c r="N36" s="447" t="str">
        <f t="shared" si="2"/>
        <v/>
      </c>
      <c r="O36" s="444"/>
      <c r="P36" s="444" t="str">
        <f t="shared" si="3"/>
        <v/>
      </c>
      <c r="Q36" s="444"/>
      <c r="R36" s="444" t="str">
        <f t="shared" si="4"/>
        <v/>
      </c>
      <c r="S36" s="210"/>
      <c r="T36" s="444" t="str">
        <f t="shared" si="5"/>
        <v/>
      </c>
      <c r="U36" s="210"/>
      <c r="V36" s="444" t="str">
        <f t="shared" si="6"/>
        <v/>
      </c>
      <c r="W36" s="341" t="str">
        <f t="shared" si="8"/>
        <v/>
      </c>
      <c r="X36" s="479" t="str">
        <f t="shared" si="9"/>
        <v/>
      </c>
      <c r="Y36" s="211"/>
      <c r="Z36" s="340"/>
      <c r="AB36" s="394" t="b">
        <f t="shared" si="10"/>
        <v>0</v>
      </c>
      <c r="AG36" s="394"/>
      <c r="AH36" s="394"/>
      <c r="AI36" s="394"/>
      <c r="AJ36" s="394"/>
      <c r="AK36" s="394"/>
      <c r="AL36" s="394"/>
      <c r="AM36" s="394"/>
      <c r="AN36" s="394"/>
      <c r="AO36" s="394"/>
      <c r="AP36" s="394"/>
      <c r="AQ36" s="394"/>
      <c r="AR36" s="394"/>
      <c r="AS36" s="394"/>
      <c r="AT36" s="394"/>
      <c r="AU36" s="394"/>
      <c r="AV36" s="394"/>
    </row>
    <row r="37" spans="1:48" ht="25" customHeight="1">
      <c r="A37" s="313">
        <v>24</v>
      </c>
      <c r="B37" s="206">
        <f>'Overzicht inhuurdesk'!B38</f>
        <v>0</v>
      </c>
      <c r="C37" s="206">
        <f>'Overzicht inhuurdesk'!C38</f>
        <v>0</v>
      </c>
      <c r="D37" s="207">
        <f>'Overzicht inhuurdesk'!D38</f>
        <v>0</v>
      </c>
      <c r="E37" s="208">
        <f>'Overzicht inhuurdesk'!J38</f>
        <v>0</v>
      </c>
      <c r="F37" s="445" t="str">
        <f t="shared" si="11"/>
        <v/>
      </c>
      <c r="G37" s="209" t="str">
        <f>IF(B37&gt;" ",IF('Overzicht inhuurdesk'!F38="Nee","Voldoet niet aan eisen  volgens opdrachtnemer","OK")," ")</f>
        <v xml:space="preserve"> </v>
      </c>
      <c r="H37" s="180"/>
      <c r="I37" s="210"/>
      <c r="J37" s="445" t="str">
        <f t="shared" si="7"/>
        <v/>
      </c>
      <c r="K37" s="210"/>
      <c r="L37" s="446" t="str">
        <f t="shared" si="1"/>
        <v/>
      </c>
      <c r="M37" s="210"/>
      <c r="N37" s="447" t="str">
        <f t="shared" si="2"/>
        <v/>
      </c>
      <c r="O37" s="444"/>
      <c r="P37" s="444" t="str">
        <f t="shared" si="3"/>
        <v/>
      </c>
      <c r="Q37" s="444"/>
      <c r="R37" s="444" t="str">
        <f t="shared" si="4"/>
        <v/>
      </c>
      <c r="S37" s="210"/>
      <c r="T37" s="444" t="str">
        <f t="shared" si="5"/>
        <v/>
      </c>
      <c r="U37" s="210"/>
      <c r="V37" s="444" t="str">
        <f t="shared" si="6"/>
        <v/>
      </c>
      <c r="W37" s="341" t="str">
        <f t="shared" si="8"/>
        <v/>
      </c>
      <c r="X37" s="479" t="str">
        <f t="shared" si="9"/>
        <v/>
      </c>
      <c r="Y37" s="211"/>
      <c r="Z37" s="340"/>
      <c r="AB37" s="394" t="b">
        <f t="shared" si="10"/>
        <v>0</v>
      </c>
      <c r="AG37" s="394"/>
      <c r="AH37" s="394"/>
      <c r="AI37" s="394"/>
      <c r="AJ37" s="394"/>
      <c r="AK37" s="394"/>
      <c r="AL37" s="394"/>
      <c r="AM37" s="394"/>
      <c r="AN37" s="394"/>
      <c r="AO37" s="394"/>
      <c r="AP37" s="394"/>
      <c r="AQ37" s="394"/>
      <c r="AR37" s="394"/>
      <c r="AS37" s="394"/>
      <c r="AT37" s="394"/>
      <c r="AU37" s="394"/>
      <c r="AV37" s="394"/>
    </row>
    <row r="38" spans="1:48" ht="25" customHeight="1">
      <c r="A38" s="313">
        <v>25</v>
      </c>
      <c r="B38" s="206">
        <f>'Overzicht inhuurdesk'!B39</f>
        <v>0</v>
      </c>
      <c r="C38" s="206">
        <f>'Overzicht inhuurdesk'!C39</f>
        <v>0</v>
      </c>
      <c r="D38" s="207">
        <f>'Overzicht inhuurdesk'!D39</f>
        <v>0</v>
      </c>
      <c r="E38" s="208">
        <f>'Overzicht inhuurdesk'!J39</f>
        <v>0</v>
      </c>
      <c r="F38" s="445" t="str">
        <f t="shared" si="11"/>
        <v/>
      </c>
      <c r="G38" s="209" t="str">
        <f>IF(B38&gt;" ",IF('Overzicht inhuurdesk'!F39="Nee","Voldoet niet aan eisen  volgens opdrachtnemer","OK")," ")</f>
        <v xml:space="preserve"> </v>
      </c>
      <c r="H38" s="180"/>
      <c r="I38" s="210"/>
      <c r="J38" s="445" t="str">
        <f t="shared" si="7"/>
        <v/>
      </c>
      <c r="K38" s="210"/>
      <c r="L38" s="446" t="str">
        <f t="shared" si="1"/>
        <v/>
      </c>
      <c r="M38" s="210"/>
      <c r="N38" s="447" t="str">
        <f t="shared" si="2"/>
        <v/>
      </c>
      <c r="O38" s="444"/>
      <c r="P38" s="444" t="str">
        <f t="shared" si="3"/>
        <v/>
      </c>
      <c r="Q38" s="444"/>
      <c r="R38" s="444" t="str">
        <f t="shared" si="4"/>
        <v/>
      </c>
      <c r="S38" s="210"/>
      <c r="T38" s="444" t="str">
        <f t="shared" si="5"/>
        <v/>
      </c>
      <c r="U38" s="210"/>
      <c r="V38" s="444" t="str">
        <f t="shared" si="6"/>
        <v/>
      </c>
      <c r="W38" s="341" t="str">
        <f t="shared" si="8"/>
        <v/>
      </c>
      <c r="X38" s="479" t="str">
        <f t="shared" si="9"/>
        <v/>
      </c>
      <c r="Y38" s="211"/>
      <c r="Z38" s="340"/>
      <c r="AB38" s="394" t="b">
        <f t="shared" si="10"/>
        <v>0</v>
      </c>
      <c r="AG38" s="394"/>
      <c r="AH38" s="394"/>
      <c r="AI38" s="394"/>
      <c r="AJ38" s="394"/>
      <c r="AK38" s="394"/>
      <c r="AL38" s="394"/>
      <c r="AM38" s="394"/>
      <c r="AN38" s="394"/>
      <c r="AO38" s="394"/>
      <c r="AP38" s="394"/>
      <c r="AQ38" s="394"/>
      <c r="AR38" s="394"/>
      <c r="AS38" s="394"/>
      <c r="AT38" s="394"/>
      <c r="AU38" s="394"/>
      <c r="AV38" s="394"/>
    </row>
    <row r="39" spans="1:48" ht="25" customHeight="1">
      <c r="A39" s="313">
        <v>26</v>
      </c>
      <c r="B39" s="206">
        <f>'Overzicht inhuurdesk'!B40</f>
        <v>0</v>
      </c>
      <c r="C39" s="206">
        <f>'Overzicht inhuurdesk'!C40</f>
        <v>0</v>
      </c>
      <c r="D39" s="207">
        <f>'Overzicht inhuurdesk'!D40</f>
        <v>0</v>
      </c>
      <c r="E39" s="208">
        <f>'Overzicht inhuurdesk'!J40</f>
        <v>0</v>
      </c>
      <c r="F39" s="445" t="str">
        <f t="shared" si="11"/>
        <v/>
      </c>
      <c r="G39" s="209" t="str">
        <f>IF(B39&gt;" ",IF('Overzicht inhuurdesk'!F40="Nee","Voldoet niet aan eisen  volgens opdrachtnemer","OK")," ")</f>
        <v xml:space="preserve"> </v>
      </c>
      <c r="H39" s="180"/>
      <c r="I39" s="210"/>
      <c r="J39" s="445" t="str">
        <f t="shared" si="7"/>
        <v/>
      </c>
      <c r="K39" s="210"/>
      <c r="L39" s="446" t="str">
        <f t="shared" si="1"/>
        <v/>
      </c>
      <c r="M39" s="210"/>
      <c r="N39" s="447" t="str">
        <f t="shared" si="2"/>
        <v/>
      </c>
      <c r="O39" s="444"/>
      <c r="P39" s="444" t="str">
        <f t="shared" si="3"/>
        <v/>
      </c>
      <c r="Q39" s="444"/>
      <c r="R39" s="444" t="str">
        <f t="shared" si="4"/>
        <v/>
      </c>
      <c r="S39" s="210"/>
      <c r="T39" s="444" t="str">
        <f t="shared" si="5"/>
        <v/>
      </c>
      <c r="U39" s="210"/>
      <c r="V39" s="444" t="str">
        <f t="shared" si="6"/>
        <v/>
      </c>
      <c r="W39" s="341" t="str">
        <f t="shared" si="8"/>
        <v/>
      </c>
      <c r="X39" s="479" t="str">
        <f t="shared" si="9"/>
        <v/>
      </c>
      <c r="Y39" s="211"/>
      <c r="Z39" s="340"/>
      <c r="AB39" s="394" t="b">
        <f t="shared" si="10"/>
        <v>0</v>
      </c>
      <c r="AG39" s="394"/>
      <c r="AH39" s="394"/>
      <c r="AI39" s="394"/>
      <c r="AJ39" s="394"/>
      <c r="AK39" s="394"/>
      <c r="AL39" s="394"/>
      <c r="AM39" s="394"/>
      <c r="AN39" s="394"/>
      <c r="AO39" s="394"/>
      <c r="AP39" s="394"/>
      <c r="AQ39" s="394"/>
      <c r="AR39" s="394"/>
      <c r="AS39" s="394"/>
      <c r="AT39" s="394"/>
      <c r="AU39" s="394"/>
      <c r="AV39" s="394"/>
    </row>
    <row r="40" spans="1:48" ht="25" customHeight="1">
      <c r="A40" s="313">
        <v>27</v>
      </c>
      <c r="B40" s="206">
        <f>'Overzicht inhuurdesk'!B41</f>
        <v>0</v>
      </c>
      <c r="C40" s="206">
        <f>'Overzicht inhuurdesk'!C41</f>
        <v>0</v>
      </c>
      <c r="D40" s="207">
        <f>'Overzicht inhuurdesk'!D41</f>
        <v>0</v>
      </c>
      <c r="E40" s="208">
        <f>'Overzicht inhuurdesk'!J41</f>
        <v>0</v>
      </c>
      <c r="F40" s="445" t="str">
        <f t="shared" si="11"/>
        <v/>
      </c>
      <c r="G40" s="209" t="str">
        <f>IF(B40&gt;" ",IF('Overzicht inhuurdesk'!F41="Nee","Voldoet niet aan eisen  volgens opdrachtnemer","OK")," ")</f>
        <v xml:space="preserve"> </v>
      </c>
      <c r="H40" s="180"/>
      <c r="I40" s="210"/>
      <c r="J40" s="445" t="str">
        <f t="shared" si="7"/>
        <v/>
      </c>
      <c r="K40" s="210"/>
      <c r="L40" s="446" t="str">
        <f t="shared" si="1"/>
        <v/>
      </c>
      <c r="M40" s="210"/>
      <c r="N40" s="447" t="str">
        <f t="shared" si="2"/>
        <v/>
      </c>
      <c r="O40" s="444"/>
      <c r="P40" s="444" t="str">
        <f t="shared" si="3"/>
        <v/>
      </c>
      <c r="Q40" s="444"/>
      <c r="R40" s="444" t="str">
        <f t="shared" si="4"/>
        <v/>
      </c>
      <c r="S40" s="210"/>
      <c r="T40" s="444" t="str">
        <f t="shared" si="5"/>
        <v/>
      </c>
      <c r="U40" s="210"/>
      <c r="V40" s="444" t="str">
        <f t="shared" si="6"/>
        <v/>
      </c>
      <c r="W40" s="341" t="str">
        <f t="shared" si="8"/>
        <v/>
      </c>
      <c r="X40" s="479" t="str">
        <f t="shared" si="9"/>
        <v/>
      </c>
      <c r="Y40" s="211"/>
      <c r="Z40" s="340"/>
      <c r="AB40" s="394" t="b">
        <f t="shared" si="10"/>
        <v>0</v>
      </c>
      <c r="AG40" s="394"/>
      <c r="AH40" s="394"/>
      <c r="AI40" s="394"/>
      <c r="AJ40" s="394"/>
      <c r="AK40" s="394"/>
      <c r="AL40" s="394"/>
      <c r="AM40" s="394"/>
      <c r="AN40" s="394"/>
      <c r="AO40" s="394"/>
      <c r="AP40" s="394"/>
      <c r="AQ40" s="394"/>
      <c r="AR40" s="394"/>
      <c r="AS40" s="394"/>
      <c r="AT40" s="394"/>
      <c r="AU40" s="394"/>
      <c r="AV40" s="394"/>
    </row>
    <row r="41" spans="1:48" ht="25" customHeight="1">
      <c r="A41" s="313">
        <v>28</v>
      </c>
      <c r="B41" s="206">
        <f>'Overzicht inhuurdesk'!B42</f>
        <v>0</v>
      </c>
      <c r="C41" s="206">
        <f>'Overzicht inhuurdesk'!C42</f>
        <v>0</v>
      </c>
      <c r="D41" s="207">
        <f>'Overzicht inhuurdesk'!D42</f>
        <v>0</v>
      </c>
      <c r="E41" s="208">
        <f>'Overzicht inhuurdesk'!J42</f>
        <v>0</v>
      </c>
      <c r="F41" s="445" t="str">
        <f t="shared" si="11"/>
        <v/>
      </c>
      <c r="G41" s="209" t="str">
        <f>IF(B41&gt;" ",IF('Overzicht inhuurdesk'!F42="Nee","Voldoet niet aan eisen  volgens opdrachtnemer","OK")," ")</f>
        <v xml:space="preserve"> </v>
      </c>
      <c r="H41" s="180"/>
      <c r="I41" s="210"/>
      <c r="J41" s="445" t="str">
        <f t="shared" si="7"/>
        <v/>
      </c>
      <c r="K41" s="210"/>
      <c r="L41" s="446" t="str">
        <f t="shared" si="1"/>
        <v/>
      </c>
      <c r="M41" s="210"/>
      <c r="N41" s="447" t="str">
        <f t="shared" si="2"/>
        <v/>
      </c>
      <c r="O41" s="444"/>
      <c r="P41" s="444" t="str">
        <f t="shared" si="3"/>
        <v/>
      </c>
      <c r="Q41" s="444"/>
      <c r="R41" s="444" t="str">
        <f t="shared" si="4"/>
        <v/>
      </c>
      <c r="S41" s="210"/>
      <c r="T41" s="444" t="str">
        <f t="shared" si="5"/>
        <v/>
      </c>
      <c r="U41" s="210"/>
      <c r="V41" s="444" t="str">
        <f t="shared" si="6"/>
        <v/>
      </c>
      <c r="W41" s="341" t="str">
        <f t="shared" si="8"/>
        <v/>
      </c>
      <c r="X41" s="479" t="str">
        <f t="shared" si="9"/>
        <v/>
      </c>
      <c r="Y41" s="211"/>
      <c r="Z41" s="340"/>
      <c r="AB41" s="394" t="b">
        <f t="shared" si="10"/>
        <v>0</v>
      </c>
      <c r="AG41" s="394"/>
      <c r="AH41" s="394"/>
      <c r="AI41" s="394"/>
      <c r="AJ41" s="394"/>
      <c r="AK41" s="394"/>
      <c r="AL41" s="394"/>
      <c r="AM41" s="394"/>
      <c r="AN41" s="394"/>
      <c r="AO41" s="394"/>
      <c r="AP41" s="394"/>
      <c r="AQ41" s="394"/>
      <c r="AR41" s="394"/>
      <c r="AS41" s="394"/>
      <c r="AT41" s="394"/>
      <c r="AU41" s="394"/>
      <c r="AV41" s="394"/>
    </row>
    <row r="42" spans="1:48" ht="25" customHeight="1">
      <c r="A42" s="313">
        <v>29</v>
      </c>
      <c r="B42" s="206">
        <f>'Overzicht inhuurdesk'!B43</f>
        <v>0</v>
      </c>
      <c r="C42" s="206">
        <f>'Overzicht inhuurdesk'!C43</f>
        <v>0</v>
      </c>
      <c r="D42" s="207">
        <f>'Overzicht inhuurdesk'!D43</f>
        <v>0</v>
      </c>
      <c r="E42" s="208">
        <f>'Overzicht inhuurdesk'!J43</f>
        <v>0</v>
      </c>
      <c r="F42" s="445" t="str">
        <f t="shared" si="11"/>
        <v/>
      </c>
      <c r="G42" s="209" t="str">
        <f>IF(B42&gt;" ",IF('Overzicht inhuurdesk'!F43="Nee","Voldoet niet aan eisen  volgens opdrachtnemer","OK")," ")</f>
        <v xml:space="preserve"> </v>
      </c>
      <c r="H42" s="180"/>
      <c r="I42" s="210"/>
      <c r="J42" s="445" t="str">
        <f t="shared" si="7"/>
        <v/>
      </c>
      <c r="K42" s="210"/>
      <c r="L42" s="446" t="str">
        <f t="shared" si="1"/>
        <v/>
      </c>
      <c r="M42" s="210"/>
      <c r="N42" s="447" t="str">
        <f t="shared" si="2"/>
        <v/>
      </c>
      <c r="O42" s="444"/>
      <c r="P42" s="444" t="str">
        <f t="shared" si="3"/>
        <v/>
      </c>
      <c r="Q42" s="444"/>
      <c r="R42" s="444" t="str">
        <f t="shared" si="4"/>
        <v/>
      </c>
      <c r="S42" s="210"/>
      <c r="T42" s="444" t="str">
        <f t="shared" si="5"/>
        <v/>
      </c>
      <c r="U42" s="210"/>
      <c r="V42" s="444" t="str">
        <f t="shared" si="6"/>
        <v/>
      </c>
      <c r="W42" s="341" t="str">
        <f t="shared" si="8"/>
        <v/>
      </c>
      <c r="X42" s="479" t="str">
        <f t="shared" si="9"/>
        <v/>
      </c>
      <c r="Y42" s="211"/>
      <c r="Z42" s="340"/>
      <c r="AB42" s="394" t="b">
        <f t="shared" si="10"/>
        <v>0</v>
      </c>
      <c r="AG42" s="394"/>
      <c r="AH42" s="394"/>
      <c r="AI42" s="394"/>
      <c r="AJ42" s="394"/>
      <c r="AK42" s="394"/>
      <c r="AL42" s="394"/>
      <c r="AM42" s="394"/>
      <c r="AN42" s="394"/>
      <c r="AO42" s="394"/>
      <c r="AP42" s="394"/>
      <c r="AQ42" s="394"/>
      <c r="AR42" s="394"/>
      <c r="AS42" s="394"/>
      <c r="AT42" s="394"/>
      <c r="AU42" s="394"/>
      <c r="AV42" s="394"/>
    </row>
    <row r="43" spans="1:48" ht="25" customHeight="1">
      <c r="A43" s="313">
        <v>30</v>
      </c>
      <c r="B43" s="206">
        <f>'Overzicht inhuurdesk'!B44</f>
        <v>0</v>
      </c>
      <c r="C43" s="206">
        <f>'Overzicht inhuurdesk'!C44</f>
        <v>0</v>
      </c>
      <c r="D43" s="207">
        <f>'Overzicht inhuurdesk'!D44</f>
        <v>0</v>
      </c>
      <c r="E43" s="208">
        <f>'Overzicht inhuurdesk'!J44</f>
        <v>0</v>
      </c>
      <c r="F43" s="445" t="str">
        <f t="shared" si="11"/>
        <v/>
      </c>
      <c r="G43" s="209" t="str">
        <f>IF(B43&gt;" ",IF('Overzicht inhuurdesk'!F44="Nee","Voldoet niet aan eisen  volgens opdrachtnemer","OK")," ")</f>
        <v xml:space="preserve"> </v>
      </c>
      <c r="H43" s="180"/>
      <c r="I43" s="210"/>
      <c r="J43" s="445" t="str">
        <f t="shared" si="7"/>
        <v/>
      </c>
      <c r="K43" s="210"/>
      <c r="L43" s="446" t="str">
        <f t="shared" si="1"/>
        <v/>
      </c>
      <c r="M43" s="210"/>
      <c r="N43" s="447" t="str">
        <f t="shared" si="2"/>
        <v/>
      </c>
      <c r="O43" s="444"/>
      <c r="P43" s="444" t="str">
        <f t="shared" si="3"/>
        <v/>
      </c>
      <c r="Q43" s="444"/>
      <c r="R43" s="444" t="str">
        <f t="shared" si="4"/>
        <v/>
      </c>
      <c r="S43" s="210"/>
      <c r="T43" s="444" t="str">
        <f t="shared" si="5"/>
        <v/>
      </c>
      <c r="U43" s="210"/>
      <c r="V43" s="444" t="str">
        <f t="shared" si="6"/>
        <v/>
      </c>
      <c r="W43" s="341" t="str">
        <f t="shared" si="8"/>
        <v/>
      </c>
      <c r="X43" s="479" t="str">
        <f t="shared" si="9"/>
        <v/>
      </c>
      <c r="Y43" s="211"/>
      <c r="Z43" s="340"/>
      <c r="AB43" s="394" t="b">
        <f t="shared" si="10"/>
        <v>0</v>
      </c>
      <c r="AG43" s="394"/>
      <c r="AH43" s="394"/>
      <c r="AI43" s="394"/>
      <c r="AJ43" s="394"/>
      <c r="AK43" s="394"/>
      <c r="AL43" s="394"/>
      <c r="AM43" s="394"/>
      <c r="AN43" s="394"/>
      <c r="AO43" s="394"/>
      <c r="AP43" s="394"/>
      <c r="AQ43" s="394"/>
      <c r="AR43" s="394"/>
      <c r="AS43" s="394"/>
      <c r="AT43" s="394"/>
      <c r="AU43" s="394"/>
      <c r="AV43" s="394"/>
    </row>
    <row r="44" spans="1:48" ht="25" customHeight="1">
      <c r="A44" s="313">
        <v>31</v>
      </c>
      <c r="B44" s="206">
        <f>'Overzicht inhuurdesk'!B45</f>
        <v>0</v>
      </c>
      <c r="C44" s="206">
        <f>'Overzicht inhuurdesk'!C45</f>
        <v>0</v>
      </c>
      <c r="D44" s="207">
        <f>'Overzicht inhuurdesk'!D45</f>
        <v>0</v>
      </c>
      <c r="E44" s="208">
        <f>'Overzicht inhuurdesk'!J45</f>
        <v>0</v>
      </c>
      <c r="F44" s="445" t="str">
        <f t="shared" si="11"/>
        <v/>
      </c>
      <c r="G44" s="209" t="str">
        <f>IF(B44&gt;" ",IF('Overzicht inhuurdesk'!F45="Nee","Voldoet niet aan eisen  volgens opdrachtnemer","OK")," ")</f>
        <v xml:space="preserve"> </v>
      </c>
      <c r="H44" s="180"/>
      <c r="I44" s="210"/>
      <c r="J44" s="445" t="str">
        <f t="shared" si="7"/>
        <v/>
      </c>
      <c r="K44" s="210"/>
      <c r="L44" s="446" t="str">
        <f t="shared" si="1"/>
        <v/>
      </c>
      <c r="M44" s="210"/>
      <c r="N44" s="447" t="str">
        <f t="shared" si="2"/>
        <v/>
      </c>
      <c r="O44" s="444"/>
      <c r="P44" s="444" t="str">
        <f t="shared" si="3"/>
        <v/>
      </c>
      <c r="Q44" s="444"/>
      <c r="R44" s="444" t="str">
        <f t="shared" si="4"/>
        <v/>
      </c>
      <c r="S44" s="210"/>
      <c r="T44" s="444" t="str">
        <f t="shared" si="5"/>
        <v/>
      </c>
      <c r="U44" s="210"/>
      <c r="V44" s="444" t="str">
        <f t="shared" si="6"/>
        <v/>
      </c>
      <c r="W44" s="341" t="str">
        <f t="shared" si="8"/>
        <v/>
      </c>
      <c r="X44" s="479" t="str">
        <f t="shared" si="9"/>
        <v/>
      </c>
      <c r="Y44" s="211"/>
      <c r="Z44" s="340"/>
      <c r="AB44" s="394" t="b">
        <f t="shared" si="10"/>
        <v>0</v>
      </c>
      <c r="AG44" s="394"/>
      <c r="AH44" s="394"/>
      <c r="AI44" s="394"/>
      <c r="AJ44" s="394"/>
      <c r="AK44" s="394"/>
      <c r="AL44" s="394"/>
      <c r="AM44" s="394"/>
      <c r="AN44" s="394"/>
      <c r="AO44" s="394"/>
      <c r="AP44" s="394"/>
      <c r="AQ44" s="394"/>
      <c r="AR44" s="394"/>
      <c r="AS44" s="394"/>
      <c r="AT44" s="394"/>
      <c r="AU44" s="394"/>
      <c r="AV44" s="394"/>
    </row>
    <row r="45" spans="1:48" ht="25" customHeight="1">
      <c r="A45" s="313">
        <v>32</v>
      </c>
      <c r="B45" s="206">
        <f>'Overzicht inhuurdesk'!B46</f>
        <v>0</v>
      </c>
      <c r="C45" s="206">
        <f>'Overzicht inhuurdesk'!C46</f>
        <v>0</v>
      </c>
      <c r="D45" s="207">
        <f>'Overzicht inhuurdesk'!D46</f>
        <v>0</v>
      </c>
      <c r="E45" s="208">
        <f>'Overzicht inhuurdesk'!J46</f>
        <v>0</v>
      </c>
      <c r="F45" s="445" t="str">
        <f t="shared" si="11"/>
        <v/>
      </c>
      <c r="G45" s="209" t="str">
        <f>IF(B45&gt;" ",IF('Overzicht inhuurdesk'!F46="Nee","Voldoet niet aan eisen  volgens opdrachtnemer","OK")," ")</f>
        <v xml:space="preserve"> </v>
      </c>
      <c r="H45" s="180"/>
      <c r="I45" s="210"/>
      <c r="J45" s="445" t="str">
        <f t="shared" si="7"/>
        <v/>
      </c>
      <c r="K45" s="210"/>
      <c r="L45" s="446" t="str">
        <f t="shared" si="1"/>
        <v/>
      </c>
      <c r="M45" s="210"/>
      <c r="N45" s="447" t="str">
        <f t="shared" si="2"/>
        <v/>
      </c>
      <c r="O45" s="444"/>
      <c r="P45" s="444" t="str">
        <f t="shared" si="3"/>
        <v/>
      </c>
      <c r="Q45" s="444"/>
      <c r="R45" s="444" t="str">
        <f t="shared" si="4"/>
        <v/>
      </c>
      <c r="S45" s="210"/>
      <c r="T45" s="444" t="str">
        <f t="shared" si="5"/>
        <v/>
      </c>
      <c r="U45" s="210"/>
      <c r="V45" s="444" t="str">
        <f t="shared" si="6"/>
        <v/>
      </c>
      <c r="W45" s="341" t="str">
        <f t="shared" si="8"/>
        <v/>
      </c>
      <c r="X45" s="479" t="str">
        <f t="shared" si="9"/>
        <v/>
      </c>
      <c r="Y45" s="211"/>
      <c r="Z45" s="340"/>
      <c r="AB45" s="394" t="b">
        <f t="shared" si="10"/>
        <v>0</v>
      </c>
      <c r="AG45" s="394"/>
      <c r="AH45" s="394"/>
      <c r="AI45" s="394"/>
      <c r="AJ45" s="394"/>
      <c r="AK45" s="394"/>
      <c r="AL45" s="394"/>
      <c r="AM45" s="394"/>
      <c r="AN45" s="394"/>
      <c r="AO45" s="394"/>
      <c r="AP45" s="394"/>
      <c r="AQ45" s="394"/>
      <c r="AR45" s="394"/>
      <c r="AS45" s="394"/>
      <c r="AT45" s="394"/>
      <c r="AU45" s="394"/>
      <c r="AV45" s="394"/>
    </row>
    <row r="46" spans="1:48" ht="25" customHeight="1">
      <c r="A46" s="313">
        <v>33</v>
      </c>
      <c r="B46" s="206">
        <f>'Overzicht inhuurdesk'!B47</f>
        <v>0</v>
      </c>
      <c r="C46" s="206">
        <f>'Overzicht inhuurdesk'!C47</f>
        <v>0</v>
      </c>
      <c r="D46" s="207">
        <f>'Overzicht inhuurdesk'!D47</f>
        <v>0</v>
      </c>
      <c r="E46" s="208">
        <f>'Overzicht inhuurdesk'!J47</f>
        <v>0</v>
      </c>
      <c r="F46" s="445" t="str">
        <f t="shared" si="11"/>
        <v/>
      </c>
      <c r="G46" s="209" t="str">
        <f>IF(B46&gt;" ",IF('Overzicht inhuurdesk'!F47="Nee","Voldoet niet aan eisen  volgens opdrachtnemer","OK")," ")</f>
        <v xml:space="preserve"> </v>
      </c>
      <c r="H46" s="180"/>
      <c r="I46" s="210"/>
      <c r="J46" s="445" t="str">
        <f t="shared" si="7"/>
        <v/>
      </c>
      <c r="K46" s="210"/>
      <c r="L46" s="446" t="str">
        <f t="shared" si="1"/>
        <v/>
      </c>
      <c r="M46" s="210"/>
      <c r="N46" s="447" t="str">
        <f t="shared" si="2"/>
        <v/>
      </c>
      <c r="O46" s="444"/>
      <c r="P46" s="444" t="str">
        <f t="shared" si="3"/>
        <v/>
      </c>
      <c r="Q46" s="444"/>
      <c r="R46" s="444" t="str">
        <f t="shared" si="4"/>
        <v/>
      </c>
      <c r="S46" s="210"/>
      <c r="T46" s="444" t="str">
        <f t="shared" si="5"/>
        <v/>
      </c>
      <c r="U46" s="210"/>
      <c r="V46" s="444" t="str">
        <f t="shared" si="6"/>
        <v/>
      </c>
      <c r="W46" s="341" t="str">
        <f t="shared" si="8"/>
        <v/>
      </c>
      <c r="X46" s="479" t="str">
        <f t="shared" si="9"/>
        <v/>
      </c>
      <c r="Y46" s="211"/>
      <c r="Z46" s="340"/>
      <c r="AB46" s="394" t="b">
        <f t="shared" si="10"/>
        <v>0</v>
      </c>
      <c r="AG46" s="394"/>
      <c r="AH46" s="394"/>
      <c r="AI46" s="394"/>
      <c r="AJ46" s="394"/>
      <c r="AK46" s="394"/>
      <c r="AL46" s="394"/>
      <c r="AM46" s="394"/>
      <c r="AN46" s="394"/>
      <c r="AO46" s="394"/>
      <c r="AP46" s="394"/>
      <c r="AQ46" s="394"/>
      <c r="AR46" s="394"/>
      <c r="AS46" s="394"/>
      <c r="AT46" s="394"/>
      <c r="AU46" s="394"/>
      <c r="AV46" s="394"/>
    </row>
    <row r="47" spans="1:48" ht="25" customHeight="1">
      <c r="A47" s="313">
        <v>34</v>
      </c>
      <c r="B47" s="206">
        <f>'Overzicht inhuurdesk'!B48</f>
        <v>0</v>
      </c>
      <c r="C47" s="206">
        <f>'Overzicht inhuurdesk'!C48</f>
        <v>0</v>
      </c>
      <c r="D47" s="207">
        <f>'Overzicht inhuurdesk'!D48</f>
        <v>0</v>
      </c>
      <c r="E47" s="208">
        <f>'Overzicht inhuurdesk'!J48</f>
        <v>0</v>
      </c>
      <c r="F47" s="445" t="str">
        <f t="shared" si="11"/>
        <v/>
      </c>
      <c r="G47" s="209" t="str">
        <f>IF(B47&gt;" ",IF('Overzicht inhuurdesk'!F48="Nee","Voldoet niet aan eisen  volgens opdrachtnemer","OK")," ")</f>
        <v xml:space="preserve"> </v>
      </c>
      <c r="H47" s="180"/>
      <c r="I47" s="210"/>
      <c r="J47" s="445" t="str">
        <f t="shared" si="7"/>
        <v/>
      </c>
      <c r="K47" s="210"/>
      <c r="L47" s="446" t="str">
        <f t="shared" si="1"/>
        <v/>
      </c>
      <c r="M47" s="210"/>
      <c r="N47" s="447" t="str">
        <f t="shared" si="2"/>
        <v/>
      </c>
      <c r="O47" s="444"/>
      <c r="P47" s="444" t="str">
        <f t="shared" si="3"/>
        <v/>
      </c>
      <c r="Q47" s="444"/>
      <c r="R47" s="444" t="str">
        <f t="shared" si="4"/>
        <v/>
      </c>
      <c r="S47" s="210"/>
      <c r="T47" s="444" t="str">
        <f t="shared" si="5"/>
        <v/>
      </c>
      <c r="U47" s="210"/>
      <c r="V47" s="444" t="str">
        <f t="shared" si="6"/>
        <v/>
      </c>
      <c r="W47" s="341" t="str">
        <f t="shared" si="8"/>
        <v/>
      </c>
      <c r="X47" s="479" t="str">
        <f t="shared" si="9"/>
        <v/>
      </c>
      <c r="Y47" s="211"/>
      <c r="Z47" s="340"/>
      <c r="AB47" s="394" t="b">
        <f t="shared" si="10"/>
        <v>0</v>
      </c>
      <c r="AG47" s="394"/>
      <c r="AH47" s="394"/>
      <c r="AI47" s="394"/>
      <c r="AJ47" s="394"/>
      <c r="AK47" s="394"/>
      <c r="AL47" s="394"/>
      <c r="AM47" s="394"/>
      <c r="AN47" s="394"/>
      <c r="AO47" s="394"/>
      <c r="AP47" s="394"/>
      <c r="AQ47" s="394"/>
      <c r="AR47" s="394"/>
      <c r="AS47" s="394"/>
      <c r="AT47" s="394"/>
      <c r="AU47" s="394"/>
      <c r="AV47" s="394"/>
    </row>
    <row r="48" spans="1:48" ht="25" customHeight="1">
      <c r="A48" s="313">
        <v>35</v>
      </c>
      <c r="B48" s="206">
        <f>'Overzicht inhuurdesk'!B49</f>
        <v>0</v>
      </c>
      <c r="C48" s="206">
        <f>'Overzicht inhuurdesk'!C49</f>
        <v>0</v>
      </c>
      <c r="D48" s="207">
        <f>'Overzicht inhuurdesk'!D49</f>
        <v>0</v>
      </c>
      <c r="E48" s="208">
        <f>'Overzicht inhuurdesk'!J49</f>
        <v>0</v>
      </c>
      <c r="F48" s="445" t="str">
        <f t="shared" si="11"/>
        <v/>
      </c>
      <c r="G48" s="209" t="str">
        <f>IF(B48&gt;" ",IF('Overzicht inhuurdesk'!F49="Nee","Voldoet niet aan eisen  volgens opdrachtnemer","OK")," ")</f>
        <v xml:space="preserve"> </v>
      </c>
      <c r="H48" s="180"/>
      <c r="I48" s="210"/>
      <c r="J48" s="445" t="str">
        <f t="shared" si="7"/>
        <v/>
      </c>
      <c r="K48" s="210"/>
      <c r="L48" s="446" t="str">
        <f t="shared" si="1"/>
        <v/>
      </c>
      <c r="M48" s="210"/>
      <c r="N48" s="447" t="str">
        <f t="shared" si="2"/>
        <v/>
      </c>
      <c r="O48" s="444"/>
      <c r="P48" s="444" t="str">
        <f t="shared" si="3"/>
        <v/>
      </c>
      <c r="Q48" s="444"/>
      <c r="R48" s="444" t="str">
        <f t="shared" si="4"/>
        <v/>
      </c>
      <c r="S48" s="210"/>
      <c r="T48" s="444" t="str">
        <f t="shared" si="5"/>
        <v/>
      </c>
      <c r="U48" s="210"/>
      <c r="V48" s="444" t="str">
        <f t="shared" si="6"/>
        <v/>
      </c>
      <c r="W48" s="341" t="str">
        <f t="shared" si="8"/>
        <v/>
      </c>
      <c r="X48" s="479" t="str">
        <f t="shared" si="9"/>
        <v/>
      </c>
      <c r="Y48" s="211"/>
      <c r="Z48" s="340"/>
      <c r="AB48" s="394" t="b">
        <f t="shared" si="10"/>
        <v>0</v>
      </c>
      <c r="AG48" s="394"/>
      <c r="AH48" s="394"/>
      <c r="AI48" s="394"/>
      <c r="AJ48" s="394"/>
      <c r="AK48" s="394"/>
      <c r="AL48" s="394"/>
      <c r="AM48" s="394"/>
      <c r="AN48" s="394"/>
      <c r="AO48" s="394"/>
      <c r="AP48" s="394"/>
      <c r="AQ48" s="394"/>
      <c r="AR48" s="394"/>
      <c r="AS48" s="394"/>
      <c r="AT48" s="394"/>
      <c r="AU48" s="394"/>
      <c r="AV48" s="394"/>
    </row>
    <row r="49" spans="1:48" ht="25" customHeight="1">
      <c r="A49" s="313">
        <v>36</v>
      </c>
      <c r="B49" s="206">
        <f>'Overzicht inhuurdesk'!B50</f>
        <v>0</v>
      </c>
      <c r="C49" s="206">
        <f>'Overzicht inhuurdesk'!C50</f>
        <v>0</v>
      </c>
      <c r="D49" s="207">
        <f>'Overzicht inhuurdesk'!D50</f>
        <v>0</v>
      </c>
      <c r="E49" s="208">
        <f>'Overzicht inhuurdesk'!J50</f>
        <v>0</v>
      </c>
      <c r="F49" s="445" t="str">
        <f t="shared" ref="F49:F101" si="12">IF(AND(G49="OK",H49="Ja"),AB$13/AB49*AB$12,"")</f>
        <v/>
      </c>
      <c r="G49" s="209" t="str">
        <f>IF(B49&gt;" ",IF('Overzicht inhuurdesk'!F50="Nee","Voldoet niet aan eisen  volgens opdrachtnemer","OK")," ")</f>
        <v xml:space="preserve"> </v>
      </c>
      <c r="H49" s="180"/>
      <c r="I49" s="210"/>
      <c r="J49" s="445" t="str">
        <f t="shared" ref="J49:J100" si="13">IFERROR((VLOOKUP(I49,$AD$7:$AE$12,2,FALSE)*J$11),"")</f>
        <v/>
      </c>
      <c r="K49" s="210"/>
      <c r="L49" s="446" t="str">
        <f t="shared" ref="L49:L100" si="14">IFERROR((VLOOKUP(K49,$AD$7:$AE$12,2,FALSE)*L$11),"")</f>
        <v/>
      </c>
      <c r="M49" s="210"/>
      <c r="N49" s="447" t="str">
        <f t="shared" ref="N49:N100" si="15">IFERROR((VLOOKUP(M49,$AD$7:$AE$12,2,FALSE)*N$11),"")</f>
        <v/>
      </c>
      <c r="O49" s="444"/>
      <c r="P49" s="444" t="str">
        <f t="shared" ref="P49:P100" si="16">IFERROR((VLOOKUP(O49,$AD$7:$AE$12,2,FALSE)*P$11),"")</f>
        <v/>
      </c>
      <c r="Q49" s="444"/>
      <c r="R49" s="444" t="str">
        <f t="shared" ref="R49:R100" si="17">IFERROR((VLOOKUP(Q49,$AD$7:$AE$12,2,FALSE)*R$11),"")</f>
        <v/>
      </c>
      <c r="S49" s="210"/>
      <c r="T49" s="444" t="str">
        <f t="shared" ref="T49:T100" si="18">IFERROR((VLOOKUP(S49,$AD$7:$AE$12,2,FALSE)*T$11),"")</f>
        <v/>
      </c>
      <c r="U49" s="210"/>
      <c r="V49" s="444" t="str">
        <f t="shared" ref="V49:V100" si="19">IFERROR((VLOOKUP(U49,$AD$7:$AE$12,2,FALSE)*V$11),"")</f>
        <v/>
      </c>
      <c r="W49" s="341" t="str">
        <f t="shared" ref="W49:W100" si="20">IF(AND($B49&gt;"",H49="Ja"),SUM(J49,L49,N49,P49,R49,T49,V49,F49),"")</f>
        <v/>
      </c>
      <c r="X49" s="479" t="str">
        <f t="shared" si="9"/>
        <v/>
      </c>
      <c r="Y49" s="211"/>
      <c r="Z49" s="340"/>
      <c r="AB49" s="394" t="b">
        <f t="shared" si="10"/>
        <v>0</v>
      </c>
      <c r="AG49" s="394"/>
      <c r="AH49" s="394"/>
      <c r="AI49" s="394"/>
      <c r="AJ49" s="394"/>
      <c r="AK49" s="394"/>
      <c r="AL49" s="394"/>
      <c r="AM49" s="394"/>
      <c r="AN49" s="394"/>
      <c r="AO49" s="394"/>
      <c r="AP49" s="394"/>
      <c r="AQ49" s="394"/>
      <c r="AR49" s="394"/>
      <c r="AS49" s="394"/>
      <c r="AT49" s="394"/>
      <c r="AU49" s="394"/>
      <c r="AV49" s="394"/>
    </row>
    <row r="50" spans="1:48" ht="25" customHeight="1">
      <c r="A50" s="313">
        <v>37</v>
      </c>
      <c r="B50" s="206">
        <f>'Overzicht inhuurdesk'!B51</f>
        <v>0</v>
      </c>
      <c r="C50" s="206">
        <f>'Overzicht inhuurdesk'!C51</f>
        <v>0</v>
      </c>
      <c r="D50" s="207">
        <f>'Overzicht inhuurdesk'!D51</f>
        <v>0</v>
      </c>
      <c r="E50" s="208">
        <f>'Overzicht inhuurdesk'!J51</f>
        <v>0</v>
      </c>
      <c r="F50" s="445" t="str">
        <f t="shared" si="12"/>
        <v/>
      </c>
      <c r="G50" s="209" t="str">
        <f>IF(B50&gt;" ",IF('Overzicht inhuurdesk'!F51="Nee","Voldoet niet aan eisen  volgens opdrachtnemer","OK")," ")</f>
        <v xml:space="preserve"> </v>
      </c>
      <c r="H50" s="180"/>
      <c r="I50" s="210"/>
      <c r="J50" s="445" t="str">
        <f t="shared" si="13"/>
        <v/>
      </c>
      <c r="K50" s="210"/>
      <c r="L50" s="446" t="str">
        <f t="shared" si="14"/>
        <v/>
      </c>
      <c r="M50" s="210"/>
      <c r="N50" s="447" t="str">
        <f t="shared" si="15"/>
        <v/>
      </c>
      <c r="O50" s="444"/>
      <c r="P50" s="444" t="str">
        <f t="shared" si="16"/>
        <v/>
      </c>
      <c r="Q50" s="444"/>
      <c r="R50" s="444" t="str">
        <f t="shared" si="17"/>
        <v/>
      </c>
      <c r="S50" s="210"/>
      <c r="T50" s="444" t="str">
        <f t="shared" si="18"/>
        <v/>
      </c>
      <c r="U50" s="210"/>
      <c r="V50" s="444" t="str">
        <f t="shared" si="19"/>
        <v/>
      </c>
      <c r="W50" s="341" t="str">
        <f t="shared" si="20"/>
        <v/>
      </c>
      <c r="X50" s="479" t="str">
        <f t="shared" si="9"/>
        <v/>
      </c>
      <c r="Y50" s="211"/>
      <c r="Z50" s="340"/>
      <c r="AB50" s="394" t="b">
        <f t="shared" si="10"/>
        <v>0</v>
      </c>
      <c r="AG50" s="394"/>
      <c r="AH50" s="394"/>
      <c r="AI50" s="394"/>
      <c r="AJ50" s="394"/>
      <c r="AK50" s="394"/>
      <c r="AL50" s="394"/>
      <c r="AM50" s="394"/>
      <c r="AN50" s="394"/>
      <c r="AO50" s="394"/>
      <c r="AP50" s="394"/>
      <c r="AQ50" s="394"/>
      <c r="AR50" s="394"/>
      <c r="AS50" s="394"/>
      <c r="AT50" s="394"/>
      <c r="AU50" s="394"/>
      <c r="AV50" s="394"/>
    </row>
    <row r="51" spans="1:48" ht="25" customHeight="1">
      <c r="A51" s="313">
        <v>38</v>
      </c>
      <c r="B51" s="206">
        <f>'Overzicht inhuurdesk'!B52</f>
        <v>0</v>
      </c>
      <c r="C51" s="206">
        <f>'Overzicht inhuurdesk'!C52</f>
        <v>0</v>
      </c>
      <c r="D51" s="207">
        <f>'Overzicht inhuurdesk'!D52</f>
        <v>0</v>
      </c>
      <c r="E51" s="208">
        <f>'Overzicht inhuurdesk'!J52</f>
        <v>0</v>
      </c>
      <c r="F51" s="445" t="str">
        <f t="shared" si="12"/>
        <v/>
      </c>
      <c r="G51" s="209" t="str">
        <f>IF(B51&gt;" ",IF('Overzicht inhuurdesk'!F52="Nee","Voldoet niet aan eisen  volgens opdrachtnemer","OK")," ")</f>
        <v xml:space="preserve"> </v>
      </c>
      <c r="H51" s="180"/>
      <c r="I51" s="210"/>
      <c r="J51" s="445" t="str">
        <f t="shared" si="13"/>
        <v/>
      </c>
      <c r="K51" s="210"/>
      <c r="L51" s="446" t="str">
        <f t="shared" si="14"/>
        <v/>
      </c>
      <c r="M51" s="210"/>
      <c r="N51" s="447" t="str">
        <f t="shared" si="15"/>
        <v/>
      </c>
      <c r="O51" s="444"/>
      <c r="P51" s="444" t="str">
        <f t="shared" si="16"/>
        <v/>
      </c>
      <c r="Q51" s="444"/>
      <c r="R51" s="444" t="str">
        <f t="shared" si="17"/>
        <v/>
      </c>
      <c r="S51" s="210"/>
      <c r="T51" s="444" t="str">
        <f t="shared" si="18"/>
        <v/>
      </c>
      <c r="U51" s="210"/>
      <c r="V51" s="444" t="str">
        <f t="shared" si="19"/>
        <v/>
      </c>
      <c r="W51" s="341" t="str">
        <f t="shared" si="20"/>
        <v/>
      </c>
      <c r="X51" s="479" t="str">
        <f t="shared" si="9"/>
        <v/>
      </c>
      <c r="Y51" s="211"/>
      <c r="Z51" s="340"/>
      <c r="AB51" s="394" t="b">
        <f t="shared" si="10"/>
        <v>0</v>
      </c>
      <c r="AG51" s="394"/>
      <c r="AH51" s="394"/>
      <c r="AI51" s="394"/>
      <c r="AJ51" s="394"/>
      <c r="AK51" s="394"/>
      <c r="AL51" s="394"/>
      <c r="AM51" s="394"/>
      <c r="AN51" s="394"/>
      <c r="AO51" s="394"/>
      <c r="AP51" s="394"/>
      <c r="AQ51" s="394"/>
      <c r="AR51" s="394"/>
      <c r="AS51" s="394"/>
      <c r="AT51" s="394"/>
      <c r="AU51" s="394"/>
      <c r="AV51" s="394"/>
    </row>
    <row r="52" spans="1:48" ht="25" customHeight="1">
      <c r="A52" s="313">
        <v>39</v>
      </c>
      <c r="B52" s="206">
        <f>'Overzicht inhuurdesk'!B53</f>
        <v>0</v>
      </c>
      <c r="C52" s="206">
        <f>'Overzicht inhuurdesk'!C53</f>
        <v>0</v>
      </c>
      <c r="D52" s="207">
        <f>'Overzicht inhuurdesk'!D53</f>
        <v>0</v>
      </c>
      <c r="E52" s="208">
        <f>'Overzicht inhuurdesk'!J53</f>
        <v>0</v>
      </c>
      <c r="F52" s="445" t="str">
        <f t="shared" si="12"/>
        <v/>
      </c>
      <c r="G52" s="209" t="str">
        <f>IF(B52&gt;" ",IF('Overzicht inhuurdesk'!F53="Nee","Voldoet niet aan eisen  volgens opdrachtnemer","OK")," ")</f>
        <v xml:space="preserve"> </v>
      </c>
      <c r="H52" s="180"/>
      <c r="I52" s="210"/>
      <c r="J52" s="445" t="str">
        <f t="shared" si="13"/>
        <v/>
      </c>
      <c r="K52" s="210"/>
      <c r="L52" s="446" t="str">
        <f t="shared" si="14"/>
        <v/>
      </c>
      <c r="M52" s="210"/>
      <c r="N52" s="447" t="str">
        <f t="shared" si="15"/>
        <v/>
      </c>
      <c r="O52" s="444"/>
      <c r="P52" s="444" t="str">
        <f t="shared" si="16"/>
        <v/>
      </c>
      <c r="Q52" s="444"/>
      <c r="R52" s="444" t="str">
        <f t="shared" si="17"/>
        <v/>
      </c>
      <c r="S52" s="210"/>
      <c r="T52" s="444" t="str">
        <f t="shared" si="18"/>
        <v/>
      </c>
      <c r="U52" s="210"/>
      <c r="V52" s="444" t="str">
        <f t="shared" si="19"/>
        <v/>
      </c>
      <c r="W52" s="341" t="str">
        <f t="shared" si="20"/>
        <v/>
      </c>
      <c r="X52" s="479" t="str">
        <f t="shared" si="9"/>
        <v/>
      </c>
      <c r="Y52" s="211"/>
      <c r="Z52" s="340"/>
      <c r="AB52" s="394" t="b">
        <f t="shared" si="10"/>
        <v>0</v>
      </c>
      <c r="AG52" s="394"/>
      <c r="AH52" s="394"/>
      <c r="AI52" s="394"/>
      <c r="AJ52" s="394"/>
      <c r="AK52" s="394"/>
      <c r="AL52" s="394"/>
      <c r="AM52" s="394"/>
      <c r="AN52" s="394"/>
      <c r="AO52" s="394"/>
      <c r="AP52" s="394"/>
      <c r="AQ52" s="394"/>
      <c r="AR52" s="394"/>
      <c r="AS52" s="394"/>
      <c r="AT52" s="394"/>
      <c r="AU52" s="394"/>
      <c r="AV52" s="394"/>
    </row>
    <row r="53" spans="1:48" ht="25" customHeight="1">
      <c r="A53" s="313">
        <v>40</v>
      </c>
      <c r="B53" s="206">
        <f>'Overzicht inhuurdesk'!B54</f>
        <v>0</v>
      </c>
      <c r="C53" s="206">
        <f>'Overzicht inhuurdesk'!C54</f>
        <v>0</v>
      </c>
      <c r="D53" s="207">
        <f>'Overzicht inhuurdesk'!D54</f>
        <v>0</v>
      </c>
      <c r="E53" s="208">
        <f>'Overzicht inhuurdesk'!J54</f>
        <v>0</v>
      </c>
      <c r="F53" s="445" t="str">
        <f t="shared" si="12"/>
        <v/>
      </c>
      <c r="G53" s="209" t="str">
        <f>IF(B53&gt;" ",IF('Overzicht inhuurdesk'!F54="Nee","Voldoet niet aan eisen  volgens opdrachtnemer","OK")," ")</f>
        <v xml:space="preserve"> </v>
      </c>
      <c r="H53" s="180"/>
      <c r="I53" s="210"/>
      <c r="J53" s="445" t="str">
        <f t="shared" si="13"/>
        <v/>
      </c>
      <c r="K53" s="210"/>
      <c r="L53" s="446" t="str">
        <f t="shared" si="14"/>
        <v/>
      </c>
      <c r="M53" s="210"/>
      <c r="N53" s="447" t="str">
        <f t="shared" si="15"/>
        <v/>
      </c>
      <c r="O53" s="444"/>
      <c r="P53" s="444" t="str">
        <f t="shared" si="16"/>
        <v/>
      </c>
      <c r="Q53" s="444"/>
      <c r="R53" s="444" t="str">
        <f t="shared" si="17"/>
        <v/>
      </c>
      <c r="S53" s="210"/>
      <c r="T53" s="444" t="str">
        <f t="shared" si="18"/>
        <v/>
      </c>
      <c r="U53" s="210"/>
      <c r="V53" s="444" t="str">
        <f t="shared" si="19"/>
        <v/>
      </c>
      <c r="W53" s="341" t="str">
        <f t="shared" si="20"/>
        <v/>
      </c>
      <c r="X53" s="479" t="str">
        <f t="shared" si="9"/>
        <v/>
      </c>
      <c r="Y53" s="211"/>
      <c r="Z53" s="340"/>
      <c r="AB53" s="394" t="b">
        <f t="shared" si="10"/>
        <v>0</v>
      </c>
      <c r="AG53" s="394"/>
      <c r="AH53" s="394"/>
      <c r="AI53" s="394"/>
      <c r="AJ53" s="394"/>
      <c r="AK53" s="394"/>
      <c r="AL53" s="394"/>
      <c r="AM53" s="394"/>
      <c r="AN53" s="394"/>
      <c r="AO53" s="394"/>
      <c r="AP53" s="394"/>
      <c r="AQ53" s="394"/>
      <c r="AR53" s="394"/>
      <c r="AS53" s="394"/>
      <c r="AT53" s="394"/>
      <c r="AU53" s="394"/>
      <c r="AV53" s="394"/>
    </row>
    <row r="54" spans="1:48" ht="25" customHeight="1">
      <c r="A54" s="313">
        <v>41</v>
      </c>
      <c r="B54" s="206">
        <f>'Overzicht inhuurdesk'!B55</f>
        <v>0</v>
      </c>
      <c r="C54" s="206">
        <f>'Overzicht inhuurdesk'!C55</f>
        <v>0</v>
      </c>
      <c r="D54" s="207">
        <f>'Overzicht inhuurdesk'!D55</f>
        <v>0</v>
      </c>
      <c r="E54" s="208">
        <f>'Overzicht inhuurdesk'!J55</f>
        <v>0</v>
      </c>
      <c r="F54" s="445" t="str">
        <f t="shared" si="12"/>
        <v/>
      </c>
      <c r="G54" s="209" t="str">
        <f>IF(B54&gt;" ",IF('Overzicht inhuurdesk'!F55="Nee","Voldoet niet aan eisen  volgens opdrachtnemer","OK")," ")</f>
        <v xml:space="preserve"> </v>
      </c>
      <c r="H54" s="180"/>
      <c r="I54" s="210"/>
      <c r="J54" s="445" t="str">
        <f t="shared" si="13"/>
        <v/>
      </c>
      <c r="K54" s="210"/>
      <c r="L54" s="446" t="str">
        <f t="shared" si="14"/>
        <v/>
      </c>
      <c r="M54" s="210"/>
      <c r="N54" s="447" t="str">
        <f t="shared" si="15"/>
        <v/>
      </c>
      <c r="O54" s="444"/>
      <c r="P54" s="444" t="str">
        <f t="shared" si="16"/>
        <v/>
      </c>
      <c r="Q54" s="444"/>
      <c r="R54" s="444" t="str">
        <f t="shared" si="17"/>
        <v/>
      </c>
      <c r="S54" s="210"/>
      <c r="T54" s="444" t="str">
        <f t="shared" si="18"/>
        <v/>
      </c>
      <c r="U54" s="210"/>
      <c r="V54" s="444" t="str">
        <f t="shared" si="19"/>
        <v/>
      </c>
      <c r="W54" s="341" t="str">
        <f t="shared" si="20"/>
        <v/>
      </c>
      <c r="X54" s="479" t="str">
        <f t="shared" si="9"/>
        <v/>
      </c>
      <c r="Y54" s="211"/>
      <c r="Z54" s="340"/>
      <c r="AB54" s="394" t="b">
        <f t="shared" si="10"/>
        <v>0</v>
      </c>
      <c r="AG54" s="394"/>
      <c r="AH54" s="394"/>
      <c r="AI54" s="394"/>
      <c r="AJ54" s="394"/>
      <c r="AK54" s="394"/>
      <c r="AL54" s="394"/>
      <c r="AM54" s="394"/>
      <c r="AN54" s="394"/>
      <c r="AO54" s="394"/>
      <c r="AP54" s="394"/>
      <c r="AQ54" s="394"/>
      <c r="AR54" s="394"/>
      <c r="AS54" s="394"/>
      <c r="AT54" s="394"/>
      <c r="AU54" s="394"/>
      <c r="AV54" s="394"/>
    </row>
    <row r="55" spans="1:48" ht="25" customHeight="1">
      <c r="A55" s="313">
        <v>42</v>
      </c>
      <c r="B55" s="206">
        <f>'Overzicht inhuurdesk'!B56</f>
        <v>0</v>
      </c>
      <c r="C55" s="206">
        <f>'Overzicht inhuurdesk'!C56</f>
        <v>0</v>
      </c>
      <c r="D55" s="207">
        <f>'Overzicht inhuurdesk'!D56</f>
        <v>0</v>
      </c>
      <c r="E55" s="208">
        <f>'Overzicht inhuurdesk'!J56</f>
        <v>0</v>
      </c>
      <c r="F55" s="445" t="str">
        <f t="shared" si="12"/>
        <v/>
      </c>
      <c r="G55" s="209" t="str">
        <f>IF(B55&gt;" ",IF('Overzicht inhuurdesk'!F56="Nee","Voldoet niet aan eisen  volgens opdrachtnemer","OK")," ")</f>
        <v xml:space="preserve"> </v>
      </c>
      <c r="H55" s="180"/>
      <c r="I55" s="210"/>
      <c r="J55" s="445" t="str">
        <f t="shared" si="13"/>
        <v/>
      </c>
      <c r="K55" s="210"/>
      <c r="L55" s="446" t="str">
        <f t="shared" si="14"/>
        <v/>
      </c>
      <c r="M55" s="210"/>
      <c r="N55" s="447" t="str">
        <f t="shared" si="15"/>
        <v/>
      </c>
      <c r="O55" s="444"/>
      <c r="P55" s="444" t="str">
        <f t="shared" si="16"/>
        <v/>
      </c>
      <c r="Q55" s="444"/>
      <c r="R55" s="444" t="str">
        <f t="shared" si="17"/>
        <v/>
      </c>
      <c r="S55" s="210"/>
      <c r="T55" s="444" t="str">
        <f t="shared" si="18"/>
        <v/>
      </c>
      <c r="U55" s="210"/>
      <c r="V55" s="444" t="str">
        <f t="shared" si="19"/>
        <v/>
      </c>
      <c r="W55" s="341" t="str">
        <f t="shared" si="20"/>
        <v/>
      </c>
      <c r="X55" s="479" t="str">
        <f t="shared" si="9"/>
        <v/>
      </c>
      <c r="Y55" s="211"/>
      <c r="Z55" s="340"/>
      <c r="AB55" s="394" t="b">
        <f t="shared" si="10"/>
        <v>0</v>
      </c>
      <c r="AG55" s="394"/>
      <c r="AH55" s="394"/>
      <c r="AI55" s="394"/>
      <c r="AJ55" s="394"/>
      <c r="AK55" s="394"/>
      <c r="AL55" s="394"/>
      <c r="AM55" s="394"/>
      <c r="AN55" s="394"/>
      <c r="AO55" s="394"/>
      <c r="AP55" s="394"/>
      <c r="AQ55" s="394"/>
      <c r="AR55" s="394"/>
      <c r="AS55" s="394"/>
      <c r="AT55" s="394"/>
      <c r="AU55" s="394"/>
      <c r="AV55" s="394"/>
    </row>
    <row r="56" spans="1:48" ht="25" customHeight="1">
      <c r="A56" s="313">
        <v>43</v>
      </c>
      <c r="B56" s="206">
        <f>'Overzicht inhuurdesk'!B57</f>
        <v>0</v>
      </c>
      <c r="C56" s="206">
        <f>'Overzicht inhuurdesk'!C57</f>
        <v>0</v>
      </c>
      <c r="D56" s="207">
        <f>'Overzicht inhuurdesk'!D57</f>
        <v>0</v>
      </c>
      <c r="E56" s="208">
        <f>'Overzicht inhuurdesk'!J57</f>
        <v>0</v>
      </c>
      <c r="F56" s="445" t="str">
        <f t="shared" si="12"/>
        <v/>
      </c>
      <c r="G56" s="209" t="str">
        <f>IF(B56&gt;" ",IF('Overzicht inhuurdesk'!F57="Nee","Voldoet niet aan eisen  volgens opdrachtnemer","OK")," ")</f>
        <v xml:space="preserve"> </v>
      </c>
      <c r="H56" s="180"/>
      <c r="I56" s="210"/>
      <c r="J56" s="445" t="str">
        <f t="shared" si="13"/>
        <v/>
      </c>
      <c r="K56" s="210"/>
      <c r="L56" s="446" t="str">
        <f t="shared" si="14"/>
        <v/>
      </c>
      <c r="M56" s="210"/>
      <c r="N56" s="447" t="str">
        <f t="shared" si="15"/>
        <v/>
      </c>
      <c r="O56" s="444"/>
      <c r="P56" s="444" t="str">
        <f t="shared" si="16"/>
        <v/>
      </c>
      <c r="Q56" s="444"/>
      <c r="R56" s="444" t="str">
        <f t="shared" si="17"/>
        <v/>
      </c>
      <c r="S56" s="210"/>
      <c r="T56" s="444" t="str">
        <f t="shared" si="18"/>
        <v/>
      </c>
      <c r="U56" s="210"/>
      <c r="V56" s="444" t="str">
        <f t="shared" si="19"/>
        <v/>
      </c>
      <c r="W56" s="341" t="str">
        <f t="shared" si="20"/>
        <v/>
      </c>
      <c r="X56" s="479" t="str">
        <f t="shared" si="9"/>
        <v/>
      </c>
      <c r="Y56" s="211"/>
      <c r="Z56" s="340"/>
      <c r="AB56" s="394" t="b">
        <f t="shared" si="10"/>
        <v>0</v>
      </c>
      <c r="AG56" s="394"/>
      <c r="AH56" s="394"/>
      <c r="AI56" s="394"/>
      <c r="AJ56" s="394"/>
      <c r="AK56" s="394"/>
      <c r="AL56" s="394"/>
      <c r="AM56" s="394"/>
      <c r="AN56" s="394"/>
      <c r="AO56" s="394"/>
      <c r="AP56" s="394"/>
      <c r="AQ56" s="394"/>
      <c r="AR56" s="394"/>
      <c r="AS56" s="394"/>
      <c r="AT56" s="394"/>
      <c r="AU56" s="394"/>
      <c r="AV56" s="394"/>
    </row>
    <row r="57" spans="1:48" ht="25" customHeight="1">
      <c r="A57" s="313">
        <v>44</v>
      </c>
      <c r="B57" s="206">
        <f>'Overzicht inhuurdesk'!B58</f>
        <v>0</v>
      </c>
      <c r="C57" s="206">
        <f>'Overzicht inhuurdesk'!C58</f>
        <v>0</v>
      </c>
      <c r="D57" s="207">
        <f>'Overzicht inhuurdesk'!D58</f>
        <v>0</v>
      </c>
      <c r="E57" s="208">
        <f>'Overzicht inhuurdesk'!J58</f>
        <v>0</v>
      </c>
      <c r="F57" s="445" t="str">
        <f t="shared" si="12"/>
        <v/>
      </c>
      <c r="G57" s="209" t="str">
        <f>IF(B57&gt;" ",IF('Overzicht inhuurdesk'!F58="Nee","Voldoet niet aan eisen  volgens opdrachtnemer","OK")," ")</f>
        <v xml:space="preserve"> </v>
      </c>
      <c r="H57" s="180"/>
      <c r="I57" s="210"/>
      <c r="J57" s="445" t="str">
        <f t="shared" si="13"/>
        <v/>
      </c>
      <c r="K57" s="210"/>
      <c r="L57" s="446" t="str">
        <f t="shared" si="14"/>
        <v/>
      </c>
      <c r="M57" s="210"/>
      <c r="N57" s="447" t="str">
        <f t="shared" si="15"/>
        <v/>
      </c>
      <c r="O57" s="444"/>
      <c r="P57" s="444" t="str">
        <f t="shared" si="16"/>
        <v/>
      </c>
      <c r="Q57" s="444"/>
      <c r="R57" s="444" t="str">
        <f t="shared" si="17"/>
        <v/>
      </c>
      <c r="S57" s="210"/>
      <c r="T57" s="444" t="str">
        <f t="shared" si="18"/>
        <v/>
      </c>
      <c r="U57" s="210"/>
      <c r="V57" s="444" t="str">
        <f t="shared" si="19"/>
        <v/>
      </c>
      <c r="W57" s="341" t="str">
        <f t="shared" si="20"/>
        <v/>
      </c>
      <c r="X57" s="479" t="str">
        <f t="shared" si="9"/>
        <v/>
      </c>
      <c r="Y57" s="211"/>
      <c r="Z57" s="340"/>
      <c r="AB57" s="394" t="b">
        <f t="shared" si="10"/>
        <v>0</v>
      </c>
      <c r="AG57" s="394"/>
      <c r="AH57" s="394"/>
      <c r="AI57" s="394"/>
      <c r="AJ57" s="394"/>
      <c r="AK57" s="394"/>
      <c r="AL57" s="394"/>
      <c r="AM57" s="394"/>
      <c r="AN57" s="394"/>
      <c r="AO57" s="394"/>
      <c r="AP57" s="394"/>
      <c r="AQ57" s="394"/>
      <c r="AR57" s="394"/>
      <c r="AS57" s="394"/>
      <c r="AT57" s="394"/>
      <c r="AU57" s="394"/>
      <c r="AV57" s="394"/>
    </row>
    <row r="58" spans="1:48" ht="25" customHeight="1">
      <c r="A58" s="313">
        <v>45</v>
      </c>
      <c r="B58" s="206">
        <f>'Overzicht inhuurdesk'!B59</f>
        <v>0</v>
      </c>
      <c r="C58" s="206">
        <f>'Overzicht inhuurdesk'!C59</f>
        <v>0</v>
      </c>
      <c r="D58" s="207">
        <f>'Overzicht inhuurdesk'!D59</f>
        <v>0</v>
      </c>
      <c r="E58" s="208">
        <f>'Overzicht inhuurdesk'!J59</f>
        <v>0</v>
      </c>
      <c r="F58" s="445" t="str">
        <f t="shared" si="12"/>
        <v/>
      </c>
      <c r="G58" s="209" t="str">
        <f>IF(B58&gt;" ",IF('Overzicht inhuurdesk'!F59="Nee","Voldoet niet aan eisen  volgens opdrachtnemer","OK")," ")</f>
        <v xml:space="preserve"> </v>
      </c>
      <c r="H58" s="180"/>
      <c r="I58" s="210"/>
      <c r="J58" s="445" t="str">
        <f t="shared" si="13"/>
        <v/>
      </c>
      <c r="K58" s="210"/>
      <c r="L58" s="446" t="str">
        <f t="shared" si="14"/>
        <v/>
      </c>
      <c r="M58" s="210"/>
      <c r="N58" s="447" t="str">
        <f t="shared" si="15"/>
        <v/>
      </c>
      <c r="O58" s="444"/>
      <c r="P58" s="444" t="str">
        <f t="shared" si="16"/>
        <v/>
      </c>
      <c r="Q58" s="444"/>
      <c r="R58" s="444" t="str">
        <f t="shared" si="17"/>
        <v/>
      </c>
      <c r="S58" s="210"/>
      <c r="T58" s="444" t="str">
        <f t="shared" si="18"/>
        <v/>
      </c>
      <c r="U58" s="210"/>
      <c r="V58" s="444" t="str">
        <f t="shared" si="19"/>
        <v/>
      </c>
      <c r="W58" s="341" t="str">
        <f t="shared" si="20"/>
        <v/>
      </c>
      <c r="X58" s="479" t="str">
        <f t="shared" si="9"/>
        <v/>
      </c>
      <c r="Y58" s="211"/>
      <c r="Z58" s="340"/>
      <c r="AB58" s="394" t="b">
        <f t="shared" si="10"/>
        <v>0</v>
      </c>
      <c r="AG58" s="394"/>
      <c r="AH58" s="394"/>
      <c r="AI58" s="394"/>
      <c r="AJ58" s="394"/>
      <c r="AK58" s="394"/>
      <c r="AL58" s="394"/>
      <c r="AM58" s="394"/>
      <c r="AN58" s="394"/>
      <c r="AO58" s="394"/>
      <c r="AP58" s="394"/>
      <c r="AQ58" s="394"/>
      <c r="AR58" s="394"/>
      <c r="AS58" s="394"/>
      <c r="AT58" s="394"/>
      <c r="AU58" s="394"/>
      <c r="AV58" s="394"/>
    </row>
    <row r="59" spans="1:48" ht="25" customHeight="1">
      <c r="A59" s="313">
        <v>46</v>
      </c>
      <c r="B59" s="206">
        <f>'Overzicht inhuurdesk'!B60</f>
        <v>0</v>
      </c>
      <c r="C59" s="206">
        <f>'Overzicht inhuurdesk'!C60</f>
        <v>0</v>
      </c>
      <c r="D59" s="207">
        <f>'Overzicht inhuurdesk'!D60</f>
        <v>0</v>
      </c>
      <c r="E59" s="208">
        <f>'Overzicht inhuurdesk'!J60</f>
        <v>0</v>
      </c>
      <c r="F59" s="445" t="str">
        <f t="shared" si="12"/>
        <v/>
      </c>
      <c r="G59" s="209" t="str">
        <f>IF(B59&gt;" ",IF('Overzicht inhuurdesk'!F60="Nee","Voldoet niet aan eisen  volgens opdrachtnemer","OK")," ")</f>
        <v xml:space="preserve"> </v>
      </c>
      <c r="H59" s="180"/>
      <c r="I59" s="210"/>
      <c r="J59" s="445" t="str">
        <f t="shared" si="13"/>
        <v/>
      </c>
      <c r="K59" s="210"/>
      <c r="L59" s="446" t="str">
        <f t="shared" si="14"/>
        <v/>
      </c>
      <c r="M59" s="210"/>
      <c r="N59" s="447" t="str">
        <f t="shared" si="15"/>
        <v/>
      </c>
      <c r="O59" s="444"/>
      <c r="P59" s="444" t="str">
        <f t="shared" si="16"/>
        <v/>
      </c>
      <c r="Q59" s="444"/>
      <c r="R59" s="444" t="str">
        <f t="shared" si="17"/>
        <v/>
      </c>
      <c r="S59" s="210"/>
      <c r="T59" s="444" t="str">
        <f t="shared" si="18"/>
        <v/>
      </c>
      <c r="U59" s="210"/>
      <c r="V59" s="444" t="str">
        <f t="shared" si="19"/>
        <v/>
      </c>
      <c r="W59" s="341" t="str">
        <f t="shared" si="20"/>
        <v/>
      </c>
      <c r="X59" s="479" t="str">
        <f t="shared" si="9"/>
        <v/>
      </c>
      <c r="Y59" s="211"/>
      <c r="Z59" s="340"/>
      <c r="AB59" s="394" t="b">
        <f t="shared" si="10"/>
        <v>0</v>
      </c>
      <c r="AG59" s="394"/>
      <c r="AH59" s="394"/>
      <c r="AI59" s="394"/>
      <c r="AJ59" s="394"/>
      <c r="AK59" s="394"/>
      <c r="AL59" s="394"/>
      <c r="AM59" s="394"/>
      <c r="AN59" s="394"/>
      <c r="AO59" s="394"/>
      <c r="AP59" s="394"/>
      <c r="AQ59" s="394"/>
      <c r="AR59" s="394"/>
      <c r="AS59" s="394"/>
      <c r="AT59" s="394"/>
      <c r="AU59" s="394"/>
      <c r="AV59" s="394"/>
    </row>
    <row r="60" spans="1:48" ht="25" customHeight="1">
      <c r="A60" s="313">
        <v>47</v>
      </c>
      <c r="B60" s="206">
        <f>'Overzicht inhuurdesk'!B61</f>
        <v>0</v>
      </c>
      <c r="C60" s="206">
        <f>'Overzicht inhuurdesk'!C61</f>
        <v>0</v>
      </c>
      <c r="D60" s="207">
        <f>'Overzicht inhuurdesk'!D61</f>
        <v>0</v>
      </c>
      <c r="E60" s="208">
        <f>'Overzicht inhuurdesk'!J61</f>
        <v>0</v>
      </c>
      <c r="F60" s="445" t="str">
        <f t="shared" si="12"/>
        <v/>
      </c>
      <c r="G60" s="209" t="str">
        <f>IF(B60&gt;" ",IF('Overzicht inhuurdesk'!F61="Nee","Voldoet niet aan eisen  volgens opdrachtnemer","OK")," ")</f>
        <v xml:space="preserve"> </v>
      </c>
      <c r="H60" s="180"/>
      <c r="I60" s="210"/>
      <c r="J60" s="445" t="str">
        <f t="shared" si="13"/>
        <v/>
      </c>
      <c r="K60" s="210"/>
      <c r="L60" s="446" t="str">
        <f t="shared" si="14"/>
        <v/>
      </c>
      <c r="M60" s="210"/>
      <c r="N60" s="447" t="str">
        <f t="shared" si="15"/>
        <v/>
      </c>
      <c r="O60" s="444"/>
      <c r="P60" s="444" t="str">
        <f t="shared" si="16"/>
        <v/>
      </c>
      <c r="Q60" s="444"/>
      <c r="R60" s="444" t="str">
        <f t="shared" si="17"/>
        <v/>
      </c>
      <c r="S60" s="210"/>
      <c r="T60" s="444" t="str">
        <f t="shared" si="18"/>
        <v/>
      </c>
      <c r="U60" s="210"/>
      <c r="V60" s="444" t="str">
        <f t="shared" si="19"/>
        <v/>
      </c>
      <c r="W60" s="341" t="str">
        <f t="shared" si="20"/>
        <v/>
      </c>
      <c r="X60" s="479" t="str">
        <f t="shared" si="9"/>
        <v/>
      </c>
      <c r="Y60" s="211"/>
      <c r="Z60" s="340"/>
      <c r="AB60" s="394" t="b">
        <f t="shared" si="10"/>
        <v>0</v>
      </c>
      <c r="AG60" s="394"/>
      <c r="AH60" s="394"/>
      <c r="AI60" s="394"/>
      <c r="AJ60" s="394"/>
      <c r="AK60" s="394"/>
      <c r="AL60" s="394"/>
      <c r="AM60" s="394"/>
      <c r="AN60" s="394"/>
      <c r="AO60" s="394"/>
      <c r="AP60" s="394"/>
      <c r="AQ60" s="394"/>
      <c r="AR60" s="394"/>
      <c r="AS60" s="394"/>
      <c r="AT60" s="394"/>
      <c r="AU60" s="394"/>
      <c r="AV60" s="394"/>
    </row>
    <row r="61" spans="1:48" ht="25" customHeight="1">
      <c r="A61" s="313">
        <v>48</v>
      </c>
      <c r="B61" s="206">
        <f>'Overzicht inhuurdesk'!B62</f>
        <v>0</v>
      </c>
      <c r="C61" s="206">
        <f>'Overzicht inhuurdesk'!C62</f>
        <v>0</v>
      </c>
      <c r="D61" s="207">
        <f>'Overzicht inhuurdesk'!D62</f>
        <v>0</v>
      </c>
      <c r="E61" s="208">
        <f>'Overzicht inhuurdesk'!J62</f>
        <v>0</v>
      </c>
      <c r="F61" s="445" t="str">
        <f t="shared" si="12"/>
        <v/>
      </c>
      <c r="G61" s="209" t="str">
        <f>IF(B61&gt;" ",IF('Overzicht inhuurdesk'!F62="Nee","Voldoet niet aan eisen  volgens opdrachtnemer","OK")," ")</f>
        <v xml:space="preserve"> </v>
      </c>
      <c r="H61" s="180"/>
      <c r="I61" s="210"/>
      <c r="J61" s="445" t="str">
        <f t="shared" si="13"/>
        <v/>
      </c>
      <c r="K61" s="210"/>
      <c r="L61" s="446" t="str">
        <f t="shared" si="14"/>
        <v/>
      </c>
      <c r="M61" s="210"/>
      <c r="N61" s="447" t="str">
        <f t="shared" si="15"/>
        <v/>
      </c>
      <c r="O61" s="444"/>
      <c r="P61" s="444" t="str">
        <f t="shared" si="16"/>
        <v/>
      </c>
      <c r="Q61" s="444"/>
      <c r="R61" s="444" t="str">
        <f t="shared" si="17"/>
        <v/>
      </c>
      <c r="S61" s="210"/>
      <c r="T61" s="444" t="str">
        <f t="shared" si="18"/>
        <v/>
      </c>
      <c r="U61" s="210"/>
      <c r="V61" s="444" t="str">
        <f t="shared" si="19"/>
        <v/>
      </c>
      <c r="W61" s="341" t="str">
        <f t="shared" si="20"/>
        <v/>
      </c>
      <c r="X61" s="479" t="str">
        <f t="shared" si="9"/>
        <v/>
      </c>
      <c r="Y61" s="211"/>
      <c r="Z61" s="340"/>
      <c r="AB61" s="394" t="b">
        <f t="shared" si="10"/>
        <v>0</v>
      </c>
      <c r="AG61" s="394"/>
      <c r="AH61" s="394"/>
      <c r="AI61" s="394"/>
      <c r="AJ61" s="394"/>
      <c r="AK61" s="394"/>
      <c r="AL61" s="394"/>
      <c r="AM61" s="394"/>
      <c r="AN61" s="394"/>
      <c r="AO61" s="394"/>
      <c r="AP61" s="394"/>
      <c r="AQ61" s="394"/>
      <c r="AR61" s="394"/>
      <c r="AS61" s="394"/>
      <c r="AT61" s="394"/>
      <c r="AU61" s="394"/>
      <c r="AV61" s="394"/>
    </row>
    <row r="62" spans="1:48" ht="25" customHeight="1">
      <c r="A62" s="313">
        <v>49</v>
      </c>
      <c r="B62" s="206">
        <f>'Overzicht inhuurdesk'!B63</f>
        <v>0</v>
      </c>
      <c r="C62" s="206">
        <f>'Overzicht inhuurdesk'!C63</f>
        <v>0</v>
      </c>
      <c r="D62" s="207">
        <f>'Overzicht inhuurdesk'!D63</f>
        <v>0</v>
      </c>
      <c r="E62" s="208">
        <f>'Overzicht inhuurdesk'!J63</f>
        <v>0</v>
      </c>
      <c r="F62" s="445" t="str">
        <f t="shared" si="12"/>
        <v/>
      </c>
      <c r="G62" s="209" t="str">
        <f>IF(B62&gt;" ",IF('Overzicht inhuurdesk'!F63="Nee","Voldoet niet aan eisen  volgens opdrachtnemer","OK")," ")</f>
        <v xml:space="preserve"> </v>
      </c>
      <c r="H62" s="180"/>
      <c r="I62" s="210"/>
      <c r="J62" s="445" t="str">
        <f t="shared" si="13"/>
        <v/>
      </c>
      <c r="K62" s="210"/>
      <c r="L62" s="446" t="str">
        <f t="shared" si="14"/>
        <v/>
      </c>
      <c r="M62" s="210"/>
      <c r="N62" s="447" t="str">
        <f t="shared" si="15"/>
        <v/>
      </c>
      <c r="O62" s="444"/>
      <c r="P62" s="444" t="str">
        <f t="shared" si="16"/>
        <v/>
      </c>
      <c r="Q62" s="444"/>
      <c r="R62" s="444" t="str">
        <f t="shared" si="17"/>
        <v/>
      </c>
      <c r="S62" s="210"/>
      <c r="T62" s="444" t="str">
        <f t="shared" si="18"/>
        <v/>
      </c>
      <c r="U62" s="210"/>
      <c r="V62" s="444" t="str">
        <f t="shared" si="19"/>
        <v/>
      </c>
      <c r="W62" s="341" t="str">
        <f t="shared" si="20"/>
        <v/>
      </c>
      <c r="X62" s="479" t="str">
        <f t="shared" si="9"/>
        <v/>
      </c>
      <c r="Y62" s="211"/>
      <c r="Z62" s="340"/>
      <c r="AB62" s="394" t="b">
        <f t="shared" si="10"/>
        <v>0</v>
      </c>
      <c r="AG62" s="394"/>
      <c r="AH62" s="394"/>
      <c r="AI62" s="394"/>
      <c r="AJ62" s="394"/>
      <c r="AK62" s="394"/>
      <c r="AL62" s="394"/>
      <c r="AM62" s="394"/>
      <c r="AN62" s="394"/>
      <c r="AO62" s="394"/>
      <c r="AP62" s="394"/>
      <c r="AQ62" s="394"/>
      <c r="AR62" s="394"/>
      <c r="AS62" s="394"/>
      <c r="AT62" s="394"/>
      <c r="AU62" s="394"/>
      <c r="AV62" s="394"/>
    </row>
    <row r="63" spans="1:48" ht="25" customHeight="1">
      <c r="A63" s="313">
        <v>50</v>
      </c>
      <c r="B63" s="206">
        <f>'Overzicht inhuurdesk'!B64</f>
        <v>0</v>
      </c>
      <c r="C63" s="206">
        <f>'Overzicht inhuurdesk'!C64</f>
        <v>0</v>
      </c>
      <c r="D63" s="207">
        <f>'Overzicht inhuurdesk'!D64</f>
        <v>0</v>
      </c>
      <c r="E63" s="208">
        <f>'Overzicht inhuurdesk'!J64</f>
        <v>0</v>
      </c>
      <c r="F63" s="445" t="str">
        <f t="shared" si="12"/>
        <v/>
      </c>
      <c r="G63" s="209" t="str">
        <f>IF(B63&gt;" ",IF('Overzicht inhuurdesk'!F64="Nee","Voldoet niet aan eisen  volgens opdrachtnemer","OK")," ")</f>
        <v xml:space="preserve"> </v>
      </c>
      <c r="H63" s="180"/>
      <c r="I63" s="210"/>
      <c r="J63" s="445" t="str">
        <f t="shared" si="13"/>
        <v/>
      </c>
      <c r="K63" s="210"/>
      <c r="L63" s="446" t="str">
        <f t="shared" si="14"/>
        <v/>
      </c>
      <c r="M63" s="210"/>
      <c r="N63" s="447" t="str">
        <f t="shared" si="15"/>
        <v/>
      </c>
      <c r="O63" s="444"/>
      <c r="P63" s="444" t="str">
        <f t="shared" si="16"/>
        <v/>
      </c>
      <c r="Q63" s="444"/>
      <c r="R63" s="444" t="str">
        <f t="shared" si="17"/>
        <v/>
      </c>
      <c r="S63" s="210"/>
      <c r="T63" s="444" t="str">
        <f t="shared" si="18"/>
        <v/>
      </c>
      <c r="U63" s="210"/>
      <c r="V63" s="444" t="str">
        <f t="shared" si="19"/>
        <v/>
      </c>
      <c r="W63" s="341" t="str">
        <f t="shared" si="20"/>
        <v/>
      </c>
      <c r="X63" s="479" t="str">
        <f t="shared" si="9"/>
        <v/>
      </c>
      <c r="Y63" s="211"/>
      <c r="Z63" s="340"/>
      <c r="AB63" s="394" t="b">
        <f t="shared" si="10"/>
        <v>0</v>
      </c>
      <c r="AG63" s="394"/>
      <c r="AH63" s="394"/>
      <c r="AI63" s="394"/>
      <c r="AJ63" s="394"/>
      <c r="AK63" s="394"/>
      <c r="AL63" s="394"/>
      <c r="AM63" s="394"/>
      <c r="AN63" s="394"/>
      <c r="AO63" s="394"/>
      <c r="AP63" s="394"/>
      <c r="AQ63" s="394"/>
      <c r="AR63" s="394"/>
      <c r="AS63" s="394"/>
      <c r="AT63" s="394"/>
      <c r="AU63" s="394"/>
      <c r="AV63" s="394"/>
    </row>
    <row r="64" spans="1:48" ht="25" customHeight="1">
      <c r="A64" s="313">
        <v>51</v>
      </c>
      <c r="B64" s="206">
        <f>'Overzicht inhuurdesk'!B65</f>
        <v>0</v>
      </c>
      <c r="C64" s="206">
        <f>'Overzicht inhuurdesk'!C65</f>
        <v>0</v>
      </c>
      <c r="D64" s="207">
        <f>'Overzicht inhuurdesk'!D65</f>
        <v>0</v>
      </c>
      <c r="E64" s="208">
        <f>'Overzicht inhuurdesk'!J65</f>
        <v>0</v>
      </c>
      <c r="F64" s="445" t="str">
        <f t="shared" si="12"/>
        <v/>
      </c>
      <c r="G64" s="209" t="str">
        <f>IF(B64&gt;" ",IF('Overzicht inhuurdesk'!F65="Nee","Voldoet niet aan eisen  volgens opdrachtnemer","OK")," ")</f>
        <v xml:space="preserve"> </v>
      </c>
      <c r="H64" s="180"/>
      <c r="I64" s="210"/>
      <c r="J64" s="445" t="str">
        <f t="shared" si="13"/>
        <v/>
      </c>
      <c r="K64" s="210"/>
      <c r="L64" s="446" t="str">
        <f t="shared" si="14"/>
        <v/>
      </c>
      <c r="M64" s="210"/>
      <c r="N64" s="447" t="str">
        <f t="shared" si="15"/>
        <v/>
      </c>
      <c r="O64" s="444"/>
      <c r="P64" s="444" t="str">
        <f t="shared" si="16"/>
        <v/>
      </c>
      <c r="Q64" s="444"/>
      <c r="R64" s="444" t="str">
        <f t="shared" si="17"/>
        <v/>
      </c>
      <c r="S64" s="210"/>
      <c r="T64" s="444" t="str">
        <f t="shared" si="18"/>
        <v/>
      </c>
      <c r="U64" s="210"/>
      <c r="V64" s="444" t="str">
        <f t="shared" si="19"/>
        <v/>
      </c>
      <c r="W64" s="341" t="str">
        <f t="shared" si="20"/>
        <v/>
      </c>
      <c r="X64" s="479" t="str">
        <f t="shared" si="9"/>
        <v/>
      </c>
      <c r="Y64" s="211"/>
      <c r="Z64" s="340"/>
      <c r="AB64" s="394" t="b">
        <f t="shared" si="10"/>
        <v>0</v>
      </c>
      <c r="AG64" s="394"/>
      <c r="AH64" s="394"/>
      <c r="AI64" s="394"/>
      <c r="AJ64" s="394"/>
      <c r="AK64" s="394"/>
      <c r="AL64" s="394"/>
      <c r="AM64" s="394"/>
      <c r="AN64" s="394"/>
      <c r="AO64" s="394"/>
      <c r="AP64" s="394"/>
      <c r="AQ64" s="394"/>
      <c r="AR64" s="394"/>
      <c r="AS64" s="394"/>
      <c r="AT64" s="394"/>
      <c r="AU64" s="394"/>
      <c r="AV64" s="394"/>
    </row>
    <row r="65" spans="1:48" ht="25" customHeight="1">
      <c r="A65" s="313">
        <v>52</v>
      </c>
      <c r="B65" s="206">
        <f>'Overzicht inhuurdesk'!B66</f>
        <v>0</v>
      </c>
      <c r="C65" s="206">
        <f>'Overzicht inhuurdesk'!C66</f>
        <v>0</v>
      </c>
      <c r="D65" s="207">
        <f>'Overzicht inhuurdesk'!D66</f>
        <v>0</v>
      </c>
      <c r="E65" s="208">
        <f>'Overzicht inhuurdesk'!J66</f>
        <v>0</v>
      </c>
      <c r="F65" s="445" t="str">
        <f t="shared" si="12"/>
        <v/>
      </c>
      <c r="G65" s="209" t="str">
        <f>IF(B65&gt;" ",IF('Overzicht inhuurdesk'!F66="Nee","Voldoet niet aan eisen  volgens opdrachtnemer","OK")," ")</f>
        <v xml:space="preserve"> </v>
      </c>
      <c r="H65" s="180"/>
      <c r="I65" s="210"/>
      <c r="J65" s="445" t="str">
        <f t="shared" si="13"/>
        <v/>
      </c>
      <c r="K65" s="210"/>
      <c r="L65" s="446" t="str">
        <f t="shared" si="14"/>
        <v/>
      </c>
      <c r="M65" s="210"/>
      <c r="N65" s="447" t="str">
        <f t="shared" si="15"/>
        <v/>
      </c>
      <c r="O65" s="444"/>
      <c r="P65" s="444" t="str">
        <f t="shared" si="16"/>
        <v/>
      </c>
      <c r="Q65" s="444"/>
      <c r="R65" s="444" t="str">
        <f t="shared" si="17"/>
        <v/>
      </c>
      <c r="S65" s="210"/>
      <c r="T65" s="444" t="str">
        <f t="shared" si="18"/>
        <v/>
      </c>
      <c r="U65" s="210"/>
      <c r="V65" s="444" t="str">
        <f t="shared" si="19"/>
        <v/>
      </c>
      <c r="W65" s="341" t="str">
        <f t="shared" si="20"/>
        <v/>
      </c>
      <c r="X65" s="479" t="str">
        <f t="shared" si="9"/>
        <v/>
      </c>
      <c r="Y65" s="211"/>
      <c r="Z65" s="340"/>
      <c r="AB65" s="394" t="b">
        <f t="shared" si="10"/>
        <v>0</v>
      </c>
      <c r="AG65" s="394"/>
      <c r="AH65" s="394"/>
      <c r="AI65" s="394"/>
      <c r="AJ65" s="394"/>
      <c r="AK65" s="394"/>
      <c r="AL65" s="394"/>
      <c r="AM65" s="394"/>
      <c r="AN65" s="394"/>
      <c r="AO65" s="394"/>
      <c r="AP65" s="394"/>
      <c r="AQ65" s="394"/>
      <c r="AR65" s="394"/>
      <c r="AS65" s="394"/>
      <c r="AT65" s="394"/>
      <c r="AU65" s="394"/>
      <c r="AV65" s="394"/>
    </row>
    <row r="66" spans="1:48" ht="25" customHeight="1">
      <c r="A66" s="313">
        <v>53</v>
      </c>
      <c r="B66" s="206">
        <f>'Overzicht inhuurdesk'!B67</f>
        <v>0</v>
      </c>
      <c r="C66" s="206">
        <f>'Overzicht inhuurdesk'!C67</f>
        <v>0</v>
      </c>
      <c r="D66" s="207">
        <f>'Overzicht inhuurdesk'!D67</f>
        <v>0</v>
      </c>
      <c r="E66" s="208">
        <f>'Overzicht inhuurdesk'!J67</f>
        <v>0</v>
      </c>
      <c r="F66" s="445" t="str">
        <f t="shared" si="12"/>
        <v/>
      </c>
      <c r="G66" s="209" t="str">
        <f>IF(B66&gt;" ",IF('Overzicht inhuurdesk'!F67="Nee","Voldoet niet aan eisen  volgens opdrachtnemer","OK")," ")</f>
        <v xml:space="preserve"> </v>
      </c>
      <c r="H66" s="180"/>
      <c r="I66" s="210"/>
      <c r="J66" s="445" t="str">
        <f t="shared" si="13"/>
        <v/>
      </c>
      <c r="K66" s="210"/>
      <c r="L66" s="446" t="str">
        <f t="shared" si="14"/>
        <v/>
      </c>
      <c r="M66" s="210"/>
      <c r="N66" s="447" t="str">
        <f t="shared" si="15"/>
        <v/>
      </c>
      <c r="O66" s="444"/>
      <c r="P66" s="444" t="str">
        <f t="shared" si="16"/>
        <v/>
      </c>
      <c r="Q66" s="444"/>
      <c r="R66" s="444" t="str">
        <f t="shared" si="17"/>
        <v/>
      </c>
      <c r="S66" s="210"/>
      <c r="T66" s="444" t="str">
        <f t="shared" si="18"/>
        <v/>
      </c>
      <c r="U66" s="210"/>
      <c r="V66" s="444" t="str">
        <f t="shared" si="19"/>
        <v/>
      </c>
      <c r="W66" s="341" t="str">
        <f t="shared" si="20"/>
        <v/>
      </c>
      <c r="X66" s="479" t="str">
        <f t="shared" si="9"/>
        <v/>
      </c>
      <c r="Y66" s="211"/>
      <c r="Z66" s="340"/>
      <c r="AB66" s="394" t="b">
        <f t="shared" si="10"/>
        <v>0</v>
      </c>
      <c r="AG66" s="394"/>
      <c r="AH66" s="394"/>
      <c r="AI66" s="394"/>
      <c r="AJ66" s="394"/>
      <c r="AK66" s="394"/>
      <c r="AL66" s="394"/>
      <c r="AM66" s="394"/>
      <c r="AN66" s="394"/>
      <c r="AO66" s="394"/>
      <c r="AP66" s="394"/>
      <c r="AQ66" s="394"/>
      <c r="AR66" s="394"/>
      <c r="AS66" s="394"/>
      <c r="AT66" s="394"/>
      <c r="AU66" s="394"/>
      <c r="AV66" s="394"/>
    </row>
    <row r="67" spans="1:48" ht="25" customHeight="1">
      <c r="A67" s="313">
        <v>54</v>
      </c>
      <c r="B67" s="206">
        <f>'Overzicht inhuurdesk'!B68</f>
        <v>0</v>
      </c>
      <c r="C67" s="206">
        <f>'Overzicht inhuurdesk'!C68</f>
        <v>0</v>
      </c>
      <c r="D67" s="207">
        <f>'Overzicht inhuurdesk'!D68</f>
        <v>0</v>
      </c>
      <c r="E67" s="208">
        <f>'Overzicht inhuurdesk'!J68</f>
        <v>0</v>
      </c>
      <c r="F67" s="445" t="str">
        <f t="shared" si="12"/>
        <v/>
      </c>
      <c r="G67" s="209" t="str">
        <f>IF(B67&gt;" ",IF('Overzicht inhuurdesk'!F68="Nee","Voldoet niet aan eisen  volgens opdrachtnemer","OK")," ")</f>
        <v xml:space="preserve"> </v>
      </c>
      <c r="H67" s="180"/>
      <c r="I67" s="210"/>
      <c r="J67" s="445" t="str">
        <f t="shared" si="13"/>
        <v/>
      </c>
      <c r="K67" s="210"/>
      <c r="L67" s="446" t="str">
        <f t="shared" si="14"/>
        <v/>
      </c>
      <c r="M67" s="210"/>
      <c r="N67" s="447" t="str">
        <f t="shared" si="15"/>
        <v/>
      </c>
      <c r="O67" s="444"/>
      <c r="P67" s="444" t="str">
        <f t="shared" si="16"/>
        <v/>
      </c>
      <c r="Q67" s="444"/>
      <c r="R67" s="444" t="str">
        <f t="shared" si="17"/>
        <v/>
      </c>
      <c r="S67" s="210"/>
      <c r="T67" s="444" t="str">
        <f t="shared" si="18"/>
        <v/>
      </c>
      <c r="U67" s="210"/>
      <c r="V67" s="444" t="str">
        <f t="shared" si="19"/>
        <v/>
      </c>
      <c r="W67" s="341" t="str">
        <f t="shared" si="20"/>
        <v/>
      </c>
      <c r="X67" s="479" t="str">
        <f t="shared" si="9"/>
        <v/>
      </c>
      <c r="Y67" s="211"/>
      <c r="Z67" s="340"/>
      <c r="AB67" s="394" t="b">
        <f t="shared" si="10"/>
        <v>0</v>
      </c>
      <c r="AG67" s="394"/>
      <c r="AH67" s="394"/>
      <c r="AI67" s="394"/>
      <c r="AJ67" s="394"/>
      <c r="AK67" s="394"/>
      <c r="AL67" s="394"/>
      <c r="AM67" s="394"/>
      <c r="AN67" s="394"/>
      <c r="AO67" s="394"/>
      <c r="AP67" s="394"/>
      <c r="AQ67" s="394"/>
      <c r="AR67" s="394"/>
      <c r="AS67" s="394"/>
      <c r="AT67" s="394"/>
      <c r="AU67" s="394"/>
      <c r="AV67" s="394"/>
    </row>
    <row r="68" spans="1:48" ht="25" customHeight="1">
      <c r="A68" s="313">
        <v>55</v>
      </c>
      <c r="B68" s="206">
        <f>'Overzicht inhuurdesk'!B69</f>
        <v>0</v>
      </c>
      <c r="C68" s="206">
        <f>'Overzicht inhuurdesk'!C69</f>
        <v>0</v>
      </c>
      <c r="D68" s="207">
        <f>'Overzicht inhuurdesk'!D69</f>
        <v>0</v>
      </c>
      <c r="E68" s="208">
        <f>'Overzicht inhuurdesk'!J69</f>
        <v>0</v>
      </c>
      <c r="F68" s="445" t="str">
        <f t="shared" si="12"/>
        <v/>
      </c>
      <c r="G68" s="209" t="str">
        <f>IF(B68&gt;" ",IF('Overzicht inhuurdesk'!F69="Nee","Voldoet niet aan eisen  volgens opdrachtnemer","OK")," ")</f>
        <v xml:space="preserve"> </v>
      </c>
      <c r="H68" s="180"/>
      <c r="I68" s="210"/>
      <c r="J68" s="445" t="str">
        <f t="shared" si="13"/>
        <v/>
      </c>
      <c r="K68" s="210"/>
      <c r="L68" s="446" t="str">
        <f t="shared" si="14"/>
        <v/>
      </c>
      <c r="M68" s="210"/>
      <c r="N68" s="447" t="str">
        <f t="shared" si="15"/>
        <v/>
      </c>
      <c r="O68" s="444"/>
      <c r="P68" s="444" t="str">
        <f t="shared" si="16"/>
        <v/>
      </c>
      <c r="Q68" s="444"/>
      <c r="R68" s="444" t="str">
        <f t="shared" si="17"/>
        <v/>
      </c>
      <c r="S68" s="210"/>
      <c r="T68" s="444" t="str">
        <f t="shared" si="18"/>
        <v/>
      </c>
      <c r="U68" s="210"/>
      <c r="V68" s="444" t="str">
        <f t="shared" si="19"/>
        <v/>
      </c>
      <c r="W68" s="341" t="str">
        <f t="shared" si="20"/>
        <v/>
      </c>
      <c r="X68" s="479" t="str">
        <f t="shared" si="9"/>
        <v/>
      </c>
      <c r="Y68" s="211"/>
      <c r="Z68" s="340"/>
      <c r="AB68" s="394" t="b">
        <f t="shared" si="10"/>
        <v>0</v>
      </c>
      <c r="AG68" s="394"/>
      <c r="AH68" s="394"/>
      <c r="AI68" s="394"/>
      <c r="AJ68" s="394"/>
      <c r="AK68" s="394"/>
      <c r="AL68" s="394"/>
      <c r="AM68" s="394"/>
      <c r="AN68" s="394"/>
      <c r="AO68" s="394"/>
      <c r="AP68" s="394"/>
      <c r="AQ68" s="394"/>
      <c r="AR68" s="394"/>
      <c r="AS68" s="394"/>
      <c r="AT68" s="394"/>
      <c r="AU68" s="394"/>
      <c r="AV68" s="394"/>
    </row>
    <row r="69" spans="1:48" ht="25" customHeight="1">
      <c r="A69" s="313">
        <v>56</v>
      </c>
      <c r="B69" s="206">
        <f>'Overzicht inhuurdesk'!B70</f>
        <v>0</v>
      </c>
      <c r="C69" s="206">
        <f>'Overzicht inhuurdesk'!C70</f>
        <v>0</v>
      </c>
      <c r="D69" s="207">
        <f>'Overzicht inhuurdesk'!D70</f>
        <v>0</v>
      </c>
      <c r="E69" s="208">
        <f>'Overzicht inhuurdesk'!J70</f>
        <v>0</v>
      </c>
      <c r="F69" s="445" t="str">
        <f t="shared" si="12"/>
        <v/>
      </c>
      <c r="G69" s="209" t="str">
        <f>IF(B69&gt;" ",IF('Overzicht inhuurdesk'!F70="Nee","Voldoet niet aan eisen  volgens opdrachtnemer","OK")," ")</f>
        <v xml:space="preserve"> </v>
      </c>
      <c r="H69" s="180"/>
      <c r="I69" s="210"/>
      <c r="J69" s="445" t="str">
        <f t="shared" si="13"/>
        <v/>
      </c>
      <c r="K69" s="210"/>
      <c r="L69" s="446" t="str">
        <f t="shared" si="14"/>
        <v/>
      </c>
      <c r="M69" s="210"/>
      <c r="N69" s="447" t="str">
        <f t="shared" si="15"/>
        <v/>
      </c>
      <c r="O69" s="444"/>
      <c r="P69" s="444" t="str">
        <f t="shared" si="16"/>
        <v/>
      </c>
      <c r="Q69" s="444"/>
      <c r="R69" s="444" t="str">
        <f t="shared" si="17"/>
        <v/>
      </c>
      <c r="S69" s="210"/>
      <c r="T69" s="444" t="str">
        <f t="shared" si="18"/>
        <v/>
      </c>
      <c r="U69" s="210"/>
      <c r="V69" s="444" t="str">
        <f t="shared" si="19"/>
        <v/>
      </c>
      <c r="W69" s="341" t="str">
        <f t="shared" si="20"/>
        <v/>
      </c>
      <c r="X69" s="479" t="str">
        <f t="shared" si="9"/>
        <v/>
      </c>
      <c r="Y69" s="211"/>
      <c r="Z69" s="340"/>
      <c r="AB69" s="394" t="b">
        <f t="shared" si="10"/>
        <v>0</v>
      </c>
      <c r="AG69" s="394"/>
      <c r="AH69" s="394"/>
      <c r="AI69" s="394"/>
      <c r="AJ69" s="394"/>
      <c r="AK69" s="394"/>
      <c r="AL69" s="394"/>
      <c r="AM69" s="394"/>
      <c r="AN69" s="394"/>
      <c r="AO69" s="394"/>
      <c r="AP69" s="394"/>
      <c r="AQ69" s="394"/>
      <c r="AR69" s="394"/>
      <c r="AS69" s="394"/>
      <c r="AT69" s="394"/>
      <c r="AU69" s="394"/>
      <c r="AV69" s="394"/>
    </row>
    <row r="70" spans="1:48" ht="25" customHeight="1">
      <c r="A70" s="313">
        <v>57</v>
      </c>
      <c r="B70" s="206">
        <f>'Overzicht inhuurdesk'!B71</f>
        <v>0</v>
      </c>
      <c r="C70" s="206">
        <f>'Overzicht inhuurdesk'!C71</f>
        <v>0</v>
      </c>
      <c r="D70" s="207">
        <f>'Overzicht inhuurdesk'!D71</f>
        <v>0</v>
      </c>
      <c r="E70" s="208">
        <f>'Overzicht inhuurdesk'!J71</f>
        <v>0</v>
      </c>
      <c r="F70" s="445" t="str">
        <f t="shared" si="12"/>
        <v/>
      </c>
      <c r="G70" s="209" t="str">
        <f>IF(B70&gt;" ",IF('Overzicht inhuurdesk'!F71="Nee","Voldoet niet aan eisen  volgens opdrachtnemer","OK")," ")</f>
        <v xml:space="preserve"> </v>
      </c>
      <c r="H70" s="180"/>
      <c r="I70" s="210"/>
      <c r="J70" s="445" t="str">
        <f t="shared" si="13"/>
        <v/>
      </c>
      <c r="K70" s="210"/>
      <c r="L70" s="446" t="str">
        <f t="shared" si="14"/>
        <v/>
      </c>
      <c r="M70" s="210"/>
      <c r="N70" s="447" t="str">
        <f t="shared" si="15"/>
        <v/>
      </c>
      <c r="O70" s="444"/>
      <c r="P70" s="444" t="str">
        <f t="shared" si="16"/>
        <v/>
      </c>
      <c r="Q70" s="444"/>
      <c r="R70" s="444" t="str">
        <f t="shared" si="17"/>
        <v/>
      </c>
      <c r="S70" s="210"/>
      <c r="T70" s="444" t="str">
        <f t="shared" si="18"/>
        <v/>
      </c>
      <c r="U70" s="210"/>
      <c r="V70" s="444" t="str">
        <f t="shared" si="19"/>
        <v/>
      </c>
      <c r="W70" s="341" t="str">
        <f t="shared" si="20"/>
        <v/>
      </c>
      <c r="X70" s="479" t="str">
        <f t="shared" si="9"/>
        <v/>
      </c>
      <c r="Y70" s="211"/>
      <c r="Z70" s="340"/>
      <c r="AB70" s="394" t="b">
        <f t="shared" si="10"/>
        <v>0</v>
      </c>
      <c r="AG70" s="394"/>
      <c r="AH70" s="394"/>
      <c r="AI70" s="394"/>
      <c r="AJ70" s="394"/>
      <c r="AK70" s="394"/>
      <c r="AL70" s="394"/>
      <c r="AM70" s="394"/>
      <c r="AN70" s="394"/>
      <c r="AO70" s="394"/>
      <c r="AP70" s="394"/>
      <c r="AQ70" s="394"/>
      <c r="AR70" s="394"/>
      <c r="AS70" s="394"/>
      <c r="AT70" s="394"/>
      <c r="AU70" s="394"/>
      <c r="AV70" s="394"/>
    </row>
    <row r="71" spans="1:48" ht="25" customHeight="1">
      <c r="A71" s="313">
        <v>58</v>
      </c>
      <c r="B71" s="206">
        <f>'Overzicht inhuurdesk'!B72</f>
        <v>0</v>
      </c>
      <c r="C71" s="206">
        <f>'Overzicht inhuurdesk'!C72</f>
        <v>0</v>
      </c>
      <c r="D71" s="207">
        <f>'Overzicht inhuurdesk'!D72</f>
        <v>0</v>
      </c>
      <c r="E71" s="208">
        <f>'Overzicht inhuurdesk'!J72</f>
        <v>0</v>
      </c>
      <c r="F71" s="445" t="str">
        <f t="shared" si="12"/>
        <v/>
      </c>
      <c r="G71" s="209" t="str">
        <f>IF(B71&gt;" ",IF('Overzicht inhuurdesk'!F72="Nee","Voldoet niet aan eisen  volgens opdrachtnemer","OK")," ")</f>
        <v xml:space="preserve"> </v>
      </c>
      <c r="H71" s="180"/>
      <c r="I71" s="210"/>
      <c r="J71" s="445" t="str">
        <f t="shared" si="13"/>
        <v/>
      </c>
      <c r="K71" s="210"/>
      <c r="L71" s="446" t="str">
        <f t="shared" si="14"/>
        <v/>
      </c>
      <c r="M71" s="210"/>
      <c r="N71" s="447" t="str">
        <f t="shared" si="15"/>
        <v/>
      </c>
      <c r="O71" s="444"/>
      <c r="P71" s="444" t="str">
        <f t="shared" si="16"/>
        <v/>
      </c>
      <c r="Q71" s="444"/>
      <c r="R71" s="444" t="str">
        <f t="shared" si="17"/>
        <v/>
      </c>
      <c r="S71" s="210"/>
      <c r="T71" s="444" t="str">
        <f t="shared" si="18"/>
        <v/>
      </c>
      <c r="U71" s="210"/>
      <c r="V71" s="444" t="str">
        <f t="shared" si="19"/>
        <v/>
      </c>
      <c r="W71" s="341" t="str">
        <f t="shared" si="20"/>
        <v/>
      </c>
      <c r="X71" s="479" t="str">
        <f t="shared" si="9"/>
        <v/>
      </c>
      <c r="Y71" s="211"/>
      <c r="Z71" s="340"/>
      <c r="AB71" s="394" t="b">
        <f t="shared" si="10"/>
        <v>0</v>
      </c>
      <c r="AG71" s="394"/>
      <c r="AH71" s="394"/>
      <c r="AI71" s="394"/>
      <c r="AJ71" s="394"/>
      <c r="AK71" s="394"/>
      <c r="AL71" s="394"/>
      <c r="AM71" s="394"/>
      <c r="AN71" s="394"/>
      <c r="AO71" s="394"/>
      <c r="AP71" s="394"/>
      <c r="AQ71" s="394"/>
      <c r="AR71" s="394"/>
      <c r="AS71" s="394"/>
      <c r="AT71" s="394"/>
      <c r="AU71" s="394"/>
      <c r="AV71" s="394"/>
    </row>
    <row r="72" spans="1:48" ht="25" customHeight="1">
      <c r="A72" s="313">
        <v>59</v>
      </c>
      <c r="B72" s="206">
        <f>'Overzicht inhuurdesk'!B73</f>
        <v>0</v>
      </c>
      <c r="C72" s="206">
        <f>'Overzicht inhuurdesk'!C73</f>
        <v>0</v>
      </c>
      <c r="D72" s="207">
        <f>'Overzicht inhuurdesk'!D73</f>
        <v>0</v>
      </c>
      <c r="E72" s="208">
        <f>'Overzicht inhuurdesk'!J73</f>
        <v>0</v>
      </c>
      <c r="F72" s="445" t="str">
        <f t="shared" si="12"/>
        <v/>
      </c>
      <c r="G72" s="209" t="str">
        <f>IF(B72&gt;" ",IF('Overzicht inhuurdesk'!F73="Nee","Voldoet niet aan eisen  volgens opdrachtnemer","OK")," ")</f>
        <v xml:space="preserve"> </v>
      </c>
      <c r="H72" s="180"/>
      <c r="I72" s="210"/>
      <c r="J72" s="445" t="str">
        <f t="shared" si="13"/>
        <v/>
      </c>
      <c r="K72" s="210"/>
      <c r="L72" s="446" t="str">
        <f t="shared" si="14"/>
        <v/>
      </c>
      <c r="M72" s="210"/>
      <c r="N72" s="447" t="str">
        <f t="shared" si="15"/>
        <v/>
      </c>
      <c r="O72" s="444"/>
      <c r="P72" s="444" t="str">
        <f t="shared" si="16"/>
        <v/>
      </c>
      <c r="Q72" s="444"/>
      <c r="R72" s="444" t="str">
        <f t="shared" si="17"/>
        <v/>
      </c>
      <c r="S72" s="210"/>
      <c r="T72" s="444" t="str">
        <f t="shared" si="18"/>
        <v/>
      </c>
      <c r="U72" s="210"/>
      <c r="V72" s="444" t="str">
        <f t="shared" si="19"/>
        <v/>
      </c>
      <c r="W72" s="341" t="str">
        <f t="shared" si="20"/>
        <v/>
      </c>
      <c r="X72" s="479" t="str">
        <f t="shared" si="9"/>
        <v/>
      </c>
      <c r="Y72" s="211"/>
      <c r="Z72" s="340"/>
      <c r="AB72" s="394" t="b">
        <f t="shared" si="10"/>
        <v>0</v>
      </c>
      <c r="AG72" s="394"/>
      <c r="AH72" s="394"/>
      <c r="AI72" s="394"/>
      <c r="AJ72" s="394"/>
      <c r="AK72" s="394"/>
      <c r="AL72" s="394"/>
      <c r="AM72" s="394"/>
      <c r="AN72" s="394"/>
      <c r="AO72" s="394"/>
      <c r="AP72" s="394"/>
      <c r="AQ72" s="394"/>
      <c r="AR72" s="394"/>
      <c r="AS72" s="394"/>
      <c r="AT72" s="394"/>
      <c r="AU72" s="394"/>
      <c r="AV72" s="394"/>
    </row>
    <row r="73" spans="1:48" ht="25" customHeight="1">
      <c r="A73" s="313">
        <v>60</v>
      </c>
      <c r="B73" s="206">
        <f>'Overzicht inhuurdesk'!B74</f>
        <v>0</v>
      </c>
      <c r="C73" s="206">
        <f>'Overzicht inhuurdesk'!C74</f>
        <v>0</v>
      </c>
      <c r="D73" s="207">
        <f>'Overzicht inhuurdesk'!D74</f>
        <v>0</v>
      </c>
      <c r="E73" s="208">
        <f>'Overzicht inhuurdesk'!J74</f>
        <v>0</v>
      </c>
      <c r="F73" s="445" t="str">
        <f t="shared" si="12"/>
        <v/>
      </c>
      <c r="G73" s="209" t="str">
        <f>IF(B73&gt;" ",IF('Overzicht inhuurdesk'!F74="Nee","Voldoet niet aan eisen  volgens opdrachtnemer","OK")," ")</f>
        <v xml:space="preserve"> </v>
      </c>
      <c r="H73" s="180"/>
      <c r="I73" s="210"/>
      <c r="J73" s="445" t="str">
        <f t="shared" si="13"/>
        <v/>
      </c>
      <c r="K73" s="210"/>
      <c r="L73" s="446" t="str">
        <f t="shared" si="14"/>
        <v/>
      </c>
      <c r="M73" s="210"/>
      <c r="N73" s="447" t="str">
        <f t="shared" si="15"/>
        <v/>
      </c>
      <c r="O73" s="444"/>
      <c r="P73" s="444" t="str">
        <f t="shared" si="16"/>
        <v/>
      </c>
      <c r="Q73" s="444"/>
      <c r="R73" s="444" t="str">
        <f t="shared" si="17"/>
        <v/>
      </c>
      <c r="S73" s="210"/>
      <c r="T73" s="444" t="str">
        <f t="shared" si="18"/>
        <v/>
      </c>
      <c r="U73" s="210"/>
      <c r="V73" s="444" t="str">
        <f t="shared" si="19"/>
        <v/>
      </c>
      <c r="W73" s="341" t="str">
        <f t="shared" si="20"/>
        <v/>
      </c>
      <c r="X73" s="479" t="str">
        <f t="shared" si="9"/>
        <v/>
      </c>
      <c r="Y73" s="211"/>
      <c r="Z73" s="340"/>
      <c r="AB73" s="394" t="b">
        <f t="shared" si="10"/>
        <v>0</v>
      </c>
      <c r="AG73" s="394"/>
      <c r="AH73" s="394"/>
      <c r="AI73" s="394"/>
      <c r="AJ73" s="394"/>
      <c r="AK73" s="394"/>
      <c r="AL73" s="394"/>
      <c r="AM73" s="394"/>
      <c r="AN73" s="394"/>
      <c r="AO73" s="394"/>
      <c r="AP73" s="394"/>
      <c r="AQ73" s="394"/>
      <c r="AR73" s="394"/>
      <c r="AS73" s="394"/>
      <c r="AT73" s="394"/>
      <c r="AU73" s="394"/>
      <c r="AV73" s="394"/>
    </row>
    <row r="74" spans="1:48" ht="25" customHeight="1">
      <c r="A74" s="313">
        <v>61</v>
      </c>
      <c r="B74" s="206">
        <f>'Overzicht inhuurdesk'!B75</f>
        <v>0</v>
      </c>
      <c r="C74" s="206">
        <f>'Overzicht inhuurdesk'!C75</f>
        <v>0</v>
      </c>
      <c r="D74" s="207">
        <f>'Overzicht inhuurdesk'!D75</f>
        <v>0</v>
      </c>
      <c r="E74" s="208">
        <f>'Overzicht inhuurdesk'!J75</f>
        <v>0</v>
      </c>
      <c r="F74" s="445" t="str">
        <f t="shared" si="12"/>
        <v/>
      </c>
      <c r="G74" s="209" t="str">
        <f>IF(B74&gt;" ",IF('Overzicht inhuurdesk'!F75="Nee","Voldoet niet aan eisen  volgens opdrachtnemer","OK")," ")</f>
        <v xml:space="preserve"> </v>
      </c>
      <c r="H74" s="180"/>
      <c r="I74" s="210"/>
      <c r="J74" s="445" t="str">
        <f t="shared" si="13"/>
        <v/>
      </c>
      <c r="K74" s="210"/>
      <c r="L74" s="446" t="str">
        <f t="shared" si="14"/>
        <v/>
      </c>
      <c r="M74" s="210"/>
      <c r="N74" s="447" t="str">
        <f t="shared" si="15"/>
        <v/>
      </c>
      <c r="O74" s="444"/>
      <c r="P74" s="444" t="str">
        <f t="shared" si="16"/>
        <v/>
      </c>
      <c r="Q74" s="444"/>
      <c r="R74" s="444" t="str">
        <f t="shared" si="17"/>
        <v/>
      </c>
      <c r="S74" s="210"/>
      <c r="T74" s="444" t="str">
        <f t="shared" si="18"/>
        <v/>
      </c>
      <c r="U74" s="210"/>
      <c r="V74" s="444" t="str">
        <f t="shared" si="19"/>
        <v/>
      </c>
      <c r="W74" s="341" t="str">
        <f t="shared" si="20"/>
        <v/>
      </c>
      <c r="X74" s="479" t="str">
        <f t="shared" si="9"/>
        <v/>
      </c>
      <c r="Y74" s="211"/>
      <c r="Z74" s="340"/>
      <c r="AB74" s="394" t="b">
        <f t="shared" si="10"/>
        <v>0</v>
      </c>
      <c r="AG74" s="394"/>
      <c r="AH74" s="394"/>
      <c r="AI74" s="394"/>
      <c r="AJ74" s="394"/>
      <c r="AK74" s="394"/>
      <c r="AL74" s="394"/>
      <c r="AM74" s="394"/>
      <c r="AN74" s="394"/>
      <c r="AO74" s="394"/>
      <c r="AP74" s="394"/>
      <c r="AQ74" s="394"/>
      <c r="AR74" s="394"/>
      <c r="AS74" s="394"/>
      <c r="AT74" s="394"/>
      <c r="AU74" s="394"/>
      <c r="AV74" s="394"/>
    </row>
    <row r="75" spans="1:48" ht="25" customHeight="1">
      <c r="A75" s="313">
        <v>62</v>
      </c>
      <c r="B75" s="206">
        <f>'Overzicht inhuurdesk'!B76</f>
        <v>0</v>
      </c>
      <c r="C75" s="206">
        <f>'Overzicht inhuurdesk'!C76</f>
        <v>0</v>
      </c>
      <c r="D75" s="207">
        <f>'Overzicht inhuurdesk'!D76</f>
        <v>0</v>
      </c>
      <c r="E75" s="208">
        <f>'Overzicht inhuurdesk'!J76</f>
        <v>0</v>
      </c>
      <c r="F75" s="445" t="str">
        <f t="shared" si="12"/>
        <v/>
      </c>
      <c r="G75" s="209" t="str">
        <f>IF(B75&gt;" ",IF('Overzicht inhuurdesk'!F76="Nee","Voldoet niet aan eisen  volgens opdrachtnemer","OK")," ")</f>
        <v xml:space="preserve"> </v>
      </c>
      <c r="H75" s="180"/>
      <c r="I75" s="210"/>
      <c r="J75" s="445" t="str">
        <f t="shared" si="13"/>
        <v/>
      </c>
      <c r="K75" s="210"/>
      <c r="L75" s="446" t="str">
        <f t="shared" si="14"/>
        <v/>
      </c>
      <c r="M75" s="210"/>
      <c r="N75" s="447" t="str">
        <f t="shared" si="15"/>
        <v/>
      </c>
      <c r="O75" s="444"/>
      <c r="P75" s="444" t="str">
        <f t="shared" si="16"/>
        <v/>
      </c>
      <c r="Q75" s="444"/>
      <c r="R75" s="444" t="str">
        <f t="shared" si="17"/>
        <v/>
      </c>
      <c r="S75" s="210"/>
      <c r="T75" s="444" t="str">
        <f t="shared" si="18"/>
        <v/>
      </c>
      <c r="U75" s="210"/>
      <c r="V75" s="444" t="str">
        <f t="shared" si="19"/>
        <v/>
      </c>
      <c r="W75" s="341" t="str">
        <f t="shared" si="20"/>
        <v/>
      </c>
      <c r="X75" s="479" t="str">
        <f t="shared" si="9"/>
        <v/>
      </c>
      <c r="Y75" s="211"/>
      <c r="Z75" s="340"/>
      <c r="AB75" s="394" t="b">
        <f t="shared" si="10"/>
        <v>0</v>
      </c>
      <c r="AG75" s="394"/>
      <c r="AH75" s="394"/>
      <c r="AI75" s="394"/>
      <c r="AJ75" s="394"/>
      <c r="AK75" s="394"/>
      <c r="AL75" s="394"/>
      <c r="AM75" s="394"/>
      <c r="AN75" s="394"/>
      <c r="AO75" s="394"/>
      <c r="AP75" s="394"/>
      <c r="AQ75" s="394"/>
      <c r="AR75" s="394"/>
      <c r="AS75" s="394"/>
      <c r="AT75" s="394"/>
      <c r="AU75" s="394"/>
      <c r="AV75" s="394"/>
    </row>
    <row r="76" spans="1:48" ht="25" customHeight="1">
      <c r="A76" s="313">
        <v>63</v>
      </c>
      <c r="B76" s="206">
        <f>'Overzicht inhuurdesk'!B77</f>
        <v>0</v>
      </c>
      <c r="C76" s="206">
        <f>'Overzicht inhuurdesk'!C77</f>
        <v>0</v>
      </c>
      <c r="D76" s="207">
        <f>'Overzicht inhuurdesk'!D77</f>
        <v>0</v>
      </c>
      <c r="E76" s="208">
        <f>'Overzicht inhuurdesk'!J77</f>
        <v>0</v>
      </c>
      <c r="F76" s="445" t="str">
        <f t="shared" si="12"/>
        <v/>
      </c>
      <c r="G76" s="209" t="str">
        <f>IF(B76&gt;" ",IF('Overzicht inhuurdesk'!F77="Nee","Voldoet niet aan eisen  volgens opdrachtnemer","OK")," ")</f>
        <v xml:space="preserve"> </v>
      </c>
      <c r="H76" s="180"/>
      <c r="I76" s="210"/>
      <c r="J76" s="445" t="str">
        <f t="shared" si="13"/>
        <v/>
      </c>
      <c r="K76" s="210"/>
      <c r="L76" s="446" t="str">
        <f t="shared" si="14"/>
        <v/>
      </c>
      <c r="M76" s="210"/>
      <c r="N76" s="447" t="str">
        <f t="shared" si="15"/>
        <v/>
      </c>
      <c r="O76" s="444"/>
      <c r="P76" s="444" t="str">
        <f t="shared" si="16"/>
        <v/>
      </c>
      <c r="Q76" s="444"/>
      <c r="R76" s="444" t="str">
        <f t="shared" si="17"/>
        <v/>
      </c>
      <c r="S76" s="210"/>
      <c r="T76" s="444" t="str">
        <f t="shared" si="18"/>
        <v/>
      </c>
      <c r="U76" s="210"/>
      <c r="V76" s="444" t="str">
        <f t="shared" si="19"/>
        <v/>
      </c>
      <c r="W76" s="341" t="str">
        <f t="shared" si="20"/>
        <v/>
      </c>
      <c r="X76" s="479" t="str">
        <f t="shared" si="9"/>
        <v/>
      </c>
      <c r="Y76" s="211"/>
      <c r="Z76" s="340"/>
      <c r="AB76" s="394" t="b">
        <f t="shared" si="10"/>
        <v>0</v>
      </c>
      <c r="AG76" s="394"/>
      <c r="AH76" s="394"/>
      <c r="AI76" s="394"/>
      <c r="AJ76" s="394"/>
      <c r="AK76" s="394"/>
      <c r="AL76" s="394"/>
      <c r="AM76" s="394"/>
      <c r="AN76" s="394"/>
      <c r="AO76" s="394"/>
      <c r="AP76" s="394"/>
      <c r="AQ76" s="394"/>
      <c r="AR76" s="394"/>
      <c r="AS76" s="394"/>
      <c r="AT76" s="394"/>
      <c r="AU76" s="394"/>
      <c r="AV76" s="394"/>
    </row>
    <row r="77" spans="1:48" ht="25" customHeight="1">
      <c r="A77" s="313">
        <v>64</v>
      </c>
      <c r="B77" s="206">
        <f>'Overzicht inhuurdesk'!B78</f>
        <v>0</v>
      </c>
      <c r="C77" s="206">
        <f>'Overzicht inhuurdesk'!C78</f>
        <v>0</v>
      </c>
      <c r="D77" s="207">
        <f>'Overzicht inhuurdesk'!D78</f>
        <v>0</v>
      </c>
      <c r="E77" s="208">
        <f>'Overzicht inhuurdesk'!J78</f>
        <v>0</v>
      </c>
      <c r="F77" s="445" t="str">
        <f t="shared" si="12"/>
        <v/>
      </c>
      <c r="G77" s="209" t="str">
        <f>IF(B77&gt;" ",IF('Overzicht inhuurdesk'!F78="Nee","Voldoet niet aan eisen  volgens opdrachtnemer","OK")," ")</f>
        <v xml:space="preserve"> </v>
      </c>
      <c r="H77" s="180"/>
      <c r="I77" s="210"/>
      <c r="J77" s="445" t="str">
        <f t="shared" si="13"/>
        <v/>
      </c>
      <c r="K77" s="210"/>
      <c r="L77" s="446" t="str">
        <f t="shared" si="14"/>
        <v/>
      </c>
      <c r="M77" s="210"/>
      <c r="N77" s="447" t="str">
        <f t="shared" si="15"/>
        <v/>
      </c>
      <c r="O77" s="444"/>
      <c r="P77" s="444" t="str">
        <f t="shared" si="16"/>
        <v/>
      </c>
      <c r="Q77" s="444"/>
      <c r="R77" s="444" t="str">
        <f t="shared" si="17"/>
        <v/>
      </c>
      <c r="S77" s="210"/>
      <c r="T77" s="444" t="str">
        <f t="shared" si="18"/>
        <v/>
      </c>
      <c r="U77" s="210"/>
      <c r="V77" s="444" t="str">
        <f t="shared" si="19"/>
        <v/>
      </c>
      <c r="W77" s="341" t="str">
        <f t="shared" si="20"/>
        <v/>
      </c>
      <c r="X77" s="479" t="str">
        <f t="shared" si="9"/>
        <v/>
      </c>
      <c r="Y77" s="211"/>
      <c r="Z77" s="340"/>
      <c r="AB77" s="394" t="b">
        <f t="shared" si="10"/>
        <v>0</v>
      </c>
      <c r="AG77" s="394"/>
      <c r="AH77" s="394"/>
      <c r="AI77" s="394"/>
      <c r="AJ77" s="394"/>
      <c r="AK77" s="394"/>
      <c r="AL77" s="394"/>
      <c r="AM77" s="394"/>
      <c r="AN77" s="394"/>
      <c r="AO77" s="394"/>
      <c r="AP77" s="394"/>
      <c r="AQ77" s="394"/>
      <c r="AR77" s="394"/>
      <c r="AS77" s="394"/>
      <c r="AT77" s="394"/>
      <c r="AU77" s="394"/>
      <c r="AV77" s="394"/>
    </row>
    <row r="78" spans="1:48" ht="25" customHeight="1">
      <c r="A78" s="313">
        <v>65</v>
      </c>
      <c r="B78" s="206">
        <f>'Overzicht inhuurdesk'!B79</f>
        <v>0</v>
      </c>
      <c r="C78" s="206">
        <f>'Overzicht inhuurdesk'!C79</f>
        <v>0</v>
      </c>
      <c r="D78" s="207">
        <f>'Overzicht inhuurdesk'!D79</f>
        <v>0</v>
      </c>
      <c r="E78" s="208">
        <f>'Overzicht inhuurdesk'!J79</f>
        <v>0</v>
      </c>
      <c r="F78" s="445" t="str">
        <f t="shared" si="12"/>
        <v/>
      </c>
      <c r="G78" s="209" t="str">
        <f>IF(B78&gt;" ",IF('Overzicht inhuurdesk'!F79="Nee","Voldoet niet aan eisen  volgens opdrachtnemer","OK")," ")</f>
        <v xml:space="preserve"> </v>
      </c>
      <c r="H78" s="180"/>
      <c r="I78" s="210"/>
      <c r="J78" s="445" t="str">
        <f t="shared" si="13"/>
        <v/>
      </c>
      <c r="K78" s="210"/>
      <c r="L78" s="446" t="str">
        <f t="shared" si="14"/>
        <v/>
      </c>
      <c r="M78" s="210"/>
      <c r="N78" s="447" t="str">
        <f t="shared" si="15"/>
        <v/>
      </c>
      <c r="O78" s="444"/>
      <c r="P78" s="444" t="str">
        <f t="shared" si="16"/>
        <v/>
      </c>
      <c r="Q78" s="444"/>
      <c r="R78" s="444" t="str">
        <f t="shared" si="17"/>
        <v/>
      </c>
      <c r="S78" s="210"/>
      <c r="T78" s="444" t="str">
        <f t="shared" si="18"/>
        <v/>
      </c>
      <c r="U78" s="210"/>
      <c r="V78" s="444" t="str">
        <f t="shared" si="19"/>
        <v/>
      </c>
      <c r="W78" s="341" t="str">
        <f t="shared" si="20"/>
        <v/>
      </c>
      <c r="X78" s="479" t="str">
        <f t="shared" si="9"/>
        <v/>
      </c>
      <c r="Y78" s="211"/>
      <c r="Z78" s="340"/>
      <c r="AB78" s="394" t="b">
        <f t="shared" si="10"/>
        <v>0</v>
      </c>
      <c r="AG78" s="394"/>
      <c r="AH78" s="394"/>
      <c r="AI78" s="394"/>
      <c r="AJ78" s="394"/>
      <c r="AK78" s="394"/>
      <c r="AL78" s="394"/>
      <c r="AM78" s="394"/>
      <c r="AN78" s="394"/>
      <c r="AO78" s="394"/>
      <c r="AP78" s="394"/>
      <c r="AQ78" s="394"/>
      <c r="AR78" s="394"/>
      <c r="AS78" s="394"/>
      <c r="AT78" s="394"/>
      <c r="AU78" s="394"/>
      <c r="AV78" s="394"/>
    </row>
    <row r="79" spans="1:48" ht="25" customHeight="1">
      <c r="A79" s="313">
        <v>66</v>
      </c>
      <c r="B79" s="206">
        <f>'Overzicht inhuurdesk'!B80</f>
        <v>0</v>
      </c>
      <c r="C79" s="206">
        <f>'Overzicht inhuurdesk'!C80</f>
        <v>0</v>
      </c>
      <c r="D79" s="207">
        <f>'Overzicht inhuurdesk'!D80</f>
        <v>0</v>
      </c>
      <c r="E79" s="208">
        <f>'Overzicht inhuurdesk'!J80</f>
        <v>0</v>
      </c>
      <c r="F79" s="445" t="str">
        <f t="shared" si="12"/>
        <v/>
      </c>
      <c r="G79" s="209" t="str">
        <f>IF(B79&gt;" ",IF('Overzicht inhuurdesk'!F80="Nee","Voldoet niet aan eisen  volgens opdrachtnemer","OK")," ")</f>
        <v xml:space="preserve"> </v>
      </c>
      <c r="H79" s="180"/>
      <c r="I79" s="210"/>
      <c r="J79" s="445" t="str">
        <f t="shared" si="13"/>
        <v/>
      </c>
      <c r="K79" s="210"/>
      <c r="L79" s="446" t="str">
        <f t="shared" si="14"/>
        <v/>
      </c>
      <c r="M79" s="210"/>
      <c r="N79" s="447" t="str">
        <f t="shared" si="15"/>
        <v/>
      </c>
      <c r="O79" s="444"/>
      <c r="P79" s="444" t="str">
        <f t="shared" si="16"/>
        <v/>
      </c>
      <c r="Q79" s="444"/>
      <c r="R79" s="444" t="str">
        <f t="shared" si="17"/>
        <v/>
      </c>
      <c r="S79" s="210"/>
      <c r="T79" s="444" t="str">
        <f t="shared" si="18"/>
        <v/>
      </c>
      <c r="U79" s="210"/>
      <c r="V79" s="444" t="str">
        <f t="shared" si="19"/>
        <v/>
      </c>
      <c r="W79" s="341" t="str">
        <f t="shared" si="20"/>
        <v/>
      </c>
      <c r="X79" s="479" t="str">
        <f t="shared" ref="X79:X101" si="21">IF(AND($B79&gt;"",$H79="Ja"),W79-F79,"")</f>
        <v/>
      </c>
      <c r="Y79" s="211"/>
      <c r="Z79" s="340"/>
      <c r="AB79" s="394" t="b">
        <f t="shared" si="10"/>
        <v>0</v>
      </c>
      <c r="AG79" s="394"/>
      <c r="AH79" s="394"/>
      <c r="AI79" s="394"/>
      <c r="AJ79" s="394"/>
      <c r="AK79" s="394"/>
      <c r="AL79" s="394"/>
      <c r="AM79" s="394"/>
      <c r="AN79" s="394"/>
      <c r="AO79" s="394"/>
      <c r="AP79" s="394"/>
      <c r="AQ79" s="394"/>
      <c r="AR79" s="394"/>
      <c r="AS79" s="394"/>
      <c r="AT79" s="394"/>
      <c r="AU79" s="394"/>
      <c r="AV79" s="394"/>
    </row>
    <row r="80" spans="1:48" ht="25" customHeight="1">
      <c r="A80" s="313">
        <v>67</v>
      </c>
      <c r="B80" s="206">
        <f>'Overzicht inhuurdesk'!B81</f>
        <v>0</v>
      </c>
      <c r="C80" s="206">
        <f>'Overzicht inhuurdesk'!C81</f>
        <v>0</v>
      </c>
      <c r="D80" s="207">
        <f>'Overzicht inhuurdesk'!D81</f>
        <v>0</v>
      </c>
      <c r="E80" s="208">
        <f>'Overzicht inhuurdesk'!J81</f>
        <v>0</v>
      </c>
      <c r="F80" s="445" t="str">
        <f t="shared" si="12"/>
        <v/>
      </c>
      <c r="G80" s="209" t="str">
        <f>IF(B80&gt;" ",IF('Overzicht inhuurdesk'!F81="Nee","Voldoet niet aan eisen  volgens opdrachtnemer","OK")," ")</f>
        <v xml:space="preserve"> </v>
      </c>
      <c r="H80" s="180"/>
      <c r="I80" s="210"/>
      <c r="J80" s="445" t="str">
        <f t="shared" si="13"/>
        <v/>
      </c>
      <c r="K80" s="210"/>
      <c r="L80" s="446" t="str">
        <f t="shared" si="14"/>
        <v/>
      </c>
      <c r="M80" s="210"/>
      <c r="N80" s="447" t="str">
        <f t="shared" si="15"/>
        <v/>
      </c>
      <c r="O80" s="444"/>
      <c r="P80" s="444" t="str">
        <f t="shared" si="16"/>
        <v/>
      </c>
      <c r="Q80" s="444"/>
      <c r="R80" s="444" t="str">
        <f t="shared" si="17"/>
        <v/>
      </c>
      <c r="S80" s="210"/>
      <c r="T80" s="444" t="str">
        <f t="shared" si="18"/>
        <v/>
      </c>
      <c r="U80" s="210"/>
      <c r="V80" s="444" t="str">
        <f t="shared" si="19"/>
        <v/>
      </c>
      <c r="W80" s="341" t="str">
        <f t="shared" si="20"/>
        <v/>
      </c>
      <c r="X80" s="479" t="str">
        <f t="shared" si="21"/>
        <v/>
      </c>
      <c r="Y80" s="211"/>
      <c r="Z80" s="340"/>
      <c r="AB80" s="394" t="b">
        <f t="shared" si="10"/>
        <v>0</v>
      </c>
      <c r="AG80" s="394"/>
      <c r="AH80" s="394"/>
      <c r="AI80" s="394"/>
      <c r="AJ80" s="394"/>
      <c r="AK80" s="394"/>
      <c r="AL80" s="394"/>
      <c r="AM80" s="394"/>
      <c r="AN80" s="394"/>
      <c r="AO80" s="394"/>
      <c r="AP80" s="394"/>
      <c r="AQ80" s="394"/>
      <c r="AR80" s="394"/>
      <c r="AS80" s="394"/>
      <c r="AT80" s="394"/>
      <c r="AU80" s="394"/>
      <c r="AV80" s="394"/>
    </row>
    <row r="81" spans="1:48" ht="25" customHeight="1">
      <c r="A81" s="313">
        <v>68</v>
      </c>
      <c r="B81" s="206">
        <f>'Overzicht inhuurdesk'!B82</f>
        <v>0</v>
      </c>
      <c r="C81" s="206">
        <f>'Overzicht inhuurdesk'!C82</f>
        <v>0</v>
      </c>
      <c r="D81" s="207">
        <f>'Overzicht inhuurdesk'!D82</f>
        <v>0</v>
      </c>
      <c r="E81" s="208">
        <f>'Overzicht inhuurdesk'!J82</f>
        <v>0</v>
      </c>
      <c r="F81" s="445" t="str">
        <f t="shared" si="12"/>
        <v/>
      </c>
      <c r="G81" s="209" t="str">
        <f>IF(B81&gt;" ",IF('Overzicht inhuurdesk'!F82="Nee","Voldoet niet aan eisen  volgens opdrachtnemer","OK")," ")</f>
        <v xml:space="preserve"> </v>
      </c>
      <c r="H81" s="180"/>
      <c r="I81" s="210"/>
      <c r="J81" s="445" t="str">
        <f t="shared" si="13"/>
        <v/>
      </c>
      <c r="K81" s="210"/>
      <c r="L81" s="446" t="str">
        <f t="shared" si="14"/>
        <v/>
      </c>
      <c r="M81" s="210"/>
      <c r="N81" s="447" t="str">
        <f t="shared" si="15"/>
        <v/>
      </c>
      <c r="O81" s="444"/>
      <c r="P81" s="444" t="str">
        <f t="shared" si="16"/>
        <v/>
      </c>
      <c r="Q81" s="444"/>
      <c r="R81" s="444" t="str">
        <f t="shared" si="17"/>
        <v/>
      </c>
      <c r="S81" s="210"/>
      <c r="T81" s="444" t="str">
        <f t="shared" si="18"/>
        <v/>
      </c>
      <c r="U81" s="210"/>
      <c r="V81" s="444" t="str">
        <f t="shared" si="19"/>
        <v/>
      </c>
      <c r="W81" s="341" t="str">
        <f t="shared" si="20"/>
        <v/>
      </c>
      <c r="X81" s="479" t="str">
        <f t="shared" si="21"/>
        <v/>
      </c>
      <c r="Y81" s="211"/>
      <c r="Z81" s="340"/>
      <c r="AB81" s="394" t="b">
        <f t="shared" si="10"/>
        <v>0</v>
      </c>
      <c r="AG81" s="394"/>
      <c r="AH81" s="394"/>
      <c r="AI81" s="394"/>
      <c r="AJ81" s="394"/>
      <c r="AK81" s="394"/>
      <c r="AL81" s="394"/>
      <c r="AM81" s="394"/>
      <c r="AN81" s="394"/>
      <c r="AO81" s="394"/>
      <c r="AP81" s="394"/>
      <c r="AQ81" s="394"/>
      <c r="AR81" s="394"/>
      <c r="AS81" s="394"/>
      <c r="AT81" s="394"/>
      <c r="AU81" s="394"/>
      <c r="AV81" s="394"/>
    </row>
    <row r="82" spans="1:48" ht="25" customHeight="1">
      <c r="A82" s="313">
        <v>69</v>
      </c>
      <c r="B82" s="206">
        <f>'Overzicht inhuurdesk'!B83</f>
        <v>0</v>
      </c>
      <c r="C82" s="206">
        <f>'Overzicht inhuurdesk'!C83</f>
        <v>0</v>
      </c>
      <c r="D82" s="207">
        <f>'Overzicht inhuurdesk'!D83</f>
        <v>0</v>
      </c>
      <c r="E82" s="208">
        <f>'Overzicht inhuurdesk'!J83</f>
        <v>0</v>
      </c>
      <c r="F82" s="445" t="str">
        <f t="shared" si="12"/>
        <v/>
      </c>
      <c r="G82" s="209" t="str">
        <f>IF(B82&gt;" ",IF('Overzicht inhuurdesk'!F83="Nee","Voldoet niet aan eisen  volgens opdrachtnemer","OK")," ")</f>
        <v xml:space="preserve"> </v>
      </c>
      <c r="H82" s="180"/>
      <c r="I82" s="210"/>
      <c r="J82" s="445" t="str">
        <f t="shared" si="13"/>
        <v/>
      </c>
      <c r="K82" s="210"/>
      <c r="L82" s="446" t="str">
        <f t="shared" si="14"/>
        <v/>
      </c>
      <c r="M82" s="210"/>
      <c r="N82" s="447" t="str">
        <f t="shared" si="15"/>
        <v/>
      </c>
      <c r="O82" s="444"/>
      <c r="P82" s="444" t="str">
        <f t="shared" si="16"/>
        <v/>
      </c>
      <c r="Q82" s="444"/>
      <c r="R82" s="444" t="str">
        <f t="shared" si="17"/>
        <v/>
      </c>
      <c r="S82" s="210"/>
      <c r="T82" s="444" t="str">
        <f t="shared" si="18"/>
        <v/>
      </c>
      <c r="U82" s="210"/>
      <c r="V82" s="444" t="str">
        <f t="shared" si="19"/>
        <v/>
      </c>
      <c r="W82" s="341" t="str">
        <f t="shared" si="20"/>
        <v/>
      </c>
      <c r="X82" s="479" t="str">
        <f t="shared" si="21"/>
        <v/>
      </c>
      <c r="Y82" s="211"/>
      <c r="Z82" s="340"/>
      <c r="AB82" s="394" t="b">
        <f t="shared" si="10"/>
        <v>0</v>
      </c>
      <c r="AG82" s="394"/>
      <c r="AH82" s="394"/>
      <c r="AI82" s="394"/>
      <c r="AJ82" s="394"/>
      <c r="AK82" s="394"/>
      <c r="AL82" s="394"/>
      <c r="AM82" s="394"/>
      <c r="AN82" s="394"/>
      <c r="AO82" s="394"/>
      <c r="AP82" s="394"/>
      <c r="AQ82" s="394"/>
      <c r="AR82" s="394"/>
      <c r="AS82" s="394"/>
      <c r="AT82" s="394"/>
      <c r="AU82" s="394"/>
      <c r="AV82" s="394"/>
    </row>
    <row r="83" spans="1:48" ht="25" customHeight="1">
      <c r="A83" s="313">
        <v>70</v>
      </c>
      <c r="B83" s="206">
        <f>'Overzicht inhuurdesk'!B84</f>
        <v>0</v>
      </c>
      <c r="C83" s="206">
        <f>'Overzicht inhuurdesk'!C84</f>
        <v>0</v>
      </c>
      <c r="D83" s="207">
        <f>'Overzicht inhuurdesk'!D84</f>
        <v>0</v>
      </c>
      <c r="E83" s="208">
        <f>'Overzicht inhuurdesk'!J84</f>
        <v>0</v>
      </c>
      <c r="F83" s="445" t="str">
        <f t="shared" si="12"/>
        <v/>
      </c>
      <c r="G83" s="209" t="str">
        <f>IF(B83&gt;" ",IF('Overzicht inhuurdesk'!F84="Nee","Voldoet niet aan eisen  volgens opdrachtnemer","OK")," ")</f>
        <v xml:space="preserve"> </v>
      </c>
      <c r="H83" s="180"/>
      <c r="I83" s="210"/>
      <c r="J83" s="445" t="str">
        <f t="shared" si="13"/>
        <v/>
      </c>
      <c r="K83" s="210"/>
      <c r="L83" s="446" t="str">
        <f t="shared" si="14"/>
        <v/>
      </c>
      <c r="M83" s="210"/>
      <c r="N83" s="447" t="str">
        <f t="shared" si="15"/>
        <v/>
      </c>
      <c r="O83" s="444"/>
      <c r="P83" s="444" t="str">
        <f t="shared" si="16"/>
        <v/>
      </c>
      <c r="Q83" s="444"/>
      <c r="R83" s="444" t="str">
        <f t="shared" si="17"/>
        <v/>
      </c>
      <c r="S83" s="210"/>
      <c r="T83" s="444" t="str">
        <f t="shared" si="18"/>
        <v/>
      </c>
      <c r="U83" s="210"/>
      <c r="V83" s="444" t="str">
        <f t="shared" si="19"/>
        <v/>
      </c>
      <c r="W83" s="341" t="str">
        <f t="shared" si="20"/>
        <v/>
      </c>
      <c r="X83" s="479" t="str">
        <f t="shared" si="21"/>
        <v/>
      </c>
      <c r="Y83" s="211"/>
      <c r="Z83" s="340"/>
      <c r="AB83" s="394" t="b">
        <f t="shared" si="10"/>
        <v>0</v>
      </c>
      <c r="AG83" s="394"/>
      <c r="AH83" s="394"/>
      <c r="AI83" s="394"/>
      <c r="AJ83" s="394"/>
      <c r="AK83" s="394"/>
      <c r="AL83" s="394"/>
      <c r="AM83" s="394"/>
      <c r="AN83" s="394"/>
      <c r="AO83" s="394"/>
      <c r="AP83" s="394"/>
      <c r="AQ83" s="394"/>
      <c r="AR83" s="394"/>
      <c r="AS83" s="394"/>
      <c r="AT83" s="394"/>
      <c r="AU83" s="394"/>
      <c r="AV83" s="394"/>
    </row>
    <row r="84" spans="1:48" ht="25" customHeight="1">
      <c r="A84" s="313">
        <v>71</v>
      </c>
      <c r="B84" s="206">
        <f>'Overzicht inhuurdesk'!B85</f>
        <v>0</v>
      </c>
      <c r="C84" s="206">
        <f>'Overzicht inhuurdesk'!C85</f>
        <v>0</v>
      </c>
      <c r="D84" s="207">
        <f>'Overzicht inhuurdesk'!D85</f>
        <v>0</v>
      </c>
      <c r="E84" s="208">
        <f>'Overzicht inhuurdesk'!J85</f>
        <v>0</v>
      </c>
      <c r="F84" s="445" t="str">
        <f t="shared" si="12"/>
        <v/>
      </c>
      <c r="G84" s="209" t="str">
        <f>IF(B84&gt;" ",IF('Overzicht inhuurdesk'!F85="Nee","Voldoet niet aan eisen  volgens opdrachtnemer","OK")," ")</f>
        <v xml:space="preserve"> </v>
      </c>
      <c r="H84" s="180"/>
      <c r="I84" s="210"/>
      <c r="J84" s="445" t="str">
        <f t="shared" si="13"/>
        <v/>
      </c>
      <c r="K84" s="210"/>
      <c r="L84" s="446" t="str">
        <f t="shared" si="14"/>
        <v/>
      </c>
      <c r="M84" s="210"/>
      <c r="N84" s="447" t="str">
        <f t="shared" si="15"/>
        <v/>
      </c>
      <c r="O84" s="444"/>
      <c r="P84" s="444" t="str">
        <f t="shared" si="16"/>
        <v/>
      </c>
      <c r="Q84" s="444"/>
      <c r="R84" s="444" t="str">
        <f t="shared" si="17"/>
        <v/>
      </c>
      <c r="S84" s="210"/>
      <c r="T84" s="444" t="str">
        <f t="shared" si="18"/>
        <v/>
      </c>
      <c r="U84" s="210"/>
      <c r="V84" s="444" t="str">
        <f t="shared" si="19"/>
        <v/>
      </c>
      <c r="W84" s="341" t="str">
        <f t="shared" si="20"/>
        <v/>
      </c>
      <c r="X84" s="479" t="str">
        <f t="shared" si="21"/>
        <v/>
      </c>
      <c r="Y84" s="211"/>
      <c r="Z84" s="340"/>
      <c r="AB84" s="394" t="b">
        <f t="shared" si="10"/>
        <v>0</v>
      </c>
      <c r="AG84" s="394"/>
      <c r="AH84" s="394"/>
      <c r="AI84" s="394"/>
      <c r="AJ84" s="394"/>
      <c r="AK84" s="394"/>
      <c r="AL84" s="394"/>
      <c r="AM84" s="394"/>
      <c r="AN84" s="394"/>
      <c r="AO84" s="394"/>
      <c r="AP84" s="394"/>
      <c r="AQ84" s="394"/>
      <c r="AR84" s="394"/>
      <c r="AS84" s="394"/>
      <c r="AT84" s="394"/>
      <c r="AU84" s="394"/>
      <c r="AV84" s="394"/>
    </row>
    <row r="85" spans="1:48" ht="25" customHeight="1">
      <c r="A85" s="313">
        <v>72</v>
      </c>
      <c r="B85" s="206">
        <f>'Overzicht inhuurdesk'!B86</f>
        <v>0</v>
      </c>
      <c r="C85" s="206">
        <f>'Overzicht inhuurdesk'!C86</f>
        <v>0</v>
      </c>
      <c r="D85" s="207">
        <f>'Overzicht inhuurdesk'!D86</f>
        <v>0</v>
      </c>
      <c r="E85" s="208">
        <f>'Overzicht inhuurdesk'!J86</f>
        <v>0</v>
      </c>
      <c r="F85" s="445" t="str">
        <f t="shared" si="12"/>
        <v/>
      </c>
      <c r="G85" s="209" t="str">
        <f>IF(B85&gt;" ",IF('Overzicht inhuurdesk'!F86="Nee","Voldoet niet aan eisen  volgens opdrachtnemer","OK")," ")</f>
        <v xml:space="preserve"> </v>
      </c>
      <c r="H85" s="180"/>
      <c r="I85" s="210"/>
      <c r="J85" s="445" t="str">
        <f t="shared" si="13"/>
        <v/>
      </c>
      <c r="K85" s="210"/>
      <c r="L85" s="446" t="str">
        <f t="shared" si="14"/>
        <v/>
      </c>
      <c r="M85" s="210"/>
      <c r="N85" s="447" t="str">
        <f t="shared" si="15"/>
        <v/>
      </c>
      <c r="O85" s="444"/>
      <c r="P85" s="444" t="str">
        <f t="shared" si="16"/>
        <v/>
      </c>
      <c r="Q85" s="444"/>
      <c r="R85" s="444" t="str">
        <f t="shared" si="17"/>
        <v/>
      </c>
      <c r="S85" s="210"/>
      <c r="T85" s="444" t="str">
        <f t="shared" si="18"/>
        <v/>
      </c>
      <c r="U85" s="210"/>
      <c r="V85" s="444" t="str">
        <f t="shared" si="19"/>
        <v/>
      </c>
      <c r="W85" s="341" t="str">
        <f t="shared" si="20"/>
        <v/>
      </c>
      <c r="X85" s="479" t="str">
        <f t="shared" si="21"/>
        <v/>
      </c>
      <c r="Y85" s="211"/>
      <c r="Z85" s="340"/>
      <c r="AB85" s="394" t="b">
        <f t="shared" si="10"/>
        <v>0</v>
      </c>
      <c r="AG85" s="394"/>
      <c r="AH85" s="394"/>
      <c r="AI85" s="394"/>
      <c r="AJ85" s="394"/>
      <c r="AK85" s="394"/>
      <c r="AL85" s="394"/>
      <c r="AM85" s="394"/>
      <c r="AN85" s="394"/>
      <c r="AO85" s="394"/>
      <c r="AP85" s="394"/>
      <c r="AQ85" s="394"/>
      <c r="AR85" s="394"/>
      <c r="AS85" s="394"/>
      <c r="AT85" s="394"/>
      <c r="AU85" s="394"/>
      <c r="AV85" s="394"/>
    </row>
    <row r="86" spans="1:48" ht="25" customHeight="1">
      <c r="A86" s="313">
        <v>73</v>
      </c>
      <c r="B86" s="206">
        <f>'Overzicht inhuurdesk'!B87</f>
        <v>0</v>
      </c>
      <c r="C86" s="206">
        <f>'Overzicht inhuurdesk'!C87</f>
        <v>0</v>
      </c>
      <c r="D86" s="207">
        <f>'Overzicht inhuurdesk'!D87</f>
        <v>0</v>
      </c>
      <c r="E86" s="208">
        <f>'Overzicht inhuurdesk'!J87</f>
        <v>0</v>
      </c>
      <c r="F86" s="445" t="str">
        <f t="shared" si="12"/>
        <v/>
      </c>
      <c r="G86" s="209" t="str">
        <f>IF(B86&gt;" ",IF('Overzicht inhuurdesk'!F87="Nee","Voldoet niet aan eisen  volgens opdrachtnemer","OK")," ")</f>
        <v xml:space="preserve"> </v>
      </c>
      <c r="H86" s="180"/>
      <c r="I86" s="210"/>
      <c r="J86" s="445" t="str">
        <f t="shared" si="13"/>
        <v/>
      </c>
      <c r="K86" s="210"/>
      <c r="L86" s="446" t="str">
        <f t="shared" si="14"/>
        <v/>
      </c>
      <c r="M86" s="210"/>
      <c r="N86" s="447" t="str">
        <f t="shared" si="15"/>
        <v/>
      </c>
      <c r="O86" s="444"/>
      <c r="P86" s="444" t="str">
        <f t="shared" si="16"/>
        <v/>
      </c>
      <c r="Q86" s="444"/>
      <c r="R86" s="444" t="str">
        <f t="shared" si="17"/>
        <v/>
      </c>
      <c r="S86" s="210"/>
      <c r="T86" s="444" t="str">
        <f t="shared" si="18"/>
        <v/>
      </c>
      <c r="U86" s="210"/>
      <c r="V86" s="444" t="str">
        <f t="shared" si="19"/>
        <v/>
      </c>
      <c r="W86" s="341" t="str">
        <f t="shared" si="20"/>
        <v/>
      </c>
      <c r="X86" s="479" t="str">
        <f t="shared" si="21"/>
        <v/>
      </c>
      <c r="Y86" s="211"/>
      <c r="Z86" s="340"/>
      <c r="AB86" s="394" t="b">
        <f t="shared" si="10"/>
        <v>0</v>
      </c>
      <c r="AG86" s="394"/>
      <c r="AH86" s="394"/>
      <c r="AI86" s="394"/>
      <c r="AJ86" s="394"/>
      <c r="AK86" s="394"/>
      <c r="AL86" s="394"/>
      <c r="AM86" s="394"/>
      <c r="AN86" s="394"/>
      <c r="AO86" s="394"/>
      <c r="AP86" s="394"/>
      <c r="AQ86" s="394"/>
      <c r="AR86" s="394"/>
      <c r="AS86" s="394"/>
      <c r="AT86" s="394"/>
      <c r="AU86" s="394"/>
      <c r="AV86" s="394"/>
    </row>
    <row r="87" spans="1:48" ht="25" customHeight="1">
      <c r="A87" s="313">
        <v>74</v>
      </c>
      <c r="B87" s="206">
        <f>'Overzicht inhuurdesk'!B88</f>
        <v>0</v>
      </c>
      <c r="C87" s="206">
        <f>'Overzicht inhuurdesk'!C88</f>
        <v>0</v>
      </c>
      <c r="D87" s="207">
        <f>'Overzicht inhuurdesk'!D88</f>
        <v>0</v>
      </c>
      <c r="E87" s="208">
        <f>'Overzicht inhuurdesk'!J88</f>
        <v>0</v>
      </c>
      <c r="F87" s="445" t="str">
        <f t="shared" si="12"/>
        <v/>
      </c>
      <c r="G87" s="209" t="str">
        <f>IF(B87&gt;" ",IF('Overzicht inhuurdesk'!F88="Nee","Voldoet niet aan eisen  volgens opdrachtnemer","OK")," ")</f>
        <v xml:space="preserve"> </v>
      </c>
      <c r="H87" s="180"/>
      <c r="I87" s="210"/>
      <c r="J87" s="445" t="str">
        <f t="shared" si="13"/>
        <v/>
      </c>
      <c r="K87" s="210"/>
      <c r="L87" s="446" t="str">
        <f t="shared" si="14"/>
        <v/>
      </c>
      <c r="M87" s="210"/>
      <c r="N87" s="447" t="str">
        <f t="shared" si="15"/>
        <v/>
      </c>
      <c r="O87" s="444"/>
      <c r="P87" s="444" t="str">
        <f t="shared" si="16"/>
        <v/>
      </c>
      <c r="Q87" s="444"/>
      <c r="R87" s="444" t="str">
        <f t="shared" si="17"/>
        <v/>
      </c>
      <c r="S87" s="210"/>
      <c r="T87" s="444" t="str">
        <f t="shared" si="18"/>
        <v/>
      </c>
      <c r="U87" s="210"/>
      <c r="V87" s="444" t="str">
        <f t="shared" si="19"/>
        <v/>
      </c>
      <c r="W87" s="341" t="str">
        <f t="shared" si="20"/>
        <v/>
      </c>
      <c r="X87" s="479" t="str">
        <f t="shared" si="21"/>
        <v/>
      </c>
      <c r="Y87" s="211"/>
      <c r="Z87" s="340"/>
      <c r="AB87" s="394" t="b">
        <f t="shared" si="10"/>
        <v>0</v>
      </c>
      <c r="AG87" s="394"/>
      <c r="AH87" s="394"/>
      <c r="AI87" s="394"/>
      <c r="AJ87" s="394"/>
      <c r="AK87" s="394"/>
      <c r="AL87" s="394"/>
      <c r="AM87" s="394"/>
      <c r="AN87" s="394"/>
      <c r="AO87" s="394"/>
      <c r="AP87" s="394"/>
      <c r="AQ87" s="394"/>
      <c r="AR87" s="394"/>
      <c r="AS87" s="394"/>
      <c r="AT87" s="394"/>
      <c r="AU87" s="394"/>
      <c r="AV87" s="394"/>
    </row>
    <row r="88" spans="1:48" ht="25" customHeight="1">
      <c r="A88" s="313">
        <v>75</v>
      </c>
      <c r="B88" s="206">
        <f>'Overzicht inhuurdesk'!B89</f>
        <v>0</v>
      </c>
      <c r="C88" s="206">
        <f>'Overzicht inhuurdesk'!C89</f>
        <v>0</v>
      </c>
      <c r="D88" s="207">
        <f>'Overzicht inhuurdesk'!D89</f>
        <v>0</v>
      </c>
      <c r="E88" s="208">
        <f>'Overzicht inhuurdesk'!J89</f>
        <v>0</v>
      </c>
      <c r="F88" s="445" t="str">
        <f t="shared" si="12"/>
        <v/>
      </c>
      <c r="G88" s="209" t="str">
        <f>IF(B88&gt;" ",IF('Overzicht inhuurdesk'!F89="Nee","Voldoet niet aan eisen  volgens opdrachtnemer","OK")," ")</f>
        <v xml:space="preserve"> </v>
      </c>
      <c r="H88" s="180"/>
      <c r="I88" s="210"/>
      <c r="J88" s="445" t="str">
        <f t="shared" si="13"/>
        <v/>
      </c>
      <c r="K88" s="210"/>
      <c r="L88" s="446" t="str">
        <f t="shared" si="14"/>
        <v/>
      </c>
      <c r="M88" s="210"/>
      <c r="N88" s="447" t="str">
        <f t="shared" si="15"/>
        <v/>
      </c>
      <c r="O88" s="444"/>
      <c r="P88" s="444" t="str">
        <f t="shared" si="16"/>
        <v/>
      </c>
      <c r="Q88" s="444"/>
      <c r="R88" s="444" t="str">
        <f t="shared" si="17"/>
        <v/>
      </c>
      <c r="S88" s="210"/>
      <c r="T88" s="444" t="str">
        <f t="shared" si="18"/>
        <v/>
      </c>
      <c r="U88" s="210"/>
      <c r="V88" s="444" t="str">
        <f t="shared" si="19"/>
        <v/>
      </c>
      <c r="W88" s="341" t="str">
        <f t="shared" si="20"/>
        <v/>
      </c>
      <c r="X88" s="479" t="str">
        <f t="shared" si="21"/>
        <v/>
      </c>
      <c r="Y88" s="211"/>
      <c r="Z88" s="340"/>
      <c r="AB88" s="394" t="b">
        <f t="shared" si="10"/>
        <v>0</v>
      </c>
      <c r="AG88" s="394"/>
      <c r="AH88" s="394"/>
      <c r="AI88" s="394"/>
      <c r="AJ88" s="394"/>
      <c r="AK88" s="394"/>
      <c r="AL88" s="394"/>
      <c r="AM88" s="394"/>
      <c r="AN88" s="394"/>
      <c r="AO88" s="394"/>
      <c r="AP88" s="394"/>
      <c r="AQ88" s="394"/>
      <c r="AR88" s="394"/>
      <c r="AS88" s="394"/>
      <c r="AT88" s="394"/>
      <c r="AU88" s="394"/>
      <c r="AV88" s="394"/>
    </row>
    <row r="89" spans="1:48" ht="25" customHeight="1">
      <c r="A89" s="313">
        <v>76</v>
      </c>
      <c r="B89" s="206">
        <f>'Overzicht inhuurdesk'!B90</f>
        <v>0</v>
      </c>
      <c r="C89" s="206">
        <f>'Overzicht inhuurdesk'!C90</f>
        <v>0</v>
      </c>
      <c r="D89" s="207">
        <f>'Overzicht inhuurdesk'!D90</f>
        <v>0</v>
      </c>
      <c r="E89" s="208">
        <f>'Overzicht inhuurdesk'!J90</f>
        <v>0</v>
      </c>
      <c r="F89" s="445" t="str">
        <f t="shared" si="12"/>
        <v/>
      </c>
      <c r="G89" s="209" t="str">
        <f>IF(B89&gt;" ",IF('Overzicht inhuurdesk'!F90="Nee","Voldoet niet aan eisen  volgens opdrachtnemer","OK")," ")</f>
        <v xml:space="preserve"> </v>
      </c>
      <c r="H89" s="180"/>
      <c r="I89" s="210"/>
      <c r="J89" s="445" t="str">
        <f t="shared" si="13"/>
        <v/>
      </c>
      <c r="K89" s="210"/>
      <c r="L89" s="446" t="str">
        <f t="shared" si="14"/>
        <v/>
      </c>
      <c r="M89" s="210"/>
      <c r="N89" s="447" t="str">
        <f t="shared" si="15"/>
        <v/>
      </c>
      <c r="O89" s="444"/>
      <c r="P89" s="444" t="str">
        <f t="shared" si="16"/>
        <v/>
      </c>
      <c r="Q89" s="444"/>
      <c r="R89" s="444" t="str">
        <f t="shared" si="17"/>
        <v/>
      </c>
      <c r="S89" s="210"/>
      <c r="T89" s="444" t="str">
        <f t="shared" si="18"/>
        <v/>
      </c>
      <c r="U89" s="210"/>
      <c r="V89" s="444" t="str">
        <f t="shared" si="19"/>
        <v/>
      </c>
      <c r="W89" s="341" t="str">
        <f t="shared" si="20"/>
        <v/>
      </c>
      <c r="X89" s="479" t="str">
        <f t="shared" si="21"/>
        <v/>
      </c>
      <c r="Y89" s="211"/>
      <c r="Z89" s="340"/>
      <c r="AB89" s="394" t="b">
        <f t="shared" si="10"/>
        <v>0</v>
      </c>
      <c r="AG89" s="394"/>
      <c r="AH89" s="394"/>
      <c r="AI89" s="394"/>
      <c r="AJ89" s="394"/>
      <c r="AK89" s="394"/>
      <c r="AL89" s="394"/>
      <c r="AM89" s="394"/>
      <c r="AN89" s="394"/>
      <c r="AO89" s="394"/>
      <c r="AP89" s="394"/>
      <c r="AQ89" s="394"/>
      <c r="AR89" s="394"/>
      <c r="AS89" s="394"/>
      <c r="AT89" s="394"/>
      <c r="AU89" s="394"/>
      <c r="AV89" s="394"/>
    </row>
    <row r="90" spans="1:48" ht="25" customHeight="1">
      <c r="A90" s="313">
        <v>77</v>
      </c>
      <c r="B90" s="206">
        <f>'Overzicht inhuurdesk'!B91</f>
        <v>0</v>
      </c>
      <c r="C90" s="206">
        <f>'Overzicht inhuurdesk'!C91</f>
        <v>0</v>
      </c>
      <c r="D90" s="207">
        <f>'Overzicht inhuurdesk'!D91</f>
        <v>0</v>
      </c>
      <c r="E90" s="208">
        <f>'Overzicht inhuurdesk'!J91</f>
        <v>0</v>
      </c>
      <c r="F90" s="445" t="str">
        <f t="shared" si="12"/>
        <v/>
      </c>
      <c r="G90" s="209" t="str">
        <f>IF(B90&gt;" ",IF('Overzicht inhuurdesk'!F91="Nee","Voldoet niet aan eisen  volgens opdrachtnemer","OK")," ")</f>
        <v xml:space="preserve"> </v>
      </c>
      <c r="H90" s="180"/>
      <c r="I90" s="210"/>
      <c r="J90" s="445" t="str">
        <f t="shared" si="13"/>
        <v/>
      </c>
      <c r="K90" s="210"/>
      <c r="L90" s="446" t="str">
        <f t="shared" si="14"/>
        <v/>
      </c>
      <c r="M90" s="210"/>
      <c r="N90" s="447" t="str">
        <f t="shared" si="15"/>
        <v/>
      </c>
      <c r="O90" s="444"/>
      <c r="P90" s="444" t="str">
        <f t="shared" si="16"/>
        <v/>
      </c>
      <c r="Q90" s="444"/>
      <c r="R90" s="444" t="str">
        <f t="shared" si="17"/>
        <v/>
      </c>
      <c r="S90" s="210"/>
      <c r="T90" s="444" t="str">
        <f t="shared" si="18"/>
        <v/>
      </c>
      <c r="U90" s="210"/>
      <c r="V90" s="444" t="str">
        <f t="shared" si="19"/>
        <v/>
      </c>
      <c r="W90" s="341" t="str">
        <f t="shared" si="20"/>
        <v/>
      </c>
      <c r="X90" s="479" t="str">
        <f t="shared" si="21"/>
        <v/>
      </c>
      <c r="Y90" s="211"/>
      <c r="Z90" s="340"/>
      <c r="AB90" s="394" t="b">
        <f t="shared" si="10"/>
        <v>0</v>
      </c>
      <c r="AG90" s="394"/>
      <c r="AH90" s="394"/>
      <c r="AI90" s="394"/>
      <c r="AJ90" s="394"/>
      <c r="AK90" s="394"/>
      <c r="AL90" s="394"/>
      <c r="AM90" s="394"/>
      <c r="AN90" s="394"/>
      <c r="AO90" s="394"/>
      <c r="AP90" s="394"/>
      <c r="AQ90" s="394"/>
      <c r="AR90" s="394"/>
      <c r="AS90" s="394"/>
      <c r="AT90" s="394"/>
      <c r="AU90" s="394"/>
      <c r="AV90" s="394"/>
    </row>
    <row r="91" spans="1:48" ht="25" customHeight="1">
      <c r="A91" s="313">
        <v>78</v>
      </c>
      <c r="B91" s="206">
        <f>'Overzicht inhuurdesk'!B92</f>
        <v>0</v>
      </c>
      <c r="C91" s="206">
        <f>'Overzicht inhuurdesk'!C92</f>
        <v>0</v>
      </c>
      <c r="D91" s="207">
        <f>'Overzicht inhuurdesk'!D92</f>
        <v>0</v>
      </c>
      <c r="E91" s="208">
        <f>'Overzicht inhuurdesk'!J92</f>
        <v>0</v>
      </c>
      <c r="F91" s="445" t="str">
        <f t="shared" si="12"/>
        <v/>
      </c>
      <c r="G91" s="209" t="str">
        <f>IF(B91&gt;" ",IF('Overzicht inhuurdesk'!F92="Nee","Voldoet niet aan eisen  volgens opdrachtnemer","OK")," ")</f>
        <v xml:space="preserve"> </v>
      </c>
      <c r="H91" s="180"/>
      <c r="I91" s="210"/>
      <c r="J91" s="445" t="str">
        <f t="shared" si="13"/>
        <v/>
      </c>
      <c r="K91" s="210"/>
      <c r="L91" s="446" t="str">
        <f t="shared" si="14"/>
        <v/>
      </c>
      <c r="M91" s="210"/>
      <c r="N91" s="447" t="str">
        <f t="shared" si="15"/>
        <v/>
      </c>
      <c r="O91" s="444"/>
      <c r="P91" s="444" t="str">
        <f t="shared" si="16"/>
        <v/>
      </c>
      <c r="Q91" s="444"/>
      <c r="R91" s="444" t="str">
        <f t="shared" si="17"/>
        <v/>
      </c>
      <c r="S91" s="210"/>
      <c r="T91" s="444" t="str">
        <f t="shared" si="18"/>
        <v/>
      </c>
      <c r="U91" s="210"/>
      <c r="V91" s="444" t="str">
        <f t="shared" si="19"/>
        <v/>
      </c>
      <c r="W91" s="341" t="str">
        <f t="shared" si="20"/>
        <v/>
      </c>
      <c r="X91" s="479" t="str">
        <f t="shared" si="21"/>
        <v/>
      </c>
      <c r="Y91" s="211"/>
      <c r="Z91" s="340"/>
      <c r="AB91" s="394" t="b">
        <f t="shared" si="10"/>
        <v>0</v>
      </c>
      <c r="AG91" s="394"/>
      <c r="AH91" s="394"/>
      <c r="AI91" s="394"/>
      <c r="AJ91" s="394"/>
      <c r="AK91" s="394"/>
      <c r="AL91" s="394"/>
      <c r="AM91" s="394"/>
      <c r="AN91" s="394"/>
      <c r="AO91" s="394"/>
      <c r="AP91" s="394"/>
      <c r="AQ91" s="394"/>
      <c r="AR91" s="394"/>
      <c r="AS91" s="394"/>
      <c r="AT91" s="394"/>
      <c r="AU91" s="394"/>
      <c r="AV91" s="394"/>
    </row>
    <row r="92" spans="1:48" ht="25" customHeight="1">
      <c r="A92" s="313">
        <v>79</v>
      </c>
      <c r="B92" s="206">
        <f>'Overzicht inhuurdesk'!B93</f>
        <v>0</v>
      </c>
      <c r="C92" s="206">
        <f>'Overzicht inhuurdesk'!C93</f>
        <v>0</v>
      </c>
      <c r="D92" s="207">
        <f>'Overzicht inhuurdesk'!D93</f>
        <v>0</v>
      </c>
      <c r="E92" s="208">
        <f>'Overzicht inhuurdesk'!J93</f>
        <v>0</v>
      </c>
      <c r="F92" s="445" t="str">
        <f t="shared" si="12"/>
        <v/>
      </c>
      <c r="G92" s="209" t="str">
        <f>IF(B92&gt;" ",IF('Overzicht inhuurdesk'!F93="Nee","Voldoet niet aan eisen  volgens opdrachtnemer","OK")," ")</f>
        <v xml:space="preserve"> </v>
      </c>
      <c r="H92" s="180"/>
      <c r="I92" s="210"/>
      <c r="J92" s="445" t="str">
        <f t="shared" si="13"/>
        <v/>
      </c>
      <c r="K92" s="210"/>
      <c r="L92" s="446" t="str">
        <f t="shared" si="14"/>
        <v/>
      </c>
      <c r="M92" s="210"/>
      <c r="N92" s="447" t="str">
        <f t="shared" si="15"/>
        <v/>
      </c>
      <c r="O92" s="444"/>
      <c r="P92" s="444" t="str">
        <f t="shared" si="16"/>
        <v/>
      </c>
      <c r="Q92" s="444"/>
      <c r="R92" s="444" t="str">
        <f t="shared" si="17"/>
        <v/>
      </c>
      <c r="S92" s="210"/>
      <c r="T92" s="444" t="str">
        <f t="shared" si="18"/>
        <v/>
      </c>
      <c r="U92" s="210"/>
      <c r="V92" s="444" t="str">
        <f t="shared" si="19"/>
        <v/>
      </c>
      <c r="W92" s="341" t="str">
        <f t="shared" si="20"/>
        <v/>
      </c>
      <c r="X92" s="479" t="str">
        <f t="shared" si="21"/>
        <v/>
      </c>
      <c r="Y92" s="211"/>
      <c r="Z92" s="340"/>
      <c r="AB92" s="394" t="b">
        <f t="shared" si="10"/>
        <v>0</v>
      </c>
      <c r="AG92" s="394"/>
      <c r="AH92" s="394"/>
      <c r="AI92" s="394"/>
      <c r="AJ92" s="394"/>
      <c r="AK92" s="394"/>
      <c r="AL92" s="394"/>
      <c r="AM92" s="394"/>
      <c r="AN92" s="394"/>
      <c r="AO92" s="394"/>
      <c r="AP92" s="394"/>
      <c r="AQ92" s="394"/>
      <c r="AR92" s="394"/>
      <c r="AS92" s="394"/>
      <c r="AT92" s="394"/>
      <c r="AU92" s="394"/>
      <c r="AV92" s="394"/>
    </row>
    <row r="93" spans="1:48" ht="25" customHeight="1">
      <c r="A93" s="313">
        <v>80</v>
      </c>
      <c r="B93" s="206">
        <f>'Overzicht inhuurdesk'!B94</f>
        <v>0</v>
      </c>
      <c r="C93" s="206">
        <f>'Overzicht inhuurdesk'!C94</f>
        <v>0</v>
      </c>
      <c r="D93" s="207">
        <f>'Overzicht inhuurdesk'!D94</f>
        <v>0</v>
      </c>
      <c r="E93" s="208">
        <f>'Overzicht inhuurdesk'!J94</f>
        <v>0</v>
      </c>
      <c r="F93" s="445" t="str">
        <f t="shared" si="12"/>
        <v/>
      </c>
      <c r="G93" s="209" t="str">
        <f>IF(B93&gt;" ",IF('Overzicht inhuurdesk'!F94="Nee","Voldoet niet aan eisen  volgens opdrachtnemer","OK")," ")</f>
        <v xml:space="preserve"> </v>
      </c>
      <c r="H93" s="180"/>
      <c r="I93" s="210"/>
      <c r="J93" s="445" t="str">
        <f t="shared" si="13"/>
        <v/>
      </c>
      <c r="K93" s="210"/>
      <c r="L93" s="446" t="str">
        <f t="shared" si="14"/>
        <v/>
      </c>
      <c r="M93" s="210"/>
      <c r="N93" s="447" t="str">
        <f t="shared" si="15"/>
        <v/>
      </c>
      <c r="O93" s="444"/>
      <c r="P93" s="444" t="str">
        <f t="shared" si="16"/>
        <v/>
      </c>
      <c r="Q93" s="444"/>
      <c r="R93" s="444" t="str">
        <f t="shared" si="17"/>
        <v/>
      </c>
      <c r="S93" s="210"/>
      <c r="T93" s="444" t="str">
        <f t="shared" si="18"/>
        <v/>
      </c>
      <c r="U93" s="210"/>
      <c r="V93" s="444" t="str">
        <f t="shared" si="19"/>
        <v/>
      </c>
      <c r="W93" s="341" t="str">
        <f t="shared" si="20"/>
        <v/>
      </c>
      <c r="X93" s="479" t="str">
        <f t="shared" si="21"/>
        <v/>
      </c>
      <c r="Y93" s="211"/>
      <c r="Z93" s="340"/>
      <c r="AB93" s="394" t="b">
        <f t="shared" si="10"/>
        <v>0</v>
      </c>
      <c r="AG93" s="394"/>
      <c r="AH93" s="394"/>
      <c r="AI93" s="394"/>
      <c r="AJ93" s="394"/>
      <c r="AK93" s="394"/>
      <c r="AL93" s="394"/>
      <c r="AM93" s="394"/>
      <c r="AN93" s="394"/>
      <c r="AO93" s="394"/>
      <c r="AP93" s="394"/>
      <c r="AQ93" s="394"/>
      <c r="AR93" s="394"/>
      <c r="AS93" s="394"/>
      <c r="AT93" s="394"/>
      <c r="AU93" s="394"/>
      <c r="AV93" s="394"/>
    </row>
    <row r="94" spans="1:48" ht="25" customHeight="1">
      <c r="A94" s="313">
        <v>81</v>
      </c>
      <c r="B94" s="206">
        <f>'Overzicht inhuurdesk'!B95</f>
        <v>0</v>
      </c>
      <c r="C94" s="206">
        <f>'Overzicht inhuurdesk'!C95</f>
        <v>0</v>
      </c>
      <c r="D94" s="207">
        <f>'Overzicht inhuurdesk'!D95</f>
        <v>0</v>
      </c>
      <c r="E94" s="208">
        <f>'Overzicht inhuurdesk'!J95</f>
        <v>0</v>
      </c>
      <c r="F94" s="445" t="str">
        <f t="shared" si="12"/>
        <v/>
      </c>
      <c r="G94" s="209" t="str">
        <f>IF(B94&gt;" ",IF('Overzicht inhuurdesk'!F95="Nee","Voldoet niet aan eisen  volgens opdrachtnemer","OK")," ")</f>
        <v xml:space="preserve"> </v>
      </c>
      <c r="H94" s="180"/>
      <c r="I94" s="210"/>
      <c r="J94" s="445" t="str">
        <f t="shared" si="13"/>
        <v/>
      </c>
      <c r="K94" s="210"/>
      <c r="L94" s="446" t="str">
        <f t="shared" si="14"/>
        <v/>
      </c>
      <c r="M94" s="210"/>
      <c r="N94" s="447" t="str">
        <f t="shared" si="15"/>
        <v/>
      </c>
      <c r="O94" s="444"/>
      <c r="P94" s="444" t="str">
        <f t="shared" si="16"/>
        <v/>
      </c>
      <c r="Q94" s="444"/>
      <c r="R94" s="444" t="str">
        <f t="shared" si="17"/>
        <v/>
      </c>
      <c r="S94" s="210"/>
      <c r="T94" s="444" t="str">
        <f t="shared" si="18"/>
        <v/>
      </c>
      <c r="U94" s="210"/>
      <c r="V94" s="444" t="str">
        <f t="shared" si="19"/>
        <v/>
      </c>
      <c r="W94" s="341" t="str">
        <f t="shared" si="20"/>
        <v/>
      </c>
      <c r="X94" s="479" t="str">
        <f t="shared" si="21"/>
        <v/>
      </c>
      <c r="Y94" s="211"/>
      <c r="Z94" s="340"/>
      <c r="AB94" s="394" t="b">
        <f t="shared" si="10"/>
        <v>0</v>
      </c>
      <c r="AG94" s="394"/>
      <c r="AH94" s="394"/>
      <c r="AI94" s="394"/>
      <c r="AJ94" s="394"/>
      <c r="AK94" s="394"/>
      <c r="AL94" s="394"/>
      <c r="AM94" s="394"/>
      <c r="AN94" s="394"/>
      <c r="AO94" s="394"/>
      <c r="AP94" s="394"/>
      <c r="AQ94" s="394"/>
      <c r="AR94" s="394"/>
      <c r="AS94" s="394"/>
      <c r="AT94" s="394"/>
      <c r="AU94" s="394"/>
      <c r="AV94" s="394"/>
    </row>
    <row r="95" spans="1:48" ht="25" customHeight="1">
      <c r="A95" s="313">
        <v>82</v>
      </c>
      <c r="B95" s="206">
        <f>'Overzicht inhuurdesk'!B96</f>
        <v>0</v>
      </c>
      <c r="C95" s="206">
        <f>'Overzicht inhuurdesk'!C96</f>
        <v>0</v>
      </c>
      <c r="D95" s="207">
        <f>'Overzicht inhuurdesk'!D96</f>
        <v>0</v>
      </c>
      <c r="E95" s="208">
        <f>'Overzicht inhuurdesk'!J96</f>
        <v>0</v>
      </c>
      <c r="F95" s="445" t="str">
        <f t="shared" si="12"/>
        <v/>
      </c>
      <c r="G95" s="209" t="str">
        <f>IF(B95&gt;" ",IF('Overzicht inhuurdesk'!F96="Nee","Voldoet niet aan eisen  volgens opdrachtnemer","OK")," ")</f>
        <v xml:space="preserve"> </v>
      </c>
      <c r="H95" s="180"/>
      <c r="I95" s="210"/>
      <c r="J95" s="445" t="str">
        <f t="shared" si="13"/>
        <v/>
      </c>
      <c r="K95" s="210"/>
      <c r="L95" s="446" t="str">
        <f t="shared" si="14"/>
        <v/>
      </c>
      <c r="M95" s="210"/>
      <c r="N95" s="447" t="str">
        <f t="shared" si="15"/>
        <v/>
      </c>
      <c r="O95" s="444"/>
      <c r="P95" s="444" t="str">
        <f t="shared" si="16"/>
        <v/>
      </c>
      <c r="Q95" s="444"/>
      <c r="R95" s="444" t="str">
        <f t="shared" si="17"/>
        <v/>
      </c>
      <c r="S95" s="210"/>
      <c r="T95" s="444" t="str">
        <f t="shared" si="18"/>
        <v/>
      </c>
      <c r="U95" s="210"/>
      <c r="V95" s="444" t="str">
        <f t="shared" si="19"/>
        <v/>
      </c>
      <c r="W95" s="341" t="str">
        <f t="shared" si="20"/>
        <v/>
      </c>
      <c r="X95" s="479" t="str">
        <f t="shared" si="21"/>
        <v/>
      </c>
      <c r="Y95" s="211"/>
      <c r="Z95" s="340"/>
      <c r="AB95" s="394" t="b">
        <f t="shared" si="10"/>
        <v>0</v>
      </c>
      <c r="AG95" s="394"/>
      <c r="AH95" s="394"/>
      <c r="AI95" s="394"/>
      <c r="AJ95" s="394"/>
      <c r="AK95" s="394"/>
      <c r="AL95" s="394"/>
      <c r="AM95" s="394"/>
      <c r="AN95" s="394"/>
      <c r="AO95" s="394"/>
      <c r="AP95" s="394"/>
      <c r="AQ95" s="394"/>
      <c r="AR95" s="394"/>
      <c r="AS95" s="394"/>
      <c r="AT95" s="394"/>
      <c r="AU95" s="394"/>
      <c r="AV95" s="394"/>
    </row>
    <row r="96" spans="1:48" ht="25" customHeight="1">
      <c r="A96" s="313">
        <v>83</v>
      </c>
      <c r="B96" s="206">
        <f>'Overzicht inhuurdesk'!B97</f>
        <v>0</v>
      </c>
      <c r="C96" s="206">
        <f>'Overzicht inhuurdesk'!C97</f>
        <v>0</v>
      </c>
      <c r="D96" s="207">
        <f>'Overzicht inhuurdesk'!D97</f>
        <v>0</v>
      </c>
      <c r="E96" s="208">
        <f>'Overzicht inhuurdesk'!J97</f>
        <v>0</v>
      </c>
      <c r="F96" s="445" t="str">
        <f t="shared" si="12"/>
        <v/>
      </c>
      <c r="G96" s="209" t="str">
        <f>IF(B96&gt;" ",IF('Overzicht inhuurdesk'!F97="Nee","Voldoet niet aan eisen  volgens opdrachtnemer","OK")," ")</f>
        <v xml:space="preserve"> </v>
      </c>
      <c r="H96" s="180"/>
      <c r="I96" s="210"/>
      <c r="J96" s="445" t="str">
        <f t="shared" si="13"/>
        <v/>
      </c>
      <c r="K96" s="210"/>
      <c r="L96" s="446" t="str">
        <f t="shared" si="14"/>
        <v/>
      </c>
      <c r="M96" s="210"/>
      <c r="N96" s="447" t="str">
        <f t="shared" si="15"/>
        <v/>
      </c>
      <c r="O96" s="444"/>
      <c r="P96" s="444" t="str">
        <f t="shared" si="16"/>
        <v/>
      </c>
      <c r="Q96" s="444"/>
      <c r="R96" s="444" t="str">
        <f t="shared" si="17"/>
        <v/>
      </c>
      <c r="S96" s="210"/>
      <c r="T96" s="444" t="str">
        <f t="shared" si="18"/>
        <v/>
      </c>
      <c r="U96" s="210"/>
      <c r="V96" s="444" t="str">
        <f t="shared" si="19"/>
        <v/>
      </c>
      <c r="W96" s="341" t="str">
        <f t="shared" si="20"/>
        <v/>
      </c>
      <c r="X96" s="479" t="str">
        <f t="shared" si="21"/>
        <v/>
      </c>
      <c r="Y96" s="211"/>
      <c r="Z96" s="340"/>
      <c r="AB96" s="394" t="b">
        <f t="shared" si="10"/>
        <v>0</v>
      </c>
      <c r="AG96" s="394"/>
      <c r="AH96" s="394"/>
      <c r="AI96" s="394"/>
      <c r="AJ96" s="394"/>
      <c r="AK96" s="394"/>
      <c r="AL96" s="394"/>
      <c r="AM96" s="394"/>
      <c r="AN96" s="394"/>
      <c r="AO96" s="394"/>
      <c r="AP96" s="394"/>
      <c r="AQ96" s="394"/>
      <c r="AR96" s="394"/>
      <c r="AS96" s="394"/>
      <c r="AT96" s="394"/>
      <c r="AU96" s="394"/>
      <c r="AV96" s="394"/>
    </row>
    <row r="97" spans="1:48" ht="25" customHeight="1">
      <c r="A97" s="313">
        <v>84</v>
      </c>
      <c r="B97" s="206">
        <f>'Overzicht inhuurdesk'!B98</f>
        <v>0</v>
      </c>
      <c r="C97" s="206">
        <f>'Overzicht inhuurdesk'!C98</f>
        <v>0</v>
      </c>
      <c r="D97" s="207">
        <f>'Overzicht inhuurdesk'!D98</f>
        <v>0</v>
      </c>
      <c r="E97" s="208">
        <f>'Overzicht inhuurdesk'!J98</f>
        <v>0</v>
      </c>
      <c r="F97" s="445" t="str">
        <f t="shared" si="12"/>
        <v/>
      </c>
      <c r="G97" s="209" t="str">
        <f>IF(B97&gt;" ",IF('Overzicht inhuurdesk'!F98="Nee","Voldoet niet aan eisen  volgens opdrachtnemer","OK")," ")</f>
        <v xml:space="preserve"> </v>
      </c>
      <c r="H97" s="180"/>
      <c r="I97" s="210"/>
      <c r="J97" s="445" t="str">
        <f t="shared" si="13"/>
        <v/>
      </c>
      <c r="K97" s="210"/>
      <c r="L97" s="446" t="str">
        <f t="shared" si="14"/>
        <v/>
      </c>
      <c r="M97" s="210"/>
      <c r="N97" s="447" t="str">
        <f t="shared" si="15"/>
        <v/>
      </c>
      <c r="O97" s="444"/>
      <c r="P97" s="444" t="str">
        <f t="shared" si="16"/>
        <v/>
      </c>
      <c r="Q97" s="444"/>
      <c r="R97" s="444" t="str">
        <f t="shared" si="17"/>
        <v/>
      </c>
      <c r="S97" s="210"/>
      <c r="T97" s="444" t="str">
        <f t="shared" si="18"/>
        <v/>
      </c>
      <c r="U97" s="210"/>
      <c r="V97" s="444" t="str">
        <f t="shared" si="19"/>
        <v/>
      </c>
      <c r="W97" s="341" t="str">
        <f t="shared" si="20"/>
        <v/>
      </c>
      <c r="X97" s="479" t="str">
        <f t="shared" si="21"/>
        <v/>
      </c>
      <c r="Y97" s="211"/>
      <c r="Z97" s="340"/>
      <c r="AB97" s="394" t="b">
        <f t="shared" si="10"/>
        <v>0</v>
      </c>
      <c r="AG97" s="394"/>
      <c r="AH97" s="394"/>
      <c r="AI97" s="394"/>
      <c r="AJ97" s="394"/>
      <c r="AK97" s="394"/>
      <c r="AL97" s="394"/>
      <c r="AM97" s="394"/>
      <c r="AN97" s="394"/>
      <c r="AO97" s="394"/>
      <c r="AP97" s="394"/>
      <c r="AQ97" s="394"/>
      <c r="AR97" s="394"/>
      <c r="AS97" s="394"/>
      <c r="AT97" s="394"/>
      <c r="AU97" s="394"/>
      <c r="AV97" s="394"/>
    </row>
    <row r="98" spans="1:48" ht="25" customHeight="1">
      <c r="A98" s="313">
        <v>85</v>
      </c>
      <c r="B98" s="206">
        <f>'Overzicht inhuurdesk'!B99</f>
        <v>0</v>
      </c>
      <c r="C98" s="206">
        <f>'Overzicht inhuurdesk'!C99</f>
        <v>0</v>
      </c>
      <c r="D98" s="207">
        <f>'Overzicht inhuurdesk'!D99</f>
        <v>0</v>
      </c>
      <c r="E98" s="208">
        <f>'Overzicht inhuurdesk'!J99</f>
        <v>0</v>
      </c>
      <c r="F98" s="445" t="str">
        <f t="shared" si="12"/>
        <v/>
      </c>
      <c r="G98" s="209" t="str">
        <f>IF(B98&gt;" ",IF('Overzicht inhuurdesk'!F99="Nee","Voldoet niet aan eisen  volgens opdrachtnemer","OK")," ")</f>
        <v xml:space="preserve"> </v>
      </c>
      <c r="H98" s="180"/>
      <c r="I98" s="210"/>
      <c r="J98" s="445" t="str">
        <f t="shared" si="13"/>
        <v/>
      </c>
      <c r="K98" s="210"/>
      <c r="L98" s="446" t="str">
        <f t="shared" si="14"/>
        <v/>
      </c>
      <c r="M98" s="210"/>
      <c r="N98" s="447" t="str">
        <f t="shared" si="15"/>
        <v/>
      </c>
      <c r="O98" s="444"/>
      <c r="P98" s="444" t="str">
        <f t="shared" si="16"/>
        <v/>
      </c>
      <c r="Q98" s="444"/>
      <c r="R98" s="444" t="str">
        <f t="shared" si="17"/>
        <v/>
      </c>
      <c r="S98" s="210"/>
      <c r="T98" s="444" t="str">
        <f t="shared" si="18"/>
        <v/>
      </c>
      <c r="U98" s="210"/>
      <c r="V98" s="444" t="str">
        <f t="shared" si="19"/>
        <v/>
      </c>
      <c r="W98" s="341" t="str">
        <f t="shared" si="20"/>
        <v/>
      </c>
      <c r="X98" s="479" t="str">
        <f t="shared" si="21"/>
        <v/>
      </c>
      <c r="Y98" s="211"/>
      <c r="Z98" s="340"/>
      <c r="AB98" s="394" t="b">
        <f t="shared" si="10"/>
        <v>0</v>
      </c>
      <c r="AG98" s="394"/>
      <c r="AH98" s="394"/>
      <c r="AI98" s="394"/>
      <c r="AJ98" s="394"/>
      <c r="AK98" s="394"/>
      <c r="AL98" s="394"/>
      <c r="AM98" s="394"/>
      <c r="AN98" s="394"/>
      <c r="AO98" s="394"/>
      <c r="AP98" s="394"/>
      <c r="AQ98" s="394"/>
      <c r="AR98" s="394"/>
      <c r="AS98" s="394"/>
      <c r="AT98" s="394"/>
      <c r="AU98" s="394"/>
      <c r="AV98" s="394"/>
    </row>
    <row r="99" spans="1:48" ht="25" customHeight="1">
      <c r="A99" s="313">
        <v>86</v>
      </c>
      <c r="B99" s="206">
        <f>'Overzicht inhuurdesk'!B100</f>
        <v>0</v>
      </c>
      <c r="C99" s="206">
        <f>'Overzicht inhuurdesk'!C100</f>
        <v>0</v>
      </c>
      <c r="D99" s="207">
        <f>'Overzicht inhuurdesk'!D100</f>
        <v>0</v>
      </c>
      <c r="E99" s="208">
        <f>'Overzicht inhuurdesk'!J100</f>
        <v>0</v>
      </c>
      <c r="F99" s="445" t="str">
        <f t="shared" si="12"/>
        <v/>
      </c>
      <c r="G99" s="209" t="str">
        <f>IF(B99&gt;" ",IF('Overzicht inhuurdesk'!F100="Nee","Voldoet niet aan eisen  volgens opdrachtnemer","OK")," ")</f>
        <v xml:space="preserve"> </v>
      </c>
      <c r="H99" s="180"/>
      <c r="I99" s="210"/>
      <c r="J99" s="445" t="str">
        <f t="shared" si="13"/>
        <v/>
      </c>
      <c r="K99" s="210"/>
      <c r="L99" s="446" t="str">
        <f t="shared" si="14"/>
        <v/>
      </c>
      <c r="M99" s="210"/>
      <c r="N99" s="447" t="str">
        <f t="shared" si="15"/>
        <v/>
      </c>
      <c r="O99" s="444"/>
      <c r="P99" s="444" t="str">
        <f t="shared" si="16"/>
        <v/>
      </c>
      <c r="Q99" s="444"/>
      <c r="R99" s="444" t="str">
        <f t="shared" si="17"/>
        <v/>
      </c>
      <c r="S99" s="210"/>
      <c r="T99" s="444" t="str">
        <f t="shared" si="18"/>
        <v/>
      </c>
      <c r="U99" s="210"/>
      <c r="V99" s="444" t="str">
        <f t="shared" si="19"/>
        <v/>
      </c>
      <c r="W99" s="341" t="str">
        <f t="shared" si="20"/>
        <v/>
      </c>
      <c r="X99" s="479" t="str">
        <f t="shared" si="21"/>
        <v/>
      </c>
      <c r="Y99" s="211"/>
      <c r="Z99" s="340"/>
      <c r="AB99" s="394" t="b">
        <f t="shared" si="10"/>
        <v>0</v>
      </c>
      <c r="AG99" s="394"/>
      <c r="AH99" s="394"/>
      <c r="AI99" s="394"/>
      <c r="AJ99" s="394"/>
      <c r="AK99" s="394"/>
      <c r="AL99" s="394"/>
      <c r="AM99" s="394"/>
      <c r="AN99" s="394"/>
      <c r="AO99" s="394"/>
      <c r="AP99" s="394"/>
      <c r="AQ99" s="394"/>
      <c r="AR99" s="394"/>
      <c r="AS99" s="394"/>
      <c r="AT99" s="394"/>
      <c r="AU99" s="394"/>
      <c r="AV99" s="394"/>
    </row>
    <row r="100" spans="1:48" ht="25" customHeight="1">
      <c r="A100" s="313">
        <v>87</v>
      </c>
      <c r="B100" s="206">
        <f>'Overzicht inhuurdesk'!B101</f>
        <v>0</v>
      </c>
      <c r="C100" s="206">
        <f>'Overzicht inhuurdesk'!C101</f>
        <v>0</v>
      </c>
      <c r="D100" s="207">
        <f>'Overzicht inhuurdesk'!D101</f>
        <v>0</v>
      </c>
      <c r="E100" s="208">
        <f>'Overzicht inhuurdesk'!J101</f>
        <v>0</v>
      </c>
      <c r="F100" s="445" t="str">
        <f t="shared" si="12"/>
        <v/>
      </c>
      <c r="G100" s="209" t="str">
        <f>IF(B100&gt;" ",IF('Overzicht inhuurdesk'!F101="Nee","Voldoet niet aan eisen  volgens opdrachtnemer","OK")," ")</f>
        <v xml:space="preserve"> </v>
      </c>
      <c r="H100" s="180"/>
      <c r="I100" s="210"/>
      <c r="J100" s="445" t="str">
        <f t="shared" si="13"/>
        <v/>
      </c>
      <c r="K100" s="210"/>
      <c r="L100" s="446" t="str">
        <f t="shared" si="14"/>
        <v/>
      </c>
      <c r="M100" s="210"/>
      <c r="N100" s="447" t="str">
        <f t="shared" si="15"/>
        <v/>
      </c>
      <c r="O100" s="444"/>
      <c r="P100" s="444" t="str">
        <f t="shared" si="16"/>
        <v/>
      </c>
      <c r="Q100" s="444"/>
      <c r="R100" s="444" t="str">
        <f t="shared" si="17"/>
        <v/>
      </c>
      <c r="S100" s="210"/>
      <c r="T100" s="444" t="str">
        <f t="shared" si="18"/>
        <v/>
      </c>
      <c r="U100" s="210"/>
      <c r="V100" s="444" t="str">
        <f t="shared" si="19"/>
        <v/>
      </c>
      <c r="W100" s="341" t="str">
        <f t="shared" si="20"/>
        <v/>
      </c>
      <c r="X100" s="479" t="str">
        <f t="shared" si="21"/>
        <v/>
      </c>
      <c r="Y100" s="211"/>
      <c r="Z100" s="340"/>
      <c r="AB100" s="394" t="b">
        <f t="shared" si="10"/>
        <v>0</v>
      </c>
      <c r="AG100" s="394"/>
      <c r="AH100" s="394"/>
      <c r="AI100" s="394"/>
      <c r="AJ100" s="394"/>
      <c r="AK100" s="394"/>
      <c r="AL100" s="394"/>
      <c r="AM100" s="394"/>
      <c r="AN100" s="394"/>
      <c r="AO100" s="394"/>
      <c r="AP100" s="394"/>
      <c r="AQ100" s="394"/>
      <c r="AR100" s="394"/>
      <c r="AS100" s="394"/>
      <c r="AT100" s="394"/>
      <c r="AU100" s="394"/>
      <c r="AV100" s="394"/>
    </row>
    <row r="101" spans="1:48" ht="25" customHeight="1">
      <c r="A101" s="313">
        <v>88</v>
      </c>
      <c r="B101" s="206">
        <f>'Overzicht inhuurdesk'!B102</f>
        <v>0</v>
      </c>
      <c r="C101" s="206">
        <f>'Overzicht inhuurdesk'!C102</f>
        <v>0</v>
      </c>
      <c r="D101" s="207">
        <f>'Overzicht inhuurdesk'!D102</f>
        <v>0</v>
      </c>
      <c r="E101" s="208">
        <f>'Overzicht inhuurdesk'!J102</f>
        <v>0</v>
      </c>
      <c r="F101" s="445" t="str">
        <f t="shared" si="12"/>
        <v/>
      </c>
      <c r="G101" s="209" t="str">
        <f>IF(B101&gt;" ",IF('Overzicht inhuurdesk'!F102="Nee","Voldoet niet aan eisen  volgens opdrachtnemer","OK")," ")</f>
        <v xml:space="preserve"> </v>
      </c>
      <c r="H101" s="180"/>
      <c r="I101" s="210"/>
      <c r="J101" s="445" t="str">
        <f t="shared" si="7"/>
        <v/>
      </c>
      <c r="K101" s="210"/>
      <c r="L101" s="446" t="str">
        <f t="shared" si="1"/>
        <v/>
      </c>
      <c r="M101" s="210"/>
      <c r="N101" s="447" t="str">
        <f t="shared" si="2"/>
        <v/>
      </c>
      <c r="O101" s="444"/>
      <c r="P101" s="444" t="str">
        <f t="shared" si="3"/>
        <v/>
      </c>
      <c r="Q101" s="444"/>
      <c r="R101" s="444" t="str">
        <f t="shared" si="4"/>
        <v/>
      </c>
      <c r="S101" s="210"/>
      <c r="T101" s="444" t="str">
        <f t="shared" si="5"/>
        <v/>
      </c>
      <c r="U101" s="210"/>
      <c r="V101" s="444" t="str">
        <f t="shared" si="6"/>
        <v/>
      </c>
      <c r="W101" s="341" t="str">
        <f t="shared" si="8"/>
        <v/>
      </c>
      <c r="X101" s="479" t="str">
        <f t="shared" si="21"/>
        <v/>
      </c>
      <c r="Y101" s="211"/>
      <c r="Z101" s="340"/>
      <c r="AB101" s="394" t="b">
        <f t="shared" si="10"/>
        <v>0</v>
      </c>
      <c r="AG101" s="394"/>
      <c r="AH101" s="394"/>
      <c r="AI101" s="394"/>
      <c r="AJ101" s="394"/>
      <c r="AK101" s="394"/>
      <c r="AL101" s="394"/>
      <c r="AM101" s="394"/>
      <c r="AN101" s="394"/>
      <c r="AO101" s="394"/>
      <c r="AP101" s="394"/>
      <c r="AQ101" s="394"/>
      <c r="AR101" s="394"/>
      <c r="AS101" s="394"/>
      <c r="AT101" s="394"/>
      <c r="AU101" s="394"/>
      <c r="AV101" s="394"/>
    </row>
    <row r="102" spans="1:48" ht="6.75" customHeight="1">
      <c r="A102" s="339"/>
      <c r="B102" s="733"/>
      <c r="C102" s="733"/>
      <c r="D102" s="733"/>
      <c r="E102" s="733"/>
      <c r="F102" s="733"/>
      <c r="G102" s="733"/>
      <c r="H102" s="733"/>
      <c r="I102" s="733"/>
      <c r="J102" s="733"/>
      <c r="K102" s="733"/>
      <c r="L102" s="733"/>
      <c r="M102" s="733"/>
      <c r="N102" s="733"/>
      <c r="O102" s="733"/>
      <c r="P102" s="733"/>
      <c r="Q102" s="733"/>
      <c r="R102" s="733"/>
      <c r="S102" s="733"/>
      <c r="T102" s="733"/>
      <c r="U102" s="733"/>
      <c r="V102" s="733"/>
      <c r="W102" s="733"/>
      <c r="X102" s="733"/>
      <c r="Y102" s="733"/>
      <c r="Z102" s="151"/>
      <c r="AG102" s="394"/>
      <c r="AH102" s="394"/>
      <c r="AI102" s="394"/>
      <c r="AJ102" s="394"/>
      <c r="AK102" s="394"/>
      <c r="AL102" s="394"/>
      <c r="AM102" s="394"/>
      <c r="AN102" s="394"/>
      <c r="AO102" s="394"/>
      <c r="AP102" s="394"/>
      <c r="AQ102" s="394"/>
      <c r="AR102" s="394"/>
      <c r="AS102" s="394"/>
      <c r="AT102" s="394"/>
      <c r="AU102" s="394"/>
      <c r="AV102" s="394"/>
    </row>
    <row r="103" spans="1:48" ht="17.25" customHeight="1">
      <c r="AG103" s="394"/>
      <c r="AH103" s="394"/>
      <c r="AI103" s="394"/>
      <c r="AJ103" s="394"/>
      <c r="AK103" s="394"/>
      <c r="AL103" s="394"/>
      <c r="AM103" s="394"/>
      <c r="AN103" s="394"/>
      <c r="AO103" s="394"/>
      <c r="AP103" s="394"/>
      <c r="AQ103" s="394"/>
      <c r="AR103" s="394"/>
      <c r="AS103" s="394"/>
      <c r="AT103" s="394"/>
      <c r="AU103" s="394"/>
      <c r="AV103" s="394"/>
    </row>
    <row r="104" spans="1:48" ht="17.25" customHeight="1">
      <c r="AG104" s="394"/>
      <c r="AH104" s="394"/>
      <c r="AI104" s="394"/>
      <c r="AJ104" s="394"/>
      <c r="AK104" s="394"/>
      <c r="AL104" s="394"/>
      <c r="AM104" s="394"/>
      <c r="AN104" s="394"/>
      <c r="AO104" s="394"/>
      <c r="AP104" s="394"/>
      <c r="AQ104" s="394"/>
      <c r="AR104" s="394"/>
      <c r="AS104" s="394"/>
      <c r="AT104" s="394"/>
      <c r="AU104" s="394"/>
      <c r="AV104" s="394"/>
    </row>
    <row r="105" spans="1:48" ht="17.25" customHeight="1">
      <c r="AG105" s="394"/>
      <c r="AH105" s="394"/>
      <c r="AI105" s="394"/>
      <c r="AJ105" s="394"/>
      <c r="AK105" s="394"/>
      <c r="AL105" s="394"/>
      <c r="AM105" s="394"/>
      <c r="AN105" s="394"/>
      <c r="AO105" s="394"/>
      <c r="AP105" s="394"/>
      <c r="AQ105" s="394"/>
      <c r="AR105" s="394"/>
      <c r="AS105" s="394"/>
      <c r="AT105" s="394"/>
      <c r="AU105" s="394"/>
      <c r="AV105" s="394"/>
    </row>
    <row r="106" spans="1:48" ht="17.25" customHeight="1">
      <c r="AG106" s="394"/>
      <c r="AH106" s="394"/>
      <c r="AI106" s="394"/>
      <c r="AJ106" s="394"/>
      <c r="AK106" s="394"/>
      <c r="AL106" s="394"/>
      <c r="AM106" s="394"/>
      <c r="AN106" s="394"/>
      <c r="AO106" s="394"/>
      <c r="AP106" s="394"/>
      <c r="AQ106" s="394"/>
      <c r="AR106" s="394"/>
      <c r="AS106" s="394"/>
      <c r="AT106" s="394"/>
      <c r="AU106" s="394"/>
      <c r="AV106" s="394"/>
    </row>
    <row r="107" spans="1:48" ht="17.25" customHeight="1">
      <c r="AG107" s="394"/>
      <c r="AH107" s="394"/>
      <c r="AI107" s="394"/>
      <c r="AJ107" s="394"/>
      <c r="AK107" s="394"/>
      <c r="AL107" s="394"/>
      <c r="AM107" s="394"/>
      <c r="AN107" s="394"/>
      <c r="AO107" s="394"/>
      <c r="AP107" s="394"/>
      <c r="AQ107" s="394"/>
      <c r="AR107" s="394"/>
      <c r="AS107" s="394"/>
      <c r="AT107" s="394"/>
      <c r="AU107" s="394"/>
      <c r="AV107" s="394"/>
    </row>
    <row r="108" spans="1:48" ht="17.25" customHeight="1">
      <c r="AG108" s="394"/>
      <c r="AH108" s="394"/>
      <c r="AI108" s="394"/>
      <c r="AJ108" s="394"/>
      <c r="AK108" s="394"/>
      <c r="AL108" s="394"/>
      <c r="AM108" s="394"/>
      <c r="AN108" s="394"/>
      <c r="AO108" s="394"/>
      <c r="AP108" s="394"/>
      <c r="AQ108" s="394"/>
      <c r="AR108" s="394"/>
      <c r="AS108" s="394"/>
      <c r="AT108" s="394"/>
      <c r="AU108" s="394"/>
      <c r="AV108" s="394"/>
    </row>
    <row r="109" spans="1:48" ht="17.25" customHeight="1">
      <c r="AG109" s="394"/>
      <c r="AH109" s="394"/>
      <c r="AI109" s="394"/>
      <c r="AJ109" s="394"/>
      <c r="AK109" s="394"/>
      <c r="AL109" s="394"/>
      <c r="AM109" s="394"/>
      <c r="AN109" s="394"/>
      <c r="AO109" s="394"/>
      <c r="AP109" s="394"/>
      <c r="AQ109" s="394"/>
      <c r="AR109" s="394"/>
      <c r="AS109" s="394"/>
      <c r="AT109" s="394"/>
      <c r="AU109" s="394"/>
      <c r="AV109" s="394"/>
    </row>
    <row r="110" spans="1:48" ht="17.25" customHeight="1">
      <c r="AG110" s="394"/>
      <c r="AH110" s="394"/>
      <c r="AI110" s="394"/>
      <c r="AJ110" s="394"/>
      <c r="AK110" s="394"/>
      <c r="AL110" s="394"/>
      <c r="AM110" s="394"/>
      <c r="AN110" s="394"/>
      <c r="AO110" s="394"/>
      <c r="AP110" s="394"/>
      <c r="AQ110" s="394"/>
      <c r="AR110" s="394"/>
      <c r="AS110" s="394"/>
      <c r="AT110" s="394"/>
      <c r="AU110" s="394"/>
      <c r="AV110" s="394"/>
    </row>
    <row r="111" spans="1:48" ht="17.25" customHeight="1">
      <c r="AG111" s="394"/>
      <c r="AH111" s="394"/>
      <c r="AI111" s="394"/>
      <c r="AJ111" s="394"/>
      <c r="AK111" s="394"/>
      <c r="AL111" s="394"/>
      <c r="AM111" s="394"/>
      <c r="AN111" s="394"/>
      <c r="AO111" s="394"/>
      <c r="AP111" s="394"/>
      <c r="AQ111" s="394"/>
      <c r="AR111" s="394"/>
      <c r="AS111" s="394"/>
      <c r="AT111" s="394"/>
      <c r="AU111" s="394"/>
      <c r="AV111" s="394"/>
    </row>
    <row r="112" spans="1:48" ht="17.25" customHeight="1">
      <c r="AG112" s="394"/>
      <c r="AH112" s="394"/>
      <c r="AI112" s="394"/>
      <c r="AJ112" s="394"/>
      <c r="AK112" s="394"/>
      <c r="AL112" s="394"/>
      <c r="AM112" s="394"/>
      <c r="AN112" s="394"/>
      <c r="AO112" s="394"/>
      <c r="AP112" s="394"/>
      <c r="AQ112" s="394"/>
      <c r="AR112" s="394"/>
      <c r="AS112" s="394"/>
      <c r="AT112" s="394"/>
      <c r="AU112" s="394"/>
      <c r="AV112" s="394"/>
    </row>
    <row r="113" spans="33:48" ht="17.25" customHeight="1">
      <c r="AG113" s="394"/>
      <c r="AH113" s="394"/>
      <c r="AI113" s="394"/>
      <c r="AJ113" s="394"/>
      <c r="AK113" s="394"/>
      <c r="AL113" s="394"/>
      <c r="AM113" s="394"/>
      <c r="AN113" s="394"/>
      <c r="AO113" s="394"/>
      <c r="AP113" s="394"/>
      <c r="AQ113" s="394"/>
      <c r="AR113" s="394"/>
      <c r="AS113" s="394"/>
      <c r="AT113" s="394"/>
      <c r="AU113" s="394"/>
      <c r="AV113" s="394"/>
    </row>
    <row r="114" spans="33:48" ht="17.25" customHeight="1">
      <c r="AG114" s="394"/>
      <c r="AH114" s="394"/>
      <c r="AI114" s="394"/>
      <c r="AJ114" s="394"/>
      <c r="AK114" s="394"/>
      <c r="AL114" s="394"/>
      <c r="AM114" s="394"/>
      <c r="AN114" s="394"/>
      <c r="AO114" s="394"/>
      <c r="AP114" s="394"/>
      <c r="AQ114" s="394"/>
      <c r="AR114" s="394"/>
      <c r="AS114" s="394"/>
      <c r="AT114" s="394"/>
      <c r="AU114" s="394"/>
      <c r="AV114" s="394"/>
    </row>
    <row r="115" spans="33:48" ht="17.25" customHeight="1">
      <c r="AG115" s="394"/>
      <c r="AH115" s="394"/>
      <c r="AI115" s="394"/>
      <c r="AJ115" s="394"/>
      <c r="AK115" s="394"/>
      <c r="AL115" s="394"/>
      <c r="AM115" s="394"/>
      <c r="AN115" s="394"/>
      <c r="AO115" s="394"/>
      <c r="AP115" s="394"/>
      <c r="AQ115" s="394"/>
      <c r="AR115" s="394"/>
      <c r="AS115" s="394"/>
      <c r="AT115" s="394"/>
      <c r="AU115" s="394"/>
      <c r="AV115" s="394"/>
    </row>
    <row r="116" spans="33:48" ht="17.25" customHeight="1">
      <c r="AG116" s="394"/>
      <c r="AH116" s="394"/>
      <c r="AI116" s="394"/>
      <c r="AJ116" s="394"/>
      <c r="AK116" s="394"/>
      <c r="AL116" s="394"/>
      <c r="AM116" s="394"/>
      <c r="AN116" s="394"/>
      <c r="AO116" s="394"/>
      <c r="AP116" s="394"/>
      <c r="AQ116" s="394"/>
      <c r="AR116" s="394"/>
      <c r="AS116" s="394"/>
      <c r="AT116" s="394"/>
      <c r="AU116" s="394"/>
      <c r="AV116" s="394"/>
    </row>
    <row r="117" spans="33:48" ht="17.25" customHeight="1">
      <c r="AG117" s="394"/>
      <c r="AH117" s="394"/>
      <c r="AI117" s="394"/>
      <c r="AJ117" s="394"/>
      <c r="AK117" s="394"/>
      <c r="AL117" s="394"/>
      <c r="AM117" s="394"/>
      <c r="AN117" s="394"/>
      <c r="AO117" s="394"/>
      <c r="AP117" s="394"/>
      <c r="AQ117" s="394"/>
      <c r="AR117" s="394"/>
      <c r="AS117" s="394"/>
      <c r="AT117" s="394"/>
      <c r="AU117" s="394"/>
      <c r="AV117" s="394"/>
    </row>
    <row r="118" spans="33:48" ht="17.25" customHeight="1">
      <c r="AG118" s="394"/>
      <c r="AH118" s="394"/>
      <c r="AI118" s="394"/>
      <c r="AJ118" s="394"/>
      <c r="AK118" s="394"/>
      <c r="AL118" s="394"/>
      <c r="AM118" s="394"/>
      <c r="AN118" s="394"/>
      <c r="AO118" s="394"/>
      <c r="AP118" s="394"/>
      <c r="AQ118" s="394"/>
      <c r="AR118" s="394"/>
      <c r="AS118" s="394"/>
      <c r="AT118" s="394"/>
      <c r="AU118" s="394"/>
      <c r="AV118" s="394"/>
    </row>
    <row r="119" spans="33:48" ht="17.25" customHeight="1">
      <c r="AG119" s="394"/>
      <c r="AH119" s="394"/>
      <c r="AI119" s="394"/>
      <c r="AJ119" s="394"/>
      <c r="AK119" s="394"/>
      <c r="AL119" s="394"/>
      <c r="AM119" s="394"/>
      <c r="AN119" s="394"/>
      <c r="AO119" s="394"/>
      <c r="AP119" s="394"/>
      <c r="AQ119" s="394"/>
      <c r="AR119" s="394"/>
      <c r="AS119" s="394"/>
      <c r="AT119" s="394"/>
      <c r="AU119" s="394"/>
      <c r="AV119" s="394"/>
    </row>
    <row r="120" spans="33:48" ht="17.25" customHeight="1">
      <c r="AG120" s="394"/>
      <c r="AH120" s="394"/>
      <c r="AI120" s="394"/>
      <c r="AJ120" s="394"/>
      <c r="AK120" s="394"/>
      <c r="AL120" s="394"/>
      <c r="AM120" s="394"/>
      <c r="AN120" s="394"/>
      <c r="AO120" s="394"/>
      <c r="AP120" s="394"/>
      <c r="AQ120" s="394"/>
      <c r="AR120" s="394"/>
      <c r="AS120" s="394"/>
      <c r="AT120" s="394"/>
      <c r="AU120" s="394"/>
      <c r="AV120" s="394"/>
    </row>
    <row r="121" spans="33:48" ht="17.25" customHeight="1">
      <c r="AG121" s="394"/>
      <c r="AH121" s="394"/>
      <c r="AI121" s="394"/>
      <c r="AJ121" s="394"/>
      <c r="AK121" s="394"/>
      <c r="AL121" s="394"/>
      <c r="AM121" s="394"/>
      <c r="AN121" s="394"/>
      <c r="AO121" s="394"/>
      <c r="AP121" s="394"/>
      <c r="AQ121" s="394"/>
      <c r="AR121" s="394"/>
      <c r="AS121" s="394"/>
      <c r="AT121" s="394"/>
      <c r="AU121" s="394"/>
      <c r="AV121" s="394"/>
    </row>
    <row r="122" spans="33:48" ht="17.25" customHeight="1">
      <c r="AG122" s="394"/>
      <c r="AH122" s="394"/>
      <c r="AI122" s="394"/>
      <c r="AJ122" s="394"/>
      <c r="AK122" s="394"/>
      <c r="AL122" s="394"/>
      <c r="AM122" s="394"/>
      <c r="AN122" s="394"/>
      <c r="AO122" s="394"/>
      <c r="AP122" s="394"/>
      <c r="AQ122" s="394"/>
      <c r="AR122" s="394"/>
      <c r="AS122" s="394"/>
      <c r="AT122" s="394"/>
      <c r="AU122" s="394"/>
      <c r="AV122" s="394"/>
    </row>
    <row r="123" spans="33:48" ht="17.25" customHeight="1">
      <c r="AG123" s="394"/>
      <c r="AH123" s="394"/>
      <c r="AI123" s="394"/>
      <c r="AJ123" s="394"/>
      <c r="AK123" s="394"/>
      <c r="AL123" s="394"/>
      <c r="AM123" s="394"/>
      <c r="AN123" s="394"/>
      <c r="AO123" s="394"/>
      <c r="AP123" s="394"/>
      <c r="AQ123" s="394"/>
      <c r="AR123" s="394"/>
      <c r="AS123" s="394"/>
      <c r="AT123" s="394"/>
      <c r="AU123" s="394"/>
      <c r="AV123" s="394"/>
    </row>
    <row r="124" spans="33:48" ht="17.25" customHeight="1">
      <c r="AG124" s="394"/>
      <c r="AH124" s="394"/>
      <c r="AI124" s="394"/>
      <c r="AJ124" s="394"/>
      <c r="AK124" s="394"/>
      <c r="AL124" s="394"/>
      <c r="AM124" s="394"/>
      <c r="AN124" s="394"/>
      <c r="AO124" s="394"/>
      <c r="AP124" s="394"/>
      <c r="AQ124" s="394"/>
      <c r="AR124" s="394"/>
      <c r="AS124" s="394"/>
      <c r="AT124" s="394"/>
      <c r="AU124" s="394"/>
      <c r="AV124" s="394"/>
    </row>
    <row r="125" spans="33:48" ht="17.25" customHeight="1">
      <c r="AG125" s="394"/>
      <c r="AH125" s="394"/>
      <c r="AI125" s="394"/>
      <c r="AJ125" s="394"/>
      <c r="AK125" s="394"/>
      <c r="AL125" s="394"/>
      <c r="AM125" s="394"/>
      <c r="AN125" s="394"/>
      <c r="AO125" s="394"/>
      <c r="AP125" s="394"/>
      <c r="AQ125" s="394"/>
      <c r="AR125" s="394"/>
      <c r="AS125" s="394"/>
      <c r="AT125" s="394"/>
      <c r="AU125" s="394"/>
      <c r="AV125" s="394"/>
    </row>
    <row r="126" spans="33:48" ht="17.25" customHeight="1">
      <c r="AG126" s="394"/>
      <c r="AH126" s="394"/>
      <c r="AI126" s="394"/>
      <c r="AJ126" s="394"/>
      <c r="AK126" s="394"/>
      <c r="AL126" s="394"/>
      <c r="AM126" s="394"/>
      <c r="AN126" s="394"/>
      <c r="AO126" s="394"/>
      <c r="AP126" s="394"/>
      <c r="AQ126" s="394"/>
      <c r="AR126" s="394"/>
      <c r="AS126" s="394"/>
      <c r="AT126" s="394"/>
      <c r="AU126" s="394"/>
      <c r="AV126" s="394"/>
    </row>
    <row r="127" spans="33:48" ht="17.25" customHeight="1">
      <c r="AG127" s="394"/>
      <c r="AH127" s="394"/>
      <c r="AI127" s="394"/>
      <c r="AJ127" s="394"/>
      <c r="AK127" s="394"/>
      <c r="AL127" s="394"/>
      <c r="AM127" s="394"/>
      <c r="AN127" s="394"/>
      <c r="AO127" s="394"/>
      <c r="AP127" s="394"/>
      <c r="AQ127" s="394"/>
      <c r="AR127" s="394"/>
      <c r="AS127" s="394"/>
      <c r="AT127" s="394"/>
      <c r="AU127" s="394"/>
      <c r="AV127" s="394"/>
    </row>
    <row r="128" spans="33:48" ht="17.25" customHeight="1">
      <c r="AG128" s="394"/>
      <c r="AH128" s="394"/>
      <c r="AI128" s="394"/>
      <c r="AJ128" s="394"/>
      <c r="AK128" s="394"/>
      <c r="AL128" s="394"/>
      <c r="AM128" s="394"/>
      <c r="AN128" s="394"/>
      <c r="AO128" s="394"/>
      <c r="AP128" s="394"/>
      <c r="AQ128" s="394"/>
      <c r="AR128" s="394"/>
      <c r="AS128" s="394"/>
      <c r="AT128" s="394"/>
      <c r="AU128" s="394"/>
      <c r="AV128" s="394"/>
    </row>
    <row r="129" spans="33:48" ht="17.25" customHeight="1">
      <c r="AG129" s="394"/>
      <c r="AH129" s="394"/>
      <c r="AI129" s="394"/>
      <c r="AJ129" s="394"/>
      <c r="AK129" s="394"/>
      <c r="AL129" s="394"/>
      <c r="AM129" s="394"/>
      <c r="AN129" s="394"/>
      <c r="AO129" s="394"/>
      <c r="AP129" s="394"/>
      <c r="AQ129" s="394"/>
      <c r="AR129" s="394"/>
      <c r="AS129" s="394"/>
      <c r="AT129" s="394"/>
      <c r="AU129" s="394"/>
      <c r="AV129" s="394"/>
    </row>
    <row r="130" spans="33:48" ht="17.25" customHeight="1">
      <c r="AG130" s="394"/>
      <c r="AH130" s="394"/>
      <c r="AI130" s="394"/>
      <c r="AJ130" s="394"/>
      <c r="AK130" s="394"/>
      <c r="AL130" s="394"/>
      <c r="AM130" s="394"/>
      <c r="AN130" s="394"/>
      <c r="AO130" s="394"/>
      <c r="AP130" s="394"/>
      <c r="AQ130" s="394"/>
      <c r="AR130" s="394"/>
      <c r="AS130" s="394"/>
      <c r="AT130" s="394"/>
      <c r="AU130" s="394"/>
      <c r="AV130" s="394"/>
    </row>
    <row r="131" spans="33:48" ht="17.25" customHeight="1">
      <c r="AG131" s="394"/>
      <c r="AH131" s="394"/>
      <c r="AI131" s="394"/>
      <c r="AJ131" s="394"/>
      <c r="AK131" s="394"/>
      <c r="AL131" s="394"/>
      <c r="AM131" s="394"/>
      <c r="AN131" s="394"/>
      <c r="AO131" s="394"/>
      <c r="AP131" s="394"/>
      <c r="AQ131" s="394"/>
      <c r="AR131" s="394"/>
      <c r="AS131" s="394"/>
      <c r="AT131" s="394"/>
      <c r="AU131" s="394"/>
      <c r="AV131" s="394"/>
    </row>
    <row r="132" spans="33:48" ht="17.25" customHeight="1">
      <c r="AG132" s="394"/>
      <c r="AH132" s="394"/>
      <c r="AI132" s="394"/>
      <c r="AJ132" s="394"/>
      <c r="AK132" s="394"/>
      <c r="AL132" s="394"/>
      <c r="AM132" s="394"/>
      <c r="AN132" s="394"/>
      <c r="AO132" s="394"/>
      <c r="AP132" s="394"/>
      <c r="AQ132" s="394"/>
      <c r="AR132" s="394"/>
      <c r="AS132" s="394"/>
      <c r="AT132" s="394"/>
      <c r="AU132" s="394"/>
      <c r="AV132" s="394"/>
    </row>
    <row r="133" spans="33:48" ht="17.25" customHeight="1">
      <c r="AG133" s="394"/>
      <c r="AH133" s="394"/>
      <c r="AI133" s="394"/>
      <c r="AJ133" s="394"/>
      <c r="AK133" s="394"/>
      <c r="AL133" s="394"/>
      <c r="AM133" s="394"/>
      <c r="AN133" s="394"/>
      <c r="AO133" s="394"/>
      <c r="AP133" s="394"/>
      <c r="AQ133" s="394"/>
      <c r="AR133" s="394"/>
      <c r="AS133" s="394"/>
      <c r="AT133" s="394"/>
      <c r="AU133" s="394"/>
      <c r="AV133" s="394"/>
    </row>
    <row r="134" spans="33:48" ht="17.25" customHeight="1">
      <c r="AG134" s="394"/>
      <c r="AH134" s="394"/>
      <c r="AI134" s="394"/>
      <c r="AJ134" s="394"/>
      <c r="AK134" s="394"/>
      <c r="AL134" s="394"/>
      <c r="AM134" s="394"/>
      <c r="AN134" s="394"/>
      <c r="AO134" s="394"/>
      <c r="AP134" s="394"/>
      <c r="AQ134" s="394"/>
      <c r="AR134" s="394"/>
      <c r="AS134" s="394"/>
      <c r="AT134" s="394"/>
      <c r="AU134" s="394"/>
      <c r="AV134" s="394"/>
    </row>
    <row r="135" spans="33:48" ht="17.25" customHeight="1">
      <c r="AG135" s="394"/>
      <c r="AH135" s="394"/>
      <c r="AI135" s="394"/>
      <c r="AJ135" s="394"/>
      <c r="AK135" s="394"/>
      <c r="AL135" s="394"/>
      <c r="AM135" s="394"/>
      <c r="AN135" s="394"/>
      <c r="AO135" s="394"/>
      <c r="AP135" s="394"/>
      <c r="AQ135" s="394"/>
      <c r="AR135" s="394"/>
      <c r="AS135" s="394"/>
      <c r="AT135" s="394"/>
      <c r="AU135" s="394"/>
      <c r="AV135" s="394"/>
    </row>
    <row r="136" spans="33:48" ht="17.25" customHeight="1">
      <c r="AG136" s="394"/>
      <c r="AH136" s="394"/>
      <c r="AI136" s="394"/>
      <c r="AJ136" s="394"/>
      <c r="AK136" s="394"/>
      <c r="AL136" s="394"/>
      <c r="AM136" s="394"/>
      <c r="AN136" s="394"/>
      <c r="AO136" s="394"/>
      <c r="AP136" s="394"/>
      <c r="AQ136" s="394"/>
      <c r="AR136" s="394"/>
      <c r="AS136" s="394"/>
      <c r="AT136" s="394"/>
      <c r="AU136" s="394"/>
      <c r="AV136" s="394"/>
    </row>
    <row r="137" spans="33:48" ht="17.25" customHeight="1">
      <c r="AG137" s="394"/>
      <c r="AH137" s="394"/>
      <c r="AI137" s="394"/>
      <c r="AJ137" s="394"/>
      <c r="AK137" s="394"/>
      <c r="AL137" s="394"/>
      <c r="AM137" s="394"/>
      <c r="AN137" s="394"/>
      <c r="AO137" s="394"/>
      <c r="AP137" s="394"/>
      <c r="AQ137" s="394"/>
      <c r="AR137" s="394"/>
      <c r="AS137" s="394"/>
      <c r="AT137" s="394"/>
      <c r="AU137" s="394"/>
      <c r="AV137" s="394"/>
    </row>
    <row r="138" spans="33:48" ht="17.25" customHeight="1">
      <c r="AG138" s="394"/>
      <c r="AH138" s="394"/>
      <c r="AI138" s="394"/>
      <c r="AJ138" s="394"/>
      <c r="AK138" s="394"/>
      <c r="AL138" s="394"/>
      <c r="AM138" s="394"/>
      <c r="AN138" s="394"/>
      <c r="AO138" s="394"/>
      <c r="AP138" s="394"/>
      <c r="AQ138" s="394"/>
      <c r="AR138" s="394"/>
      <c r="AS138" s="394"/>
      <c r="AT138" s="394"/>
      <c r="AU138" s="394"/>
      <c r="AV138" s="394"/>
    </row>
  </sheetData>
  <sheetProtection sheet="1" formatRows="0" selectLockedCells="1"/>
  <dataConsolidate/>
  <customSheetViews>
    <customSheetView guid="{CA546172-0AA0-4956-873D-5C937D195097}" fitToPage="1">
      <selection activeCell="G14" sqref="G14"/>
      <pageMargins left="0.43307086614173229" right="0.43307086614173229" top="0.35433070866141736" bottom="0.35433070866141736" header="0.31496062992125984" footer="0.31496062992125984"/>
      <printOptions horizontalCentered="1"/>
      <pageSetup paperSize="8" scale="84" fitToHeight="0" orientation="landscape" r:id="rId1"/>
      <headerFooter>
        <oddFooter>&amp;L&amp;"Verdana,Standaard"&amp;9&amp;K000000&amp;F&amp;C&amp;"Verdana Vet,Vet"&amp;9&amp;K000000Pagina &amp;P van &amp;N&amp;R&amp;"Verdana,Standaard"&amp;9&amp;K000000&amp;D</oddFooter>
      </headerFooter>
    </customSheetView>
  </customSheetViews>
  <mergeCells count="37">
    <mergeCell ref="V12:V13"/>
    <mergeCell ref="L12:L13"/>
    <mergeCell ref="N12:N13"/>
    <mergeCell ref="P12:P13"/>
    <mergeCell ref="R12:R13"/>
    <mergeCell ref="T12:T13"/>
    <mergeCell ref="A3:I3"/>
    <mergeCell ref="E1:G1"/>
    <mergeCell ref="A9:Z9"/>
    <mergeCell ref="A1:C1"/>
    <mergeCell ref="H1:K1"/>
    <mergeCell ref="A2:C2"/>
    <mergeCell ref="A5:B5"/>
    <mergeCell ref="C5:D5"/>
    <mergeCell ref="Q5:W5"/>
    <mergeCell ref="A6:B6"/>
    <mergeCell ref="E5:F5"/>
    <mergeCell ref="G6:H6"/>
    <mergeCell ref="G5:H5"/>
    <mergeCell ref="E7:F7"/>
    <mergeCell ref="G7:H7"/>
    <mergeCell ref="B102:Y102"/>
    <mergeCell ref="C6:D6"/>
    <mergeCell ref="A7:B7"/>
    <mergeCell ref="C7:D7"/>
    <mergeCell ref="A10:A12"/>
    <mergeCell ref="B10:H12"/>
    <mergeCell ref="I12:I13"/>
    <mergeCell ref="K12:K13"/>
    <mergeCell ref="M12:M13"/>
    <mergeCell ref="O12:O13"/>
    <mergeCell ref="Q12:Q13"/>
    <mergeCell ref="S12:S13"/>
    <mergeCell ref="U12:U13"/>
    <mergeCell ref="I10:V10"/>
    <mergeCell ref="J12:J13"/>
    <mergeCell ref="E6:F6"/>
  </mergeCells>
  <conditionalFormatting sqref="E14:F101">
    <cfRule type="cellIs" dxfId="45" priority="1" stopIfTrue="1" operator="equal">
      <formula>0</formula>
    </cfRule>
  </conditionalFormatting>
  <conditionalFormatting sqref="G14:G101">
    <cfRule type="cellIs" priority="2" stopIfTrue="1" operator="equal">
      <formula>" "</formula>
    </cfRule>
    <cfRule type="cellIs" dxfId="44" priority="3" stopIfTrue="1" operator="notEqual">
      <formula>"OK"</formula>
    </cfRule>
    <cfRule type="cellIs" dxfId="43" priority="4" stopIfTrue="1" operator="equal">
      <formula>"OK"</formula>
    </cfRule>
  </conditionalFormatting>
  <conditionalFormatting sqref="H14:H101">
    <cfRule type="cellIs" dxfId="42" priority="33" stopIfTrue="1" operator="equal">
      <formula>"Nee"</formula>
    </cfRule>
  </conditionalFormatting>
  <conditionalFormatting sqref="I11:I12">
    <cfRule type="cellIs" dxfId="41" priority="70" operator="equal">
      <formula>0</formula>
    </cfRule>
  </conditionalFormatting>
  <conditionalFormatting sqref="I14:I101 S14:S101 U14:U101">
    <cfRule type="cellIs" dxfId="40" priority="32" operator="lessThan">
      <formula>0</formula>
    </cfRule>
  </conditionalFormatting>
  <conditionalFormatting sqref="I14:I101">
    <cfRule type="expression" dxfId="39" priority="34">
      <formula>AND(J$11=I14,J$11=0)</formula>
    </cfRule>
  </conditionalFormatting>
  <conditionalFormatting sqref="J14:J101">
    <cfRule type="cellIs" dxfId="38" priority="25" stopIfTrue="1" operator="equal">
      <formula>0</formula>
    </cfRule>
  </conditionalFormatting>
  <conditionalFormatting sqref="J11:V11">
    <cfRule type="cellIs" dxfId="37" priority="73" operator="equal">
      <formula>0</formula>
    </cfRule>
  </conditionalFormatting>
  <conditionalFormatting sqref="K12">
    <cfRule type="cellIs" dxfId="36" priority="86" operator="equal">
      <formula>0</formula>
    </cfRule>
  </conditionalFormatting>
  <conditionalFormatting sqref="K14:K101">
    <cfRule type="cellIs" dxfId="35" priority="20" operator="lessThan">
      <formula>0</formula>
    </cfRule>
    <cfRule type="expression" dxfId="34" priority="21">
      <formula>AND(L$11=K14,L$11=0)</formula>
    </cfRule>
  </conditionalFormatting>
  <conditionalFormatting sqref="L14:L101 N14:N101">
    <cfRule type="expression" dxfId="33" priority="23" stopIfTrue="1">
      <formula>L$11&gt;0</formula>
    </cfRule>
    <cfRule type="expression" dxfId="32" priority="17">
      <formula>L$11=0</formula>
    </cfRule>
    <cfRule type="expression" dxfId="31" priority="22">
      <formula>AND(L$11=L14,L$11=0)</formula>
    </cfRule>
  </conditionalFormatting>
  <conditionalFormatting sqref="L14:L101">
    <cfRule type="cellIs" dxfId="30" priority="24" operator="equal">
      <formula>0</formula>
    </cfRule>
  </conditionalFormatting>
  <conditionalFormatting sqref="M12">
    <cfRule type="cellIs" dxfId="29" priority="83" operator="equal">
      <formula>0</formula>
    </cfRule>
  </conditionalFormatting>
  <conditionalFormatting sqref="M14:M101">
    <cfRule type="expression" dxfId="28" priority="19">
      <formula>AND(N$11=M14,N$11=0)</formula>
    </cfRule>
    <cfRule type="cellIs" dxfId="27" priority="18" operator="lessThan">
      <formula>0</formula>
    </cfRule>
  </conditionalFormatting>
  <conditionalFormatting sqref="O12">
    <cfRule type="cellIs" dxfId="26" priority="80" operator="equal">
      <formula>0</formula>
    </cfRule>
  </conditionalFormatting>
  <conditionalFormatting sqref="O14:O101 Q14:Q101">
    <cfRule type="expression" dxfId="25" priority="37">
      <formula>P$11=0</formula>
    </cfRule>
    <cfRule type="expression" dxfId="24" priority="36" stopIfTrue="1">
      <formula>P$11&gt;0</formula>
    </cfRule>
    <cfRule type="expression" dxfId="23" priority="35">
      <formula>AND(P$11=O14,P$11=0)</formula>
    </cfRule>
  </conditionalFormatting>
  <conditionalFormatting sqref="P14:P101">
    <cfRule type="expression" dxfId="22" priority="14">
      <formula>P$11=0</formula>
    </cfRule>
    <cfRule type="expression" dxfId="21" priority="15">
      <formula>AND(P$11=P14,P$11=0)</formula>
    </cfRule>
    <cfRule type="expression" dxfId="20" priority="16" stopIfTrue="1">
      <formula>P$11&gt;0</formula>
    </cfRule>
  </conditionalFormatting>
  <conditionalFormatting sqref="Q12">
    <cfRule type="cellIs" dxfId="19" priority="77" operator="equal">
      <formula>0</formula>
    </cfRule>
  </conditionalFormatting>
  <conditionalFormatting sqref="R14:R101">
    <cfRule type="expression" dxfId="18" priority="11">
      <formula>R$11=0</formula>
    </cfRule>
    <cfRule type="expression" dxfId="17" priority="12">
      <formula>AND(R$11=R14,R$11=0)</formula>
    </cfRule>
    <cfRule type="expression" dxfId="16" priority="13" stopIfTrue="1">
      <formula>R$11&gt;0</formula>
    </cfRule>
  </conditionalFormatting>
  <conditionalFormatting sqref="S12">
    <cfRule type="cellIs" dxfId="15" priority="74" operator="equal">
      <formula>0</formula>
    </cfRule>
  </conditionalFormatting>
  <conditionalFormatting sqref="S14:S101 U14:U101">
    <cfRule type="expression" dxfId="14" priority="38">
      <formula>AND(T$11=S14,T$11=0)</formula>
    </cfRule>
    <cfRule type="cellIs" dxfId="13" priority="39" stopIfTrue="1" operator="greaterThan">
      <formula>T$11</formula>
    </cfRule>
  </conditionalFormatting>
  <conditionalFormatting sqref="T14:T101">
    <cfRule type="expression" dxfId="12" priority="8">
      <formula>T$11=0</formula>
    </cfRule>
    <cfRule type="expression" dxfId="11" priority="10" stopIfTrue="1">
      <formula>T$11&gt;0</formula>
    </cfRule>
    <cfRule type="expression" dxfId="10" priority="9">
      <formula>AND(T$11=T14,T$11=0)</formula>
    </cfRule>
  </conditionalFormatting>
  <conditionalFormatting sqref="U12">
    <cfRule type="cellIs" dxfId="9" priority="71" operator="equal">
      <formula>0</formula>
    </cfRule>
  </conditionalFormatting>
  <conditionalFormatting sqref="V14:V101">
    <cfRule type="expression" dxfId="8" priority="6">
      <formula>AND(V$11=V14,V$11=0)</formula>
    </cfRule>
    <cfRule type="expression" dxfId="7" priority="5">
      <formula>V$11=0</formula>
    </cfRule>
    <cfRule type="expression" dxfId="6" priority="7" stopIfTrue="1">
      <formula>V$11&gt;0</formula>
    </cfRule>
  </conditionalFormatting>
  <conditionalFormatting sqref="W14:X48 X14:X101 W101:X101">
    <cfRule type="cellIs" dxfId="5" priority="146" stopIfTrue="1" operator="greaterThan">
      <formula>$W$11</formula>
    </cfRule>
    <cfRule type="cellIs" dxfId="4" priority="147" stopIfTrue="1" operator="lessThan">
      <formula>0</formula>
    </cfRule>
  </conditionalFormatting>
  <conditionalFormatting sqref="W14:X101">
    <cfRule type="cellIs" priority="29" stopIfTrue="1" operator="equal">
      <formula>""</formula>
    </cfRule>
  </conditionalFormatting>
  <conditionalFormatting sqref="W49:X100">
    <cfRule type="cellIs" dxfId="3" priority="30" stopIfTrue="1" operator="greaterThan">
      <formula>$W$11</formula>
    </cfRule>
    <cfRule type="cellIs" dxfId="2" priority="31" stopIfTrue="1" operator="lessThan">
      <formula>0</formula>
    </cfRule>
  </conditionalFormatting>
  <conditionalFormatting sqref="X14:X101">
    <cfRule type="cellIs" priority="145" stopIfTrue="1" operator="equal">
      <formula>""</formula>
    </cfRule>
  </conditionalFormatting>
  <conditionalFormatting sqref="Y14:Y101">
    <cfRule type="expression" dxfId="1" priority="141">
      <formula>AND(B14&gt;"",Y14="")</formula>
    </cfRule>
  </conditionalFormatting>
  <dataValidations count="3">
    <dataValidation type="list" allowBlank="1" showInputMessage="1" showErrorMessage="1" sqref="H14:H101" xr:uid="{A8212F49-1943-40C3-A189-F9AD09C678EB}">
      <formula1>$AA$15:$AA$16</formula1>
    </dataValidation>
    <dataValidation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J14:J101 T14:T101 R14:R101 P14:P101 N14:N101 L14:L101 V14:X101" xr:uid="{2D519625-5056-4134-AFB2-87DE29F923FF}"/>
    <dataValidation type="list"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S14:S101 U14:U101 I14:I101 K14:K101 M14:M101 O14:O101 Q14:Q101" xr:uid="{3EB81127-6D7E-493B-BF3E-CE135725EF60}">
      <formula1>$AD$7:$AD$12</formula1>
    </dataValidation>
  </dataValidations>
  <printOptions horizontalCentered="1"/>
  <pageMargins left="0.43307086614173229" right="0.43307086614173229" top="0.35433070866141736" bottom="0.35433070866141736" header="0.31496062992125984" footer="0.31496062992125984"/>
  <pageSetup paperSize="8" scale="84" fitToHeight="0" orientation="landscape" r:id="rId2"/>
  <headerFooter>
    <oddFooter>&amp;L&amp;"Verdana,Standaard"&amp;9&amp;K000000&amp;F&amp;C&amp;"Verdana Vet,Vet"&amp;9&amp;K000000Pagina &amp;P van &amp;N&amp;R&amp;"Verdana,Standaard"&amp;9&amp;K000000&amp;D</oddFooter>
  </headerFooter>
  <ignoredErrors>
    <ignoredError sqref="M12 K12" formula="1"/>
    <ignoredError sqref="AB13" evalError="1"/>
    <ignoredError sqref="X14:X101" unlockedFormula="1"/>
  </ignoredErrors>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3335-C5B6-4373-8775-9CDF682CED2D}">
  <sheetPr codeName="Blad8"/>
  <dimension ref="A1:X40"/>
  <sheetViews>
    <sheetView workbookViewId="0">
      <selection sqref="A1:P2"/>
    </sheetView>
  </sheetViews>
  <sheetFormatPr defaultColWidth="8.58203125" defaultRowHeight="15.5"/>
  <cols>
    <col min="1" max="4" width="8.58203125" style="100"/>
    <col min="5" max="5" width="8.5" style="100" customWidth="1"/>
    <col min="6" max="7" width="8.58203125" style="100"/>
    <col min="8" max="8" width="13.75" style="100" customWidth="1"/>
    <col min="9" max="9" width="8.58203125" style="100"/>
    <col min="10" max="10" width="9.5" style="100" customWidth="1"/>
    <col min="11" max="16384" width="8.58203125" style="100"/>
  </cols>
  <sheetData>
    <row r="1" spans="1:17">
      <c r="A1" s="754" t="s">
        <v>396</v>
      </c>
      <c r="B1" s="755"/>
      <c r="C1" s="755"/>
      <c r="D1" s="755"/>
      <c r="E1" s="755"/>
      <c r="F1" s="755"/>
      <c r="G1" s="755"/>
      <c r="H1" s="755"/>
      <c r="I1" s="755"/>
      <c r="J1" s="755"/>
      <c r="K1" s="755"/>
      <c r="L1" s="755"/>
      <c r="M1" s="755"/>
      <c r="N1" s="755"/>
      <c r="O1" s="755"/>
      <c r="P1" s="756"/>
      <c r="Q1" s="114"/>
    </row>
    <row r="2" spans="1:17">
      <c r="A2" s="757"/>
      <c r="B2" s="758"/>
      <c r="C2" s="758"/>
      <c r="D2" s="758"/>
      <c r="E2" s="758"/>
      <c r="F2" s="758"/>
      <c r="G2" s="758"/>
      <c r="H2" s="758"/>
      <c r="I2" s="758"/>
      <c r="J2" s="758"/>
      <c r="K2" s="758"/>
      <c r="L2" s="758"/>
      <c r="M2" s="758"/>
      <c r="N2" s="758"/>
      <c r="O2" s="758"/>
      <c r="P2" s="759"/>
      <c r="Q2" s="115"/>
    </row>
    <row r="3" spans="1:17">
      <c r="A3" s="108"/>
      <c r="B3" s="109"/>
      <c r="C3" s="109"/>
      <c r="D3" s="109"/>
      <c r="E3" s="109"/>
      <c r="F3" s="109"/>
      <c r="G3" s="109"/>
      <c r="H3" s="109"/>
      <c r="I3" s="109"/>
      <c r="J3" s="109"/>
      <c r="K3" s="109"/>
      <c r="L3" s="109"/>
      <c r="M3" s="109"/>
      <c r="N3" s="109"/>
      <c r="O3" s="109"/>
      <c r="P3" s="109"/>
      <c r="Q3" s="115"/>
    </row>
    <row r="4" spans="1:17">
      <c r="A4" s="760" t="s">
        <v>125</v>
      </c>
      <c r="B4" s="761"/>
      <c r="C4" s="761"/>
      <c r="D4" s="761"/>
      <c r="E4" s="761"/>
      <c r="F4" s="761"/>
      <c r="G4" s="761"/>
      <c r="H4" s="761"/>
      <c r="I4" s="761"/>
      <c r="J4" s="761"/>
      <c r="K4" s="761"/>
      <c r="L4" s="761"/>
      <c r="M4" s="761"/>
      <c r="N4" s="761"/>
      <c r="O4" s="761"/>
      <c r="P4" s="762"/>
      <c r="Q4" s="115"/>
    </row>
    <row r="5" spans="1:17" ht="13.5" customHeight="1">
      <c r="A5" s="429" t="s">
        <v>395</v>
      </c>
      <c r="B5" s="430"/>
      <c r="C5" s="430"/>
      <c r="D5" s="430"/>
      <c r="E5" s="430"/>
      <c r="F5" s="430"/>
      <c r="G5" s="430"/>
      <c r="H5" s="430"/>
      <c r="I5" s="430"/>
      <c r="J5" s="430"/>
      <c r="K5" s="430"/>
      <c r="L5" s="430"/>
      <c r="M5" s="430"/>
      <c r="N5" s="430"/>
      <c r="O5" s="430"/>
      <c r="P5" s="431"/>
      <c r="Q5" s="115"/>
    </row>
    <row r="6" spans="1:17" ht="13.5" customHeight="1">
      <c r="A6" s="102"/>
      <c r="B6" s="102"/>
      <c r="C6" s="102"/>
      <c r="D6" s="102"/>
      <c r="E6" s="102"/>
      <c r="F6" s="102"/>
      <c r="G6" s="102"/>
      <c r="H6" s="102"/>
      <c r="I6" s="102"/>
      <c r="J6" s="102"/>
      <c r="K6" s="102"/>
      <c r="L6" s="102"/>
      <c r="M6" s="102"/>
      <c r="N6" s="102"/>
      <c r="O6" s="102"/>
      <c r="P6" s="113"/>
      <c r="Q6" s="115"/>
    </row>
    <row r="7" spans="1:17" ht="13.5" customHeight="1">
      <c r="A7" s="102" t="s">
        <v>394</v>
      </c>
      <c r="B7" s="102"/>
      <c r="C7" s="102"/>
      <c r="D7" s="102"/>
      <c r="E7" s="102"/>
      <c r="F7" s="102"/>
      <c r="G7" s="102"/>
      <c r="H7" s="102"/>
      <c r="I7" s="102"/>
      <c r="J7" s="102"/>
      <c r="K7" s="102"/>
      <c r="L7" s="102"/>
      <c r="M7" s="102"/>
      <c r="N7" s="102"/>
      <c r="O7" s="102"/>
      <c r="P7" s="113"/>
      <c r="Q7" s="115"/>
    </row>
    <row r="8" spans="1:17" ht="13" customHeight="1">
      <c r="A8" s="102"/>
      <c r="B8" s="102"/>
      <c r="C8" s="102"/>
      <c r="D8" s="102"/>
      <c r="E8" s="102"/>
      <c r="F8" s="102"/>
      <c r="G8" s="102"/>
      <c r="H8" s="102"/>
      <c r="I8" s="102"/>
      <c r="J8" s="102"/>
      <c r="K8" s="102"/>
      <c r="L8" s="102"/>
      <c r="M8" s="102"/>
      <c r="N8" s="102"/>
      <c r="O8" s="102"/>
      <c r="P8" s="113"/>
      <c r="Q8" s="115"/>
    </row>
    <row r="9" spans="1:17" ht="13.5" customHeight="1">
      <c r="A9" s="102" t="s">
        <v>393</v>
      </c>
      <c r="B9" s="102"/>
      <c r="C9" s="102"/>
      <c r="D9" s="102"/>
      <c r="E9" s="102"/>
      <c r="F9" s="102"/>
      <c r="G9" s="102"/>
      <c r="H9" s="102"/>
      <c r="I9" s="102"/>
      <c r="J9" s="102"/>
      <c r="K9" s="102"/>
      <c r="L9" s="102"/>
      <c r="M9" s="102"/>
      <c r="N9" s="102"/>
      <c r="O9" s="102"/>
      <c r="P9" s="113"/>
      <c r="Q9" s="115"/>
    </row>
    <row r="10" spans="1:17" ht="13.5" customHeight="1">
      <c r="A10" s="102"/>
      <c r="B10" s="102"/>
      <c r="C10" s="102"/>
      <c r="D10" s="102"/>
      <c r="E10" s="102"/>
      <c r="F10" s="102"/>
      <c r="G10" s="102"/>
      <c r="H10" s="102"/>
      <c r="I10" s="102"/>
      <c r="J10" s="102"/>
      <c r="K10" s="102"/>
      <c r="L10" s="102"/>
      <c r="M10" s="102"/>
      <c r="N10" s="102"/>
      <c r="O10" s="102"/>
      <c r="P10" s="113"/>
      <c r="Q10" s="115"/>
    </row>
    <row r="11" spans="1:17" ht="18" customHeight="1">
      <c r="A11" s="102"/>
      <c r="B11" s="763" t="s">
        <v>363</v>
      </c>
      <c r="C11" s="764"/>
      <c r="D11" s="764"/>
      <c r="E11" s="764"/>
      <c r="F11" s="764"/>
      <c r="G11" s="764"/>
      <c r="H11" s="765"/>
      <c r="I11" s="766" t="s">
        <v>372</v>
      </c>
      <c r="J11" s="767"/>
      <c r="K11" s="102"/>
      <c r="L11" s="102"/>
      <c r="M11" s="102"/>
      <c r="N11" s="102"/>
      <c r="O11" s="102"/>
      <c r="P11" s="113"/>
      <c r="Q11" s="115"/>
    </row>
    <row r="12" spans="1:17" ht="15.75" customHeight="1">
      <c r="A12" s="102"/>
      <c r="B12" s="434" t="s">
        <v>364</v>
      </c>
      <c r="C12" s="763" t="s">
        <v>365</v>
      </c>
      <c r="D12" s="764"/>
      <c r="E12" s="764"/>
      <c r="F12" s="764"/>
      <c r="G12" s="764"/>
      <c r="H12" s="765"/>
      <c r="I12" s="768"/>
      <c r="J12" s="769"/>
      <c r="K12" s="102"/>
      <c r="L12" s="102"/>
      <c r="M12" s="102"/>
      <c r="N12" s="102"/>
      <c r="O12" s="102"/>
      <c r="P12" s="113"/>
      <c r="Q12" s="115"/>
    </row>
    <row r="13" spans="1:17" ht="31.5" customHeight="1">
      <c r="A13" s="102"/>
      <c r="B13" s="432">
        <v>0</v>
      </c>
      <c r="C13" s="770" t="s">
        <v>375</v>
      </c>
      <c r="D13" s="771"/>
      <c r="E13" s="435"/>
      <c r="F13" s="770" t="s">
        <v>366</v>
      </c>
      <c r="G13" s="771"/>
      <c r="H13" s="772"/>
      <c r="I13" s="773">
        <v>0</v>
      </c>
      <c r="J13" s="774"/>
      <c r="K13" s="102"/>
      <c r="L13" s="102"/>
      <c r="M13" s="102"/>
      <c r="N13" s="102"/>
      <c r="O13" s="102"/>
      <c r="P13" s="113"/>
      <c r="Q13" s="115"/>
    </row>
    <row r="14" spans="1:17" ht="28.5" customHeight="1">
      <c r="A14" s="102"/>
      <c r="B14" s="433">
        <v>2</v>
      </c>
      <c r="C14" s="749" t="s">
        <v>376</v>
      </c>
      <c r="D14" s="750"/>
      <c r="E14" s="436"/>
      <c r="F14" s="749" t="s">
        <v>367</v>
      </c>
      <c r="G14" s="750"/>
      <c r="H14" s="751"/>
      <c r="I14" s="752">
        <v>0.2</v>
      </c>
      <c r="J14" s="753"/>
      <c r="K14" s="102"/>
      <c r="L14" s="102"/>
      <c r="M14" s="102"/>
      <c r="N14" s="102"/>
      <c r="O14" s="102"/>
      <c r="P14" s="113"/>
      <c r="Q14" s="115"/>
    </row>
    <row r="15" spans="1:17" ht="30.75" customHeight="1">
      <c r="A15" s="102"/>
      <c r="B15" s="433">
        <v>4</v>
      </c>
      <c r="C15" s="749" t="s">
        <v>377</v>
      </c>
      <c r="D15" s="750"/>
      <c r="E15" s="436"/>
      <c r="F15" s="749" t="s">
        <v>368</v>
      </c>
      <c r="G15" s="750"/>
      <c r="H15" s="751"/>
      <c r="I15" s="752">
        <v>0.4</v>
      </c>
      <c r="J15" s="753"/>
      <c r="K15" s="102"/>
      <c r="L15" s="102"/>
      <c r="M15" s="102"/>
      <c r="N15" s="102"/>
      <c r="O15" s="102"/>
      <c r="P15" s="113"/>
      <c r="Q15" s="115"/>
    </row>
    <row r="16" spans="1:17" ht="30" customHeight="1">
      <c r="A16" s="102"/>
      <c r="B16" s="432">
        <v>6</v>
      </c>
      <c r="C16" s="749" t="s">
        <v>378</v>
      </c>
      <c r="D16" s="750"/>
      <c r="E16" s="436"/>
      <c r="F16" s="749" t="s">
        <v>369</v>
      </c>
      <c r="G16" s="750"/>
      <c r="H16" s="751"/>
      <c r="I16" s="752">
        <v>0.6</v>
      </c>
      <c r="J16" s="753"/>
      <c r="K16" s="102"/>
      <c r="L16" s="102"/>
      <c r="M16" s="102"/>
      <c r="N16" s="102"/>
      <c r="O16" s="102"/>
      <c r="P16" s="113"/>
      <c r="Q16" s="115"/>
    </row>
    <row r="17" spans="1:17" ht="30.75" customHeight="1">
      <c r="A17" s="102"/>
      <c r="B17" s="432">
        <v>8</v>
      </c>
      <c r="C17" s="749" t="s">
        <v>379</v>
      </c>
      <c r="D17" s="750"/>
      <c r="E17" s="436"/>
      <c r="F17" s="749" t="s">
        <v>370</v>
      </c>
      <c r="G17" s="750"/>
      <c r="H17" s="751"/>
      <c r="I17" s="752">
        <v>0.8</v>
      </c>
      <c r="J17" s="753"/>
      <c r="K17" s="102"/>
      <c r="L17" s="102"/>
      <c r="M17" s="102"/>
      <c r="N17" s="102"/>
      <c r="O17" s="102"/>
      <c r="P17" s="113"/>
      <c r="Q17" s="115"/>
    </row>
    <row r="18" spans="1:17" ht="27.75" customHeight="1">
      <c r="A18" s="102"/>
      <c r="B18" s="432">
        <v>10</v>
      </c>
      <c r="C18" s="749" t="s">
        <v>380</v>
      </c>
      <c r="D18" s="750"/>
      <c r="E18" s="436"/>
      <c r="F18" s="749" t="s">
        <v>371</v>
      </c>
      <c r="G18" s="750"/>
      <c r="H18" s="751"/>
      <c r="I18" s="752">
        <v>1</v>
      </c>
      <c r="J18" s="753"/>
      <c r="K18" s="102"/>
      <c r="L18" s="102"/>
      <c r="M18" s="102"/>
      <c r="N18" s="102"/>
      <c r="O18" s="102"/>
      <c r="P18" s="113"/>
      <c r="Q18" s="115"/>
    </row>
    <row r="19" spans="1:17" ht="12.75" customHeight="1">
      <c r="A19" s="102"/>
      <c r="B19" s="102"/>
      <c r="C19" s="102"/>
      <c r="D19" s="102"/>
      <c r="E19" s="102"/>
      <c r="F19" s="102"/>
      <c r="G19" s="102"/>
      <c r="H19" s="102"/>
      <c r="I19" s="102"/>
      <c r="J19" s="102"/>
      <c r="K19" s="102"/>
      <c r="L19" s="102"/>
      <c r="M19" s="102"/>
      <c r="N19" s="102"/>
      <c r="O19" s="102"/>
      <c r="P19" s="113"/>
      <c r="Q19" s="115"/>
    </row>
    <row r="20" spans="1:17" ht="13" customHeight="1">
      <c r="A20" s="102" t="s">
        <v>392</v>
      </c>
      <c r="B20" s="102"/>
      <c r="C20" s="102"/>
      <c r="D20" s="102"/>
      <c r="E20" s="102"/>
      <c r="F20" s="102"/>
      <c r="G20" s="102"/>
      <c r="H20" s="102"/>
      <c r="I20" s="102"/>
      <c r="J20" s="102"/>
      <c r="K20" s="102"/>
      <c r="L20" s="102"/>
      <c r="M20" s="102"/>
      <c r="N20" s="102"/>
      <c r="O20" s="102"/>
      <c r="P20" s="113"/>
      <c r="Q20" s="115"/>
    </row>
    <row r="21" spans="1:17" ht="13" customHeight="1">
      <c r="A21" s="102"/>
      <c r="B21" s="102"/>
      <c r="C21" s="102"/>
      <c r="D21" s="102"/>
      <c r="E21" s="102"/>
      <c r="F21" s="102"/>
      <c r="G21" s="102"/>
      <c r="H21" s="102"/>
      <c r="I21" s="102"/>
      <c r="J21" s="102"/>
      <c r="K21" s="102"/>
      <c r="L21" s="102"/>
      <c r="M21" s="102"/>
      <c r="N21" s="102"/>
      <c r="O21" s="102"/>
      <c r="P21" s="113"/>
      <c r="Q21" s="115"/>
    </row>
    <row r="22" spans="1:17" ht="13" customHeight="1">
      <c r="A22" s="453" t="s">
        <v>391</v>
      </c>
      <c r="B22" s="102"/>
      <c r="C22" s="102"/>
      <c r="D22" s="102"/>
      <c r="E22" s="102"/>
      <c r="F22" s="102"/>
      <c r="G22" s="102"/>
      <c r="H22" s="102"/>
      <c r="I22" s="102"/>
      <c r="J22" s="102"/>
      <c r="K22" s="102"/>
      <c r="L22" s="102"/>
      <c r="M22" s="102"/>
      <c r="N22" s="102"/>
      <c r="O22" s="102"/>
      <c r="P22" s="113"/>
      <c r="Q22" s="115"/>
    </row>
    <row r="23" spans="1:17" ht="13" customHeight="1">
      <c r="A23" s="102"/>
      <c r="B23" s="102"/>
      <c r="C23" s="102"/>
      <c r="D23" s="102"/>
      <c r="E23" s="102"/>
      <c r="F23" s="102"/>
      <c r="G23" s="102"/>
      <c r="H23" s="102"/>
      <c r="I23" s="102"/>
      <c r="J23" s="102"/>
      <c r="K23" s="102"/>
      <c r="L23" s="102"/>
      <c r="M23" s="102"/>
      <c r="N23" s="102"/>
      <c r="O23" s="102"/>
      <c r="P23" s="113"/>
      <c r="Q23" s="115"/>
    </row>
    <row r="24" spans="1:17" ht="13" customHeight="1">
      <c r="A24" s="102" t="s">
        <v>390</v>
      </c>
      <c r="B24" s="102"/>
      <c r="C24" s="102"/>
      <c r="D24" s="102"/>
      <c r="E24" s="102"/>
      <c r="F24" s="102"/>
      <c r="G24" s="102"/>
      <c r="H24" s="102"/>
      <c r="I24" s="102"/>
      <c r="J24" s="102"/>
      <c r="K24" s="102"/>
      <c r="L24" s="102"/>
      <c r="M24" s="102"/>
      <c r="N24" s="102"/>
      <c r="O24" s="102"/>
      <c r="P24" s="113"/>
      <c r="Q24" s="115"/>
    </row>
    <row r="25" spans="1:17" ht="13" customHeight="1">
      <c r="A25" s="102" t="s">
        <v>389</v>
      </c>
      <c r="B25" s="102"/>
      <c r="C25" s="102"/>
      <c r="D25" s="102"/>
      <c r="E25" s="102"/>
      <c r="F25" s="102"/>
      <c r="G25" s="102"/>
      <c r="H25" s="102"/>
      <c r="I25" s="102"/>
      <c r="J25" s="102"/>
      <c r="K25" s="102"/>
      <c r="L25" s="102"/>
      <c r="M25" s="102"/>
      <c r="N25" s="102"/>
      <c r="O25" s="102"/>
      <c r="P25" s="113"/>
      <c r="Q25" s="115"/>
    </row>
    <row r="26" spans="1:17" ht="13" customHeight="1">
      <c r="A26" s="102" t="s">
        <v>388</v>
      </c>
      <c r="B26" s="102"/>
      <c r="C26" s="102"/>
      <c r="D26" s="102"/>
      <c r="E26" s="102"/>
      <c r="F26" s="102"/>
      <c r="G26" s="102"/>
      <c r="H26" s="102"/>
      <c r="I26" s="102"/>
      <c r="J26" s="102"/>
      <c r="K26" s="102"/>
      <c r="L26" s="102"/>
      <c r="M26" s="102"/>
      <c r="N26" s="102"/>
      <c r="O26" s="102"/>
      <c r="P26" s="113"/>
      <c r="Q26" s="115"/>
    </row>
    <row r="27" spans="1:17" ht="13" customHeight="1">
      <c r="A27" s="102" t="s">
        <v>387</v>
      </c>
      <c r="B27" s="102"/>
      <c r="C27" s="102"/>
      <c r="D27" s="102"/>
      <c r="E27" s="102"/>
      <c r="F27" s="102"/>
      <c r="G27" s="102"/>
      <c r="H27" s="102"/>
      <c r="I27" s="102"/>
      <c r="J27" s="102"/>
      <c r="K27" s="102"/>
      <c r="L27" s="102"/>
      <c r="M27" s="102"/>
      <c r="N27" s="102"/>
      <c r="O27" s="102"/>
      <c r="P27" s="113"/>
      <c r="Q27" s="115"/>
    </row>
    <row r="28" spans="1:17" ht="13" customHeight="1">
      <c r="A28" s="102" t="s">
        <v>386</v>
      </c>
      <c r="B28" s="102"/>
      <c r="C28" s="102"/>
      <c r="D28" s="102"/>
      <c r="E28" s="102"/>
      <c r="F28" s="102"/>
      <c r="G28" s="102"/>
      <c r="H28" s="102"/>
      <c r="I28" s="102"/>
      <c r="J28" s="102"/>
      <c r="K28" s="102"/>
      <c r="L28" s="102"/>
      <c r="M28" s="102"/>
      <c r="N28" s="102"/>
      <c r="O28" s="102"/>
      <c r="P28" s="113"/>
      <c r="Q28" s="115"/>
    </row>
    <row r="29" spans="1:17" ht="13" customHeight="1">
      <c r="A29" s="102"/>
      <c r="B29" s="102"/>
      <c r="C29" s="102"/>
      <c r="D29" s="102"/>
      <c r="E29" s="102"/>
      <c r="F29" s="102"/>
      <c r="G29" s="102"/>
      <c r="H29" s="102"/>
      <c r="I29" s="102"/>
      <c r="J29" s="102"/>
      <c r="K29" s="102"/>
      <c r="L29" s="102"/>
      <c r="M29" s="102"/>
      <c r="N29" s="102"/>
      <c r="O29" s="102"/>
      <c r="P29" s="113"/>
      <c r="Q29" s="115"/>
    </row>
    <row r="30" spans="1:17" ht="13" customHeight="1">
      <c r="A30" s="102"/>
      <c r="B30" s="102"/>
      <c r="C30" s="102"/>
      <c r="D30" s="102"/>
      <c r="E30" s="102"/>
      <c r="F30" s="102"/>
      <c r="G30" s="102"/>
      <c r="H30" s="102"/>
      <c r="I30" s="102"/>
      <c r="J30" s="102"/>
      <c r="K30" s="102"/>
      <c r="L30" s="102"/>
      <c r="M30" s="102"/>
      <c r="N30" s="102"/>
      <c r="O30" s="102"/>
      <c r="P30" s="113"/>
      <c r="Q30" s="115"/>
    </row>
    <row r="31" spans="1:17" ht="13" customHeight="1">
      <c r="A31" s="453" t="s">
        <v>385</v>
      </c>
      <c r="B31" s="102"/>
      <c r="C31" s="102"/>
      <c r="D31" s="102"/>
      <c r="E31" s="102"/>
      <c r="F31" s="102"/>
      <c r="G31" s="102"/>
      <c r="H31" s="102"/>
      <c r="I31" s="102"/>
      <c r="J31" s="102"/>
      <c r="K31" s="102"/>
      <c r="L31" s="102"/>
      <c r="M31" s="102"/>
      <c r="N31" s="102"/>
      <c r="O31" s="102"/>
      <c r="P31" s="113"/>
      <c r="Q31" s="115"/>
    </row>
    <row r="32" spans="1:17" ht="13" customHeight="1">
      <c r="A32" s="429" t="s">
        <v>1079</v>
      </c>
      <c r="B32" s="102"/>
      <c r="C32" s="102"/>
      <c r="D32" s="102"/>
      <c r="E32" s="102"/>
      <c r="F32" s="102"/>
      <c r="G32" s="102"/>
      <c r="H32" s="102"/>
      <c r="I32" s="102"/>
      <c r="J32" s="102"/>
      <c r="K32" s="102"/>
      <c r="L32" s="102"/>
      <c r="M32" s="102"/>
      <c r="N32" s="102"/>
      <c r="O32" s="102"/>
      <c r="P32" s="113"/>
      <c r="Q32" s="115"/>
    </row>
    <row r="33" spans="1:24" ht="13" customHeight="1">
      <c r="A33" s="102"/>
      <c r="B33" s="102"/>
      <c r="C33" s="102"/>
      <c r="D33" s="102"/>
      <c r="E33" s="102"/>
      <c r="F33" s="102"/>
      <c r="G33" s="102"/>
      <c r="H33" s="102"/>
      <c r="I33" s="102"/>
      <c r="J33" s="102"/>
      <c r="K33" s="102"/>
      <c r="L33" s="102"/>
      <c r="M33" s="102"/>
      <c r="N33" s="102"/>
      <c r="O33" s="102"/>
      <c r="P33" s="113"/>
      <c r="Q33" s="115"/>
    </row>
    <row r="34" spans="1:24" ht="13" customHeight="1">
      <c r="A34" s="102"/>
      <c r="B34" s="102"/>
      <c r="C34" s="102"/>
      <c r="D34" s="102"/>
      <c r="E34" s="102"/>
      <c r="F34" s="102"/>
      <c r="G34" s="102"/>
      <c r="H34" s="102"/>
      <c r="I34" s="102"/>
      <c r="J34" s="102"/>
      <c r="K34" s="102"/>
      <c r="L34" s="102"/>
      <c r="M34" s="102"/>
      <c r="N34" s="102"/>
      <c r="O34" s="102"/>
      <c r="P34" s="113"/>
      <c r="Q34" s="115"/>
    </row>
    <row r="35" spans="1:24" ht="13.5" customHeight="1">
      <c r="A35" s="429"/>
      <c r="B35" s="102"/>
      <c r="C35" s="102"/>
      <c r="D35" s="102"/>
      <c r="E35" s="102"/>
      <c r="F35" s="102"/>
      <c r="G35" s="102"/>
      <c r="H35" s="102"/>
      <c r="I35" s="102"/>
      <c r="J35" s="102"/>
      <c r="K35" s="102"/>
      <c r="L35" s="102"/>
      <c r="M35" s="102"/>
      <c r="N35" s="102"/>
      <c r="O35" s="102"/>
      <c r="P35" s="113"/>
      <c r="Q35" s="115"/>
    </row>
    <row r="36" spans="1:24" ht="13.5" customHeight="1">
      <c r="A36" s="102"/>
      <c r="B36" s="102"/>
      <c r="C36" s="102"/>
      <c r="D36" s="102"/>
      <c r="E36" s="102"/>
      <c r="F36" s="102"/>
      <c r="G36" s="102"/>
      <c r="H36" s="102"/>
      <c r="I36" s="102"/>
      <c r="J36" s="102"/>
      <c r="K36" s="102"/>
      <c r="L36" s="102"/>
      <c r="M36" s="102"/>
      <c r="N36" s="102"/>
      <c r="O36" s="102"/>
      <c r="P36" s="113"/>
      <c r="Q36" s="115"/>
    </row>
    <row r="37" spans="1:24" ht="13.5" customHeight="1">
      <c r="A37" s="102"/>
      <c r="B37" s="102"/>
      <c r="C37" s="102"/>
      <c r="D37" s="102"/>
      <c r="E37" s="102"/>
      <c r="F37" s="102"/>
      <c r="G37" s="102"/>
      <c r="H37" s="102"/>
      <c r="I37" s="102"/>
      <c r="J37" s="102"/>
      <c r="K37" s="93"/>
      <c r="L37" s="93"/>
      <c r="M37" s="93"/>
      <c r="N37" s="93"/>
      <c r="O37" s="93"/>
      <c r="P37" s="113"/>
      <c r="Q37" s="115"/>
    </row>
    <row r="38" spans="1:24">
      <c r="A38" s="116"/>
      <c r="B38" s="110"/>
      <c r="C38" s="111"/>
      <c r="D38" s="111"/>
      <c r="E38" s="111"/>
      <c r="F38" s="111"/>
      <c r="G38" s="111"/>
      <c r="H38" s="111"/>
      <c r="I38" s="111"/>
      <c r="J38" s="111"/>
      <c r="K38" s="111"/>
      <c r="L38" s="111"/>
      <c r="M38" s="111"/>
      <c r="N38" s="111"/>
      <c r="O38" s="111"/>
      <c r="P38" s="112"/>
      <c r="Q38" s="115"/>
      <c r="R38" s="93"/>
      <c r="S38" s="93"/>
      <c r="T38" s="93"/>
      <c r="U38" s="93"/>
      <c r="V38" s="93"/>
      <c r="W38" s="93"/>
      <c r="X38" s="93"/>
    </row>
    <row r="39" spans="1:24">
      <c r="A39" s="117"/>
      <c r="B39" s="104"/>
      <c r="C39" s="104"/>
      <c r="D39" s="104"/>
      <c r="E39" s="104"/>
      <c r="F39" s="104"/>
      <c r="G39" s="104"/>
      <c r="H39" s="104"/>
      <c r="I39" s="104"/>
      <c r="J39" s="104"/>
      <c r="K39" s="104"/>
      <c r="L39" s="104"/>
      <c r="M39" s="104"/>
      <c r="N39" s="104"/>
      <c r="O39" s="104"/>
      <c r="P39" s="104"/>
      <c r="Q39" s="115"/>
      <c r="R39" s="93"/>
      <c r="S39" s="93"/>
      <c r="T39" s="93"/>
      <c r="U39" s="93"/>
      <c r="V39" s="93"/>
      <c r="W39" s="93"/>
      <c r="X39" s="93"/>
    </row>
    <row r="40" spans="1:24" ht="16" thickBot="1">
      <c r="A40" s="118"/>
      <c r="B40" s="119"/>
      <c r="C40" s="119"/>
      <c r="D40" s="119"/>
      <c r="E40" s="119"/>
      <c r="F40" s="119"/>
      <c r="G40" s="119"/>
      <c r="H40" s="119"/>
      <c r="I40" s="119"/>
      <c r="J40" s="119"/>
      <c r="K40" s="119"/>
      <c r="L40" s="119"/>
      <c r="M40" s="119"/>
      <c r="N40" s="119"/>
      <c r="O40" s="119"/>
      <c r="P40" s="119"/>
      <c r="Q40" s="120"/>
    </row>
  </sheetData>
  <sheetProtection algorithmName="SHA-512" hashValue="UPEoKXBKDVW9cknbxubL+CScpzO00cT3zOEjAseYbXeXvbya1JTQH+LqOj+jtRsMkVVpHQgWAqXgbSVft9ov4Q==" saltValue="Wl2IDfOowGaRpRNK0Dvn3Q==" spinCount="100000" sheet="1" objects="1" scenarios="1"/>
  <mergeCells count="23">
    <mergeCell ref="A1:P2"/>
    <mergeCell ref="A4:P4"/>
    <mergeCell ref="F14:H14"/>
    <mergeCell ref="I14:J14"/>
    <mergeCell ref="B11:H11"/>
    <mergeCell ref="I11:J12"/>
    <mergeCell ref="C12:H12"/>
    <mergeCell ref="C13:D13"/>
    <mergeCell ref="F13:H13"/>
    <mergeCell ref="I13:J13"/>
    <mergeCell ref="C14:D14"/>
    <mergeCell ref="C15:D15"/>
    <mergeCell ref="F15:H15"/>
    <mergeCell ref="I15:J15"/>
    <mergeCell ref="C16:D16"/>
    <mergeCell ref="F16:H16"/>
    <mergeCell ref="I16:J16"/>
    <mergeCell ref="C17:D17"/>
    <mergeCell ref="F17:H17"/>
    <mergeCell ref="I17:J17"/>
    <mergeCell ref="C18:D18"/>
    <mergeCell ref="F18:H18"/>
    <mergeCell ref="I18:J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3022-346D-46D6-A8F3-C830AF7C6A46}">
  <sheetPr codeName="Blad13"/>
  <dimension ref="A1:AJ108"/>
  <sheetViews>
    <sheetView topLeftCell="A2" workbookViewId="0"/>
  </sheetViews>
  <sheetFormatPr defaultColWidth="9" defaultRowHeight="15.5"/>
  <cols>
    <col min="1" max="1" width="11.5" style="546" customWidth="1"/>
    <col min="2" max="2" width="14.58203125" style="546" customWidth="1"/>
    <col min="3" max="3" width="30.83203125" style="546" customWidth="1"/>
    <col min="4" max="4" width="9.58203125" style="546" customWidth="1"/>
    <col min="5" max="5" width="39" style="546" bestFit="1" customWidth="1"/>
    <col min="6" max="6" width="35" style="546" bestFit="1" customWidth="1"/>
    <col min="7" max="7" width="8.75" style="546" customWidth="1"/>
    <col min="8" max="8" width="9" style="548" customWidth="1"/>
    <col min="9" max="9" width="9" style="546" customWidth="1"/>
    <col min="10" max="10" width="24.75" style="546" customWidth="1"/>
    <col min="11" max="11" width="23.5" style="546" customWidth="1"/>
    <col min="12" max="12" width="5.5" style="546" bestFit="1" customWidth="1"/>
    <col min="13" max="13" width="9.33203125" style="546" customWidth="1"/>
    <col min="14" max="14" width="6.75" style="546" customWidth="1"/>
    <col min="15" max="15" width="29.83203125" style="546" customWidth="1"/>
    <col min="16" max="16" width="40.58203125" style="546" customWidth="1"/>
    <col min="17" max="17" width="19.58203125" style="546" customWidth="1"/>
    <col min="18" max="18" width="19.5" style="546" customWidth="1"/>
    <col min="19" max="19" width="17.08203125" style="546" customWidth="1"/>
    <col min="20" max="23" width="28.75" style="546" customWidth="1"/>
    <col min="24" max="26" width="10.08203125" style="546" customWidth="1"/>
    <col min="27" max="27" width="7.83203125" style="546" bestFit="1" customWidth="1"/>
    <col min="28" max="29" width="8.25" style="546" bestFit="1" customWidth="1"/>
    <col min="30" max="30" width="9.75" style="546" customWidth="1"/>
    <col min="31" max="31" width="9.25" style="546" customWidth="1"/>
    <col min="32" max="32" width="8.5" style="546" bestFit="1" customWidth="1"/>
    <col min="33" max="33" width="17" style="546" customWidth="1"/>
    <col min="34" max="34" width="9" style="547"/>
    <col min="35" max="35" width="9" style="546"/>
    <col min="36" max="36" width="9.83203125" style="546" bestFit="1" customWidth="1"/>
    <col min="37" max="16384" width="9" style="546"/>
  </cols>
  <sheetData>
    <row r="1" spans="1:36" hidden="1">
      <c r="A1" s="546">
        <v>1</v>
      </c>
      <c r="B1" s="546">
        <v>2</v>
      </c>
      <c r="C1" s="546">
        <v>3</v>
      </c>
      <c r="D1" s="546">
        <v>4</v>
      </c>
      <c r="E1" s="567">
        <v>5</v>
      </c>
      <c r="F1" s="567">
        <v>6</v>
      </c>
      <c r="G1" s="546">
        <v>7</v>
      </c>
      <c r="H1" s="546">
        <v>8</v>
      </c>
      <c r="I1" s="546">
        <v>9</v>
      </c>
      <c r="J1" s="546">
        <v>10</v>
      </c>
      <c r="K1" s="546">
        <v>11</v>
      </c>
      <c r="L1" s="546">
        <v>12</v>
      </c>
      <c r="M1" s="546">
        <v>13</v>
      </c>
      <c r="N1" s="546">
        <v>14</v>
      </c>
      <c r="O1" s="546">
        <v>15</v>
      </c>
      <c r="P1" s="546">
        <v>16</v>
      </c>
      <c r="Q1" s="546">
        <v>17</v>
      </c>
      <c r="R1" s="546">
        <v>18</v>
      </c>
      <c r="S1" s="546">
        <v>19</v>
      </c>
      <c r="T1" s="546">
        <v>20</v>
      </c>
      <c r="U1" s="546">
        <v>21</v>
      </c>
      <c r="V1" s="546">
        <v>22</v>
      </c>
      <c r="W1" s="546">
        <v>23</v>
      </c>
      <c r="X1" s="546">
        <v>24</v>
      </c>
      <c r="Y1" s="546">
        <v>25</v>
      </c>
      <c r="Z1" s="546">
        <v>26</v>
      </c>
      <c r="AA1" s="546">
        <v>27</v>
      </c>
      <c r="AB1" s="546">
        <v>28</v>
      </c>
      <c r="AC1" s="546">
        <v>29</v>
      </c>
      <c r="AD1" s="546">
        <v>30</v>
      </c>
      <c r="AE1" s="546">
        <v>31</v>
      </c>
      <c r="AF1" s="546">
        <v>32</v>
      </c>
      <c r="AG1" s="546">
        <v>33</v>
      </c>
      <c r="AH1" s="547">
        <v>34</v>
      </c>
    </row>
    <row r="2" spans="1:36" ht="51.75" customHeight="1">
      <c r="A2" s="567"/>
      <c r="B2" s="567"/>
      <c r="C2" s="567"/>
      <c r="D2" s="566"/>
      <c r="E2" s="565" t="s">
        <v>722</v>
      </c>
      <c r="F2" s="511" t="s">
        <v>723</v>
      </c>
      <c r="G2" s="564">
        <f>IFERROR(SEARCH("/",F4),0)</f>
        <v>0</v>
      </c>
      <c r="H2" s="563">
        <f>88-COUNTIF(H4:H91,"")</f>
        <v>0</v>
      </c>
      <c r="I2" s="563">
        <f>88-COUNTIF(I4:I91,"")</f>
        <v>0</v>
      </c>
      <c r="J2" s="563">
        <f>88-COUNTIF(J4:J91,"")</f>
        <v>0</v>
      </c>
      <c r="K2" s="563">
        <f>88-COUNTIF(K4:K91,"")</f>
        <v>0</v>
      </c>
      <c r="L2" s="563">
        <f>88-COUNTIF(L4:L91,"")</f>
        <v>0</v>
      </c>
      <c r="M2" s="563"/>
      <c r="N2" s="563">
        <f>88-COUNTIF(N4:N91,"")</f>
        <v>0</v>
      </c>
      <c r="O2" s="563"/>
      <c r="P2" s="563"/>
      <c r="Q2" s="563"/>
      <c r="R2" s="563">
        <f>88-COUNTIF(R4:R91,"")</f>
        <v>0</v>
      </c>
      <c r="S2" s="563"/>
      <c r="T2" s="563">
        <f>88-COUNTIF(T4:T91,"")</f>
        <v>0</v>
      </c>
      <c r="U2" s="563">
        <f>88-COUNTIF(U4:U91,"")</f>
        <v>0</v>
      </c>
      <c r="V2" s="563">
        <f>88-COUNTIF(V4:V91,"")</f>
        <v>0</v>
      </c>
      <c r="W2" s="563">
        <f>88-COUNTIF(W4:W91,"")</f>
        <v>0</v>
      </c>
      <c r="X2" s="563"/>
      <c r="Y2" s="563"/>
      <c r="Z2" s="563"/>
      <c r="AA2" s="563"/>
      <c r="AB2" s="563"/>
      <c r="AC2" s="563"/>
      <c r="AD2" s="563">
        <f>88-COUNTIF(AD4:AD91,"")</f>
        <v>0</v>
      </c>
      <c r="AE2" s="563"/>
      <c r="AF2" s="563"/>
      <c r="AG2" s="563"/>
      <c r="AH2" s="547" t="s">
        <v>724</v>
      </c>
    </row>
    <row r="3" spans="1:36" ht="47">
      <c r="A3" s="562" t="s">
        <v>593</v>
      </c>
      <c r="B3" s="561" t="s">
        <v>594</v>
      </c>
      <c r="C3" s="561" t="s">
        <v>209</v>
      </c>
      <c r="D3" s="559" t="s">
        <v>595</v>
      </c>
      <c r="E3" s="559" t="s">
        <v>596</v>
      </c>
      <c r="F3" s="559" t="s">
        <v>597</v>
      </c>
      <c r="G3" s="509" t="s">
        <v>598</v>
      </c>
      <c r="H3" s="560" t="s">
        <v>599</v>
      </c>
      <c r="I3" s="557" t="s">
        <v>600</v>
      </c>
      <c r="J3" s="557" t="s">
        <v>672</v>
      </c>
      <c r="K3" s="559" t="s">
        <v>601</v>
      </c>
      <c r="L3" s="559" t="s">
        <v>602</v>
      </c>
      <c r="M3" s="559" t="s">
        <v>603</v>
      </c>
      <c r="N3" s="557" t="s">
        <v>604</v>
      </c>
      <c r="O3" s="559" t="s">
        <v>605</v>
      </c>
      <c r="P3" s="559" t="s">
        <v>606</v>
      </c>
      <c r="Q3" s="559" t="s">
        <v>719</v>
      </c>
      <c r="R3" s="559" t="s">
        <v>673</v>
      </c>
      <c r="S3" s="559" t="s">
        <v>144</v>
      </c>
      <c r="T3" s="559" t="s">
        <v>607</v>
      </c>
      <c r="U3" s="559" t="s">
        <v>608</v>
      </c>
      <c r="V3" s="559" t="s">
        <v>609</v>
      </c>
      <c r="W3" s="559" t="s">
        <v>610</v>
      </c>
      <c r="X3" s="558" t="s">
        <v>611</v>
      </c>
      <c r="Y3" s="558" t="s">
        <v>612</v>
      </c>
      <c r="Z3" s="558" t="s">
        <v>613</v>
      </c>
      <c r="AA3" s="558" t="s">
        <v>614</v>
      </c>
      <c r="AB3" s="558" t="s">
        <v>615</v>
      </c>
      <c r="AC3" s="558" t="s">
        <v>616</v>
      </c>
      <c r="AD3" s="557" t="s">
        <v>617</v>
      </c>
      <c r="AE3" s="510" t="s">
        <v>618</v>
      </c>
      <c r="AF3" s="509" t="s">
        <v>619</v>
      </c>
      <c r="AG3" s="556" t="s">
        <v>620</v>
      </c>
      <c r="AH3" s="555"/>
      <c r="AI3" s="547" t="s">
        <v>725</v>
      </c>
      <c r="AJ3" s="547" t="b">
        <f>AND(AD2=W2,W2=V2,V2=U2,U2=T2,T2=R2,R2=N2,N2=L2,L2=K2,J2=K2,J2=I2,I2=H2)</f>
        <v>1</v>
      </c>
    </row>
    <row r="4" spans="1:36">
      <c r="A4" s="518" t="str">
        <f>IF(AND('[2]Overzicht inhuurdesk'!$I$1&gt;AH4,J4&lt;&gt;0),LEFT('[2]Overzicht inhuurdesk'!$I$1,10),"")</f>
        <v/>
      </c>
      <c r="B4" s="518" t="str">
        <f>IF(A4="","",VLOOKUP('[2]Overzicht inhuurdesk'!$C$9,'[2]Brongegevens tbv nokgenerator'!H$2:I$27,2,FALSE))</f>
        <v/>
      </c>
      <c r="C4" s="518" t="str">
        <f>IF(A4="","",VLOOKUP('[2]Overzicht inhuurdesk'!$C$10,'[2]Brongegevens tbv nokgenerator'!K$2:L$301,2,FALSE))</f>
        <v/>
      </c>
      <c r="D4" s="518" t="str">
        <f>IF($A4="","",VLOOKUP('[2]Overzicht inhuurdesk'!$C$7,'[2]Brongegevens tbv nokgenerator'!E$2:F$18,2,FALSE))</f>
        <v/>
      </c>
      <c r="E4" s="518" t="str">
        <f>IF($A4="","",VLOOKUP('[2]Overzicht inhuurdesk'!$C$6,'[2]Brongegevens tbv nokgenerator'!$C$2:$D$4,2,FALSE))</f>
        <v/>
      </c>
      <c r="F4" s="517" t="s">
        <v>1267</v>
      </c>
      <c r="G4" s="552" t="str">
        <f t="shared" ref="G4:G35" si="0">IF($A4="","",IF($D4="NVWA","","Concept"))</f>
        <v/>
      </c>
      <c r="H4" s="552" t="str">
        <f>IF($A4="","",TRUNC('[2]Overzicht inhuurdesk'!$T$8))</f>
        <v/>
      </c>
      <c r="I4" s="515"/>
      <c r="J4" s="551"/>
      <c r="K4" s="516"/>
      <c r="L4" s="516"/>
      <c r="M4" s="516"/>
      <c r="N4" s="516"/>
      <c r="O4" s="518" t="str">
        <f>IF($A4="","",'[2]Aanvraag inhuur'!$C$110)</f>
        <v/>
      </c>
      <c r="P4" s="518" t="str">
        <f>IF($A4="","",CONCATENATE('[2]Aanvraag inhuur'!$C$18," ",'[2]Aanvraag inhuur'!$C$22))</f>
        <v/>
      </c>
      <c r="Q4" s="551"/>
      <c r="R4" s="518" t="str">
        <f>IF($A4="","",VLOOKUP(CONCATENATE('[2]Overzicht inhuurdesk'!$C$9,'[2]Overzicht inhuurdesk'!$C$10,$Q4),[2]Leveranciersnamen!A:K,11,FALSE))</f>
        <v/>
      </c>
      <c r="S4" s="551"/>
      <c r="T4" s="516"/>
      <c r="U4" s="516"/>
      <c r="V4" s="516"/>
      <c r="W4" s="516"/>
      <c r="X4" s="552" t="str">
        <f>IF($A4="","",'[2]Overzicht inhuurdesk'!$T$12)</f>
        <v/>
      </c>
      <c r="Y4" s="516" t="str">
        <f>IF($A4="","","")</f>
        <v/>
      </c>
      <c r="Z4" s="554" t="str">
        <f>IF($A4="","",'[2]Aanvraag inhuur'!$G$93)</f>
        <v/>
      </c>
      <c r="AA4" s="518" t="str">
        <f>IF($A4="","",'[2]Aanvraag inhuur'!$C$95)</f>
        <v/>
      </c>
      <c r="AB4" s="518" t="str">
        <f>IF($A4="","",'[2]Aanvraag inhuur'!$C$97)</f>
        <v/>
      </c>
      <c r="AC4" s="518" t="str">
        <f>IF($A4="","",'[2]Aanvraag inhuur'!$C$98)</f>
        <v/>
      </c>
      <c r="AD4" s="517" t="s">
        <v>1267</v>
      </c>
      <c r="AE4" s="551"/>
      <c r="AF4" s="518" t="str">
        <f t="shared" ref="AF4:AF35" si="1">IF($A4="","","NOK")</f>
        <v/>
      </c>
      <c r="AG4" s="518" t="str">
        <f>IF($A4="","",'[2]Overzicht inhuurdesk'!$I$12)</f>
        <v/>
      </c>
      <c r="AH4" s="550">
        <v>0</v>
      </c>
    </row>
    <row r="5" spans="1:36">
      <c r="A5" s="518" t="str">
        <f>IF(AND('[2]Overzicht inhuurdesk'!$I$1&gt;AH5,J5&lt;&gt;0),CONCATENATE(LEFT(A4,7),IF(RIGHT(A4,3)+1&lt;10,CONCATENATE("00",RIGHT(A4,3)+1),IF(RIGHT(A4,3)+1&lt;100,CONCATENATE("0",RIGHT(A4,3)+1),RIGHT(A4,3)+1))),"")</f>
        <v/>
      </c>
      <c r="B5" s="518" t="str">
        <f>IF(A5="","",VLOOKUP('[2]Overzicht inhuurdesk'!$C$9,'[2]Brongegevens tbv nokgenerator'!H$2:I$27,2,FALSE))</f>
        <v/>
      </c>
      <c r="C5" s="518" t="str">
        <f>IF(A5="","",VLOOKUP('[2]Overzicht inhuurdesk'!$C$10,'[2]Brongegevens tbv nokgenerator'!K$2:L$301,2,FALSE))</f>
        <v/>
      </c>
      <c r="D5" s="518" t="str">
        <f>IF($A5="","",VLOOKUP('[2]Overzicht inhuurdesk'!$C$7,'[2]Brongegevens tbv nokgenerator'!E$2:F$18,2,FALSE))</f>
        <v/>
      </c>
      <c r="E5" s="518" t="str">
        <f>IF($A5="","",VLOOKUP('[2]Overzicht inhuurdesk'!$C$6,'[2]Brongegevens tbv nokgenerator'!$C$2:$D$4,2,FALSE))</f>
        <v/>
      </c>
      <c r="F5" s="518" t="str">
        <f t="shared" ref="F5:F36" si="2">IF($A5="","",$F4)</f>
        <v/>
      </c>
      <c r="G5" s="552" t="str">
        <f t="shared" si="0"/>
        <v/>
      </c>
      <c r="H5" s="552" t="str">
        <f>IF($A5="","",TRUNC('[2]Overzicht inhuurdesk'!$T$8))</f>
        <v/>
      </c>
      <c r="I5" s="515" t="str">
        <f t="shared" ref="I5:I36" si="3">IF($A5="","",IF($I4="","",I4))</f>
        <v/>
      </c>
      <c r="J5" s="551"/>
      <c r="K5" s="516"/>
      <c r="L5" s="516"/>
      <c r="M5" s="516"/>
      <c r="N5" s="516"/>
      <c r="O5" s="518" t="str">
        <f>IF($A5="","",'[2]Aanvraag inhuur'!$C$110)</f>
        <v/>
      </c>
      <c r="P5" s="518" t="str">
        <f>IF($A5="","",CONCATENATE('[2]Aanvraag inhuur'!$C$18," ",'[2]Aanvraag inhuur'!$C$22))</f>
        <v/>
      </c>
      <c r="Q5" s="551"/>
      <c r="R5" s="518" t="str">
        <f>IF($A5="","",VLOOKUP(CONCATENATE('[2]Overzicht inhuurdesk'!$C$9,'[2]Overzicht inhuurdesk'!$C$10,$Q5),[2]Leveranciersnamen!A:K,11,FALSE))</f>
        <v/>
      </c>
      <c r="S5" s="551"/>
      <c r="T5" s="553" t="str">
        <f t="shared" ref="T5:T36" si="4">IF($A5="","",T4)</f>
        <v/>
      </c>
      <c r="U5" s="553" t="str">
        <f t="shared" ref="U5:U36" si="5">IF($A5="","",U4)</f>
        <v/>
      </c>
      <c r="V5" s="553" t="str">
        <f t="shared" ref="V5:V36" si="6">IF($A5="","",V4)</f>
        <v/>
      </c>
      <c r="W5" s="553" t="str">
        <f t="shared" ref="W5:W36" si="7">IF($A5="","",W4)</f>
        <v/>
      </c>
      <c r="X5" s="552" t="str">
        <f>IF($A5="","",'[2]Overzicht inhuurdesk'!$T$12)</f>
        <v/>
      </c>
      <c r="Y5" s="516" t="str">
        <f t="shared" ref="Y5:Y36" si="8">IF($A5="","",IF(Y4="","",Y4))</f>
        <v/>
      </c>
      <c r="Z5" s="518" t="str">
        <f>IF($A5="","",'[2]Aanvraag inhuur'!$G$93)</f>
        <v/>
      </c>
      <c r="AA5" s="518" t="str">
        <f>IF($A5="","",'[2]Aanvraag inhuur'!$C$95)</f>
        <v/>
      </c>
      <c r="AB5" s="518" t="str">
        <f>IF($A5="","",'[2]Aanvraag inhuur'!$C$97)</f>
        <v/>
      </c>
      <c r="AC5" s="518" t="str">
        <f>IF($A5="","",'[2]Aanvraag inhuur'!$C$98)</f>
        <v/>
      </c>
      <c r="AD5" s="517" t="s">
        <v>1267</v>
      </c>
      <c r="AE5" s="551"/>
      <c r="AF5" s="518" t="str">
        <f t="shared" si="1"/>
        <v/>
      </c>
      <c r="AG5" s="518" t="str">
        <f>IF($A5="","",'[2]Overzicht inhuurdesk'!$I$12)</f>
        <v/>
      </c>
      <c r="AH5" s="550">
        <v>1</v>
      </c>
    </row>
    <row r="6" spans="1:36">
      <c r="A6" s="518" t="str">
        <f>IF(AND('[2]Overzicht inhuurdesk'!$I$1&gt;AH6,J6&lt;&gt;0),CONCATENATE(LEFT(A5,7),IF(RIGHT(A5,3)+1&lt;10,CONCATENATE("00",RIGHT(A5,3)+1),IF(RIGHT(A5,3)+1&lt;100,CONCATENATE("0",RIGHT(A5,3)+1),RIGHT(A5,3)+1))),"")</f>
        <v/>
      </c>
      <c r="B6" s="518" t="str">
        <f>IF(A6="","",VLOOKUP('[2]Overzicht inhuurdesk'!$C$9,'[2]Brongegevens tbv nokgenerator'!H$2:I$27,2,FALSE))</f>
        <v/>
      </c>
      <c r="C6" s="518" t="str">
        <f>IF(A6="","",VLOOKUP('[2]Overzicht inhuurdesk'!$C$10,'[2]Brongegevens tbv nokgenerator'!K$2:L$301,2,FALSE))</f>
        <v/>
      </c>
      <c r="D6" s="518" t="str">
        <f>IF($A6="","",VLOOKUP('[2]Overzicht inhuurdesk'!$C$7,'[2]Brongegevens tbv nokgenerator'!E$2:F$18,2,FALSE))</f>
        <v/>
      </c>
      <c r="E6" s="518" t="str">
        <f>IF($A6="","",VLOOKUP('[2]Overzicht inhuurdesk'!$C$6,'[2]Brongegevens tbv nokgenerator'!$C$2:$D$4,2,FALSE))</f>
        <v/>
      </c>
      <c r="F6" s="518" t="str">
        <f t="shared" si="2"/>
        <v/>
      </c>
      <c r="G6" s="552" t="str">
        <f t="shared" si="0"/>
        <v/>
      </c>
      <c r="H6" s="552" t="str">
        <f>IF($A6="","",TRUNC('[2]Overzicht inhuurdesk'!$T$8))</f>
        <v/>
      </c>
      <c r="I6" s="515" t="str">
        <f t="shared" si="3"/>
        <v/>
      </c>
      <c r="J6" s="551"/>
      <c r="K6" s="516"/>
      <c r="L6" s="516"/>
      <c r="M6" s="516"/>
      <c r="N6" s="516"/>
      <c r="O6" s="518" t="str">
        <f>IF($A6="","",'[2]Aanvraag inhuur'!$C$110)</f>
        <v/>
      </c>
      <c r="P6" s="518" t="str">
        <f>IF($A6="","",CONCATENATE('[2]Aanvraag inhuur'!$C$18," ",'[2]Aanvraag inhuur'!$C$22))</f>
        <v/>
      </c>
      <c r="Q6" s="551"/>
      <c r="R6" s="518" t="str">
        <f>IF($A6="","",VLOOKUP(CONCATENATE('[2]Overzicht inhuurdesk'!$C$9,'[2]Overzicht inhuurdesk'!$C$10,$Q6),[2]Leveranciersnamen!A:K,11,FALSE))</f>
        <v/>
      </c>
      <c r="S6" s="551"/>
      <c r="T6" s="553" t="str">
        <f t="shared" si="4"/>
        <v/>
      </c>
      <c r="U6" s="553" t="str">
        <f t="shared" si="5"/>
        <v/>
      </c>
      <c r="V6" s="553" t="str">
        <f t="shared" si="6"/>
        <v/>
      </c>
      <c r="W6" s="553" t="str">
        <f t="shared" si="7"/>
        <v/>
      </c>
      <c r="X6" s="552" t="str">
        <f>IF($A6="","",'[2]Overzicht inhuurdesk'!$T$12)</f>
        <v/>
      </c>
      <c r="Y6" s="516" t="str">
        <f t="shared" si="8"/>
        <v/>
      </c>
      <c r="Z6" s="518" t="str">
        <f>IF($A6="","",'[2]Aanvraag inhuur'!$G$93)</f>
        <v/>
      </c>
      <c r="AA6" s="518" t="str">
        <f>IF($A6="","",'[2]Aanvraag inhuur'!$C$95)</f>
        <v/>
      </c>
      <c r="AB6" s="518" t="str">
        <f>IF($A6="","",'[2]Aanvraag inhuur'!$C$97)</f>
        <v/>
      </c>
      <c r="AC6" s="518" t="str">
        <f>IF($A6="","",'[2]Aanvraag inhuur'!$C$98)</f>
        <v/>
      </c>
      <c r="AD6" s="517" t="s">
        <v>1267</v>
      </c>
      <c r="AE6" s="551"/>
      <c r="AF6" s="518" t="str">
        <f t="shared" si="1"/>
        <v/>
      </c>
      <c r="AG6" s="518" t="str">
        <f>IF($A6="","",'[2]Overzicht inhuurdesk'!$I$12)</f>
        <v/>
      </c>
      <c r="AH6" s="550">
        <v>2</v>
      </c>
    </row>
    <row r="7" spans="1:36">
      <c r="A7" s="518" t="str">
        <f>IF(AND('[2]Overzicht inhuurdesk'!$I$1&gt;AH7,J7&lt;&gt;0),CONCATENATE(LEFT(A6,7),IF(RIGHT(A6,3)+1&lt;10,CONCATENATE("00",RIGHT(A6,3)+1),IF(RIGHT(A6,3)+1&lt;100,CONCATENATE("0",RIGHT(A6,3)+1),RIGHT(A6,3)+1))),"")</f>
        <v/>
      </c>
      <c r="B7" s="518" t="str">
        <f>IF(A7="","",VLOOKUP('[2]Overzicht inhuurdesk'!$C$9,'[2]Brongegevens tbv nokgenerator'!H$2:I$27,2,FALSE))</f>
        <v/>
      </c>
      <c r="C7" s="518" t="str">
        <f>IF(A7="","",VLOOKUP('[2]Overzicht inhuurdesk'!$C$10,'[2]Brongegevens tbv nokgenerator'!K$2:L$301,2,FALSE))</f>
        <v/>
      </c>
      <c r="D7" s="518" t="str">
        <f>IF($A7="","",VLOOKUP('[2]Overzicht inhuurdesk'!$C$7,'[2]Brongegevens tbv nokgenerator'!E$2:F$18,2,FALSE))</f>
        <v/>
      </c>
      <c r="E7" s="518" t="str">
        <f>IF($A7="","",VLOOKUP('[2]Overzicht inhuurdesk'!$C$6,'[2]Brongegevens tbv nokgenerator'!$C$2:$D$4,2,FALSE))</f>
        <v/>
      </c>
      <c r="F7" s="518" t="str">
        <f t="shared" si="2"/>
        <v/>
      </c>
      <c r="G7" s="552" t="str">
        <f t="shared" si="0"/>
        <v/>
      </c>
      <c r="H7" s="552" t="str">
        <f>IF($A7="","",TRUNC('[2]Overzicht inhuurdesk'!$T$8))</f>
        <v/>
      </c>
      <c r="I7" s="515" t="str">
        <f t="shared" si="3"/>
        <v/>
      </c>
      <c r="J7" s="551"/>
      <c r="K7" s="516"/>
      <c r="L7" s="516"/>
      <c r="M7" s="516"/>
      <c r="N7" s="516"/>
      <c r="O7" s="518" t="str">
        <f>IF($A7="","",'[2]Aanvraag inhuur'!$C$110)</f>
        <v/>
      </c>
      <c r="P7" s="518" t="str">
        <f>IF($A7="","",CONCATENATE('[2]Aanvraag inhuur'!$C$18," ",'[2]Aanvraag inhuur'!$C$22))</f>
        <v/>
      </c>
      <c r="Q7" s="551"/>
      <c r="R7" s="518" t="str">
        <f>IF($A7="","",VLOOKUP(CONCATENATE('[2]Overzicht inhuurdesk'!$C$9,'[2]Overzicht inhuurdesk'!$C$10,$Q7),[2]Leveranciersnamen!A:K,11,FALSE))</f>
        <v/>
      </c>
      <c r="S7" s="551"/>
      <c r="T7" s="553" t="str">
        <f t="shared" si="4"/>
        <v/>
      </c>
      <c r="U7" s="553" t="str">
        <f t="shared" si="5"/>
        <v/>
      </c>
      <c r="V7" s="553" t="str">
        <f t="shared" si="6"/>
        <v/>
      </c>
      <c r="W7" s="553" t="str">
        <f t="shared" si="7"/>
        <v/>
      </c>
      <c r="X7" s="552" t="str">
        <f>IF($A7="","",'[2]Overzicht inhuurdesk'!$T$12)</f>
        <v/>
      </c>
      <c r="Y7" s="516" t="str">
        <f t="shared" si="8"/>
        <v/>
      </c>
      <c r="Z7" s="518" t="str">
        <f>IF($A7="","",'[2]Aanvraag inhuur'!$G$93)</f>
        <v/>
      </c>
      <c r="AA7" s="518" t="str">
        <f>IF($A7="","",'[2]Aanvraag inhuur'!$C$95)</f>
        <v/>
      </c>
      <c r="AB7" s="518" t="str">
        <f>IF($A7="","",'[2]Aanvraag inhuur'!$C$97)</f>
        <v/>
      </c>
      <c r="AC7" s="518" t="str">
        <f>IF($A7="","",'[2]Aanvraag inhuur'!$C$98)</f>
        <v/>
      </c>
      <c r="AD7" s="517" t="s">
        <v>1267</v>
      </c>
      <c r="AE7" s="551"/>
      <c r="AF7" s="518" t="str">
        <f t="shared" si="1"/>
        <v/>
      </c>
      <c r="AG7" s="518" t="str">
        <f>IF($A7="","",'[2]Overzicht inhuurdesk'!$I$12)</f>
        <v/>
      </c>
      <c r="AH7" s="550">
        <v>3</v>
      </c>
    </row>
    <row r="8" spans="1:36">
      <c r="A8" s="518" t="str">
        <f>IF(AND('[2]Overzicht inhuurdesk'!$I$1&gt;AH8,J8&lt;&gt;0),CONCATENATE(LEFT(A7,7),IF(RIGHT(A7,3)+1&lt;10,CONCATENATE("00",RIGHT(A7,3)+1),IF(RIGHT(A7,3)+1&lt;100,CONCATENATE("0",RIGHT(A7,3)+1),RIGHT(A7,3)+1))),"")</f>
        <v/>
      </c>
      <c r="B8" s="518" t="str">
        <f>IF(A8="","",VLOOKUP('[2]Overzicht inhuurdesk'!$C$9,'[2]Brongegevens tbv nokgenerator'!H$2:I$27,2,FALSE))</f>
        <v/>
      </c>
      <c r="C8" s="518" t="str">
        <f>IF(A8="","",VLOOKUP('[2]Overzicht inhuurdesk'!$C$10,'[2]Brongegevens tbv nokgenerator'!K$2:L$301,2,FALSE))</f>
        <v/>
      </c>
      <c r="D8" s="518" t="str">
        <f>IF($A8="","",VLOOKUP('[2]Overzicht inhuurdesk'!$C$7,'[2]Brongegevens tbv nokgenerator'!E$2:F$18,2,FALSE))</f>
        <v/>
      </c>
      <c r="E8" s="518" t="str">
        <f>IF($A8="","",VLOOKUP('[2]Overzicht inhuurdesk'!$C$6,'[2]Brongegevens tbv nokgenerator'!$C$2:$D$4,2,FALSE))</f>
        <v/>
      </c>
      <c r="F8" s="518" t="str">
        <f t="shared" si="2"/>
        <v/>
      </c>
      <c r="G8" s="552" t="str">
        <f t="shared" si="0"/>
        <v/>
      </c>
      <c r="H8" s="552" t="str">
        <f>IF($A8="","",TRUNC('[2]Overzicht inhuurdesk'!$T$8))</f>
        <v/>
      </c>
      <c r="I8" s="515" t="str">
        <f t="shared" si="3"/>
        <v/>
      </c>
      <c r="J8" s="551"/>
      <c r="K8" s="516"/>
      <c r="L8" s="516"/>
      <c r="M8" s="516"/>
      <c r="N8" s="516"/>
      <c r="O8" s="518" t="str">
        <f>IF($A8="","",'[2]Aanvraag inhuur'!$C$110)</f>
        <v/>
      </c>
      <c r="P8" s="518" t="str">
        <f>IF($A8="","",CONCATENATE('[2]Aanvraag inhuur'!$C$18," ",'[2]Aanvraag inhuur'!$C$22))</f>
        <v/>
      </c>
      <c r="Q8" s="551"/>
      <c r="R8" s="518" t="str">
        <f>IF($A8="","",VLOOKUP(CONCATENATE('[2]Overzicht inhuurdesk'!$C$9,'[2]Overzicht inhuurdesk'!$C$10,$Q8),[2]Leveranciersnamen!A:K,11,FALSE))</f>
        <v/>
      </c>
      <c r="S8" s="551"/>
      <c r="T8" s="553" t="str">
        <f t="shared" si="4"/>
        <v/>
      </c>
      <c r="U8" s="553" t="str">
        <f t="shared" si="5"/>
        <v/>
      </c>
      <c r="V8" s="553" t="str">
        <f t="shared" si="6"/>
        <v/>
      </c>
      <c r="W8" s="553" t="str">
        <f t="shared" si="7"/>
        <v/>
      </c>
      <c r="X8" s="552" t="str">
        <f>IF($A8="","",'[2]Overzicht inhuurdesk'!$T$12)</f>
        <v/>
      </c>
      <c r="Y8" s="516" t="str">
        <f t="shared" si="8"/>
        <v/>
      </c>
      <c r="Z8" s="518" t="str">
        <f>IF($A8="","",'[2]Aanvraag inhuur'!$G$93)</f>
        <v/>
      </c>
      <c r="AA8" s="518" t="str">
        <f>IF($A8="","",'[2]Aanvraag inhuur'!$C$95)</f>
        <v/>
      </c>
      <c r="AB8" s="518" t="str">
        <f>IF($A8="","",'[2]Aanvraag inhuur'!$C$97)</f>
        <v/>
      </c>
      <c r="AC8" s="518" t="str">
        <f>IF($A8="","",'[2]Aanvraag inhuur'!$C$98)</f>
        <v/>
      </c>
      <c r="AD8" s="517" t="s">
        <v>1267</v>
      </c>
      <c r="AE8" s="551"/>
      <c r="AF8" s="518" t="str">
        <f t="shared" si="1"/>
        <v/>
      </c>
      <c r="AG8" s="518" t="str">
        <f>IF($A8="","",'[2]Overzicht inhuurdesk'!$I$12)</f>
        <v/>
      </c>
      <c r="AH8" s="550">
        <v>4</v>
      </c>
    </row>
    <row r="9" spans="1:36">
      <c r="A9" s="518" t="str">
        <f>IF(AND('[2]Overzicht inhuurdesk'!$I$1&gt;AH9,J9&lt;&gt;0),CONCATENATE(LEFT(A8,7),IF(RIGHT(A8,3)+1&lt;10,CONCATENATE("00",RIGHT(A8,3)+1),IF(RIGHT(A8,3)+1&lt;100,CONCATENATE("0",RIGHT(A8,3)+1),RIGHT(A8,3)+1))),"")</f>
        <v/>
      </c>
      <c r="B9" s="518" t="str">
        <f>IF(A9="","",VLOOKUP('[2]Overzicht inhuurdesk'!$C$9,'[2]Brongegevens tbv nokgenerator'!H$2:I$27,2,FALSE))</f>
        <v/>
      </c>
      <c r="C9" s="518" t="str">
        <f>IF(A9="","",VLOOKUP('[2]Overzicht inhuurdesk'!$C$10,'[2]Brongegevens tbv nokgenerator'!K$2:L$301,2,FALSE))</f>
        <v/>
      </c>
      <c r="D9" s="518" t="str">
        <f>IF($A9="","",VLOOKUP('[2]Overzicht inhuurdesk'!$C$7,'[2]Brongegevens tbv nokgenerator'!E$2:F$18,2,FALSE))</f>
        <v/>
      </c>
      <c r="E9" s="518" t="str">
        <f>IF($A9="","",VLOOKUP('[2]Overzicht inhuurdesk'!$C$6,'[2]Brongegevens tbv nokgenerator'!$C$2:$D$4,2,FALSE))</f>
        <v/>
      </c>
      <c r="F9" s="518" t="str">
        <f t="shared" si="2"/>
        <v/>
      </c>
      <c r="G9" s="552" t="str">
        <f t="shared" si="0"/>
        <v/>
      </c>
      <c r="H9" s="552" t="str">
        <f>IF($A9="","",TRUNC('[2]Overzicht inhuurdesk'!$T$8))</f>
        <v/>
      </c>
      <c r="I9" s="515" t="str">
        <f t="shared" si="3"/>
        <v/>
      </c>
      <c r="J9" s="551"/>
      <c r="K9" s="516"/>
      <c r="L9" s="516"/>
      <c r="M9" s="516"/>
      <c r="N9" s="516"/>
      <c r="O9" s="518" t="str">
        <f>IF($A9="","",'[2]Aanvraag inhuur'!$C$110)</f>
        <v/>
      </c>
      <c r="P9" s="518" t="str">
        <f>IF($A9="","",CONCATENATE('[2]Aanvraag inhuur'!$C$18," ",'[2]Aanvraag inhuur'!$C$22))</f>
        <v/>
      </c>
      <c r="Q9" s="551"/>
      <c r="R9" s="518" t="str">
        <f>IF($A9="","",VLOOKUP(CONCATENATE('[2]Overzicht inhuurdesk'!$C$9,'[2]Overzicht inhuurdesk'!$C$10,$Q9),[2]Leveranciersnamen!A:K,11,FALSE))</f>
        <v/>
      </c>
      <c r="S9" s="551"/>
      <c r="T9" s="553" t="str">
        <f t="shared" si="4"/>
        <v/>
      </c>
      <c r="U9" s="553" t="str">
        <f t="shared" si="5"/>
        <v/>
      </c>
      <c r="V9" s="553" t="str">
        <f t="shared" si="6"/>
        <v/>
      </c>
      <c r="W9" s="553" t="str">
        <f t="shared" si="7"/>
        <v/>
      </c>
      <c r="X9" s="552" t="str">
        <f>IF($A9="","",'[2]Overzicht inhuurdesk'!$T$12)</f>
        <v/>
      </c>
      <c r="Y9" s="516" t="str">
        <f t="shared" si="8"/>
        <v/>
      </c>
      <c r="Z9" s="518" t="str">
        <f>IF($A9="","",'[2]Aanvraag inhuur'!$G$93)</f>
        <v/>
      </c>
      <c r="AA9" s="518" t="str">
        <f>IF($A9="","",'[2]Aanvraag inhuur'!$C$95)</f>
        <v/>
      </c>
      <c r="AB9" s="518" t="str">
        <f>IF($A9="","",'[2]Aanvraag inhuur'!$C$97)</f>
        <v/>
      </c>
      <c r="AC9" s="518" t="str">
        <f>IF($A9="","",'[2]Aanvraag inhuur'!$C$98)</f>
        <v/>
      </c>
      <c r="AD9" s="517" t="s">
        <v>1267</v>
      </c>
      <c r="AE9" s="551"/>
      <c r="AF9" s="518" t="str">
        <f t="shared" si="1"/>
        <v/>
      </c>
      <c r="AG9" s="518" t="str">
        <f>IF($A9="","",'[2]Overzicht inhuurdesk'!$I$12)</f>
        <v/>
      </c>
      <c r="AH9" s="550">
        <v>5</v>
      </c>
    </row>
    <row r="10" spans="1:36">
      <c r="A10" s="518" t="str">
        <f>IF(AND('[2]Overzicht inhuurdesk'!$I$1&gt;AH10,J10&lt;&gt;0),CONCATENATE(LEFT(A9,7),IF(RIGHT(A9,3)+1&lt;10,CONCATENATE("00",RIGHT(A9,3)+1),IF(RIGHT(A9,3)+1&lt;100,CONCATENATE("0",RIGHT(A9,3)+1),RIGHT(A9,3)+1))),"")</f>
        <v/>
      </c>
      <c r="B10" s="518" t="str">
        <f>IF(A10="","",VLOOKUP('[2]Overzicht inhuurdesk'!$C$9,'[2]Brongegevens tbv nokgenerator'!H$2:I$27,2,FALSE))</f>
        <v/>
      </c>
      <c r="C10" s="518" t="str">
        <f>IF(A10="","",VLOOKUP('[2]Overzicht inhuurdesk'!$C$10,'[2]Brongegevens tbv nokgenerator'!K$2:L$301,2,FALSE))</f>
        <v/>
      </c>
      <c r="D10" s="518" t="str">
        <f>IF($A10="","",VLOOKUP('[2]Overzicht inhuurdesk'!$C$7,'[2]Brongegevens tbv nokgenerator'!E$2:F$18,2,FALSE))</f>
        <v/>
      </c>
      <c r="E10" s="518" t="str">
        <f>IF($A10="","",VLOOKUP('[2]Overzicht inhuurdesk'!$C$6,'[2]Brongegevens tbv nokgenerator'!$C$2:$D$4,2,FALSE))</f>
        <v/>
      </c>
      <c r="F10" s="518" t="str">
        <f t="shared" si="2"/>
        <v/>
      </c>
      <c r="G10" s="552" t="str">
        <f t="shared" si="0"/>
        <v/>
      </c>
      <c r="H10" s="552" t="str">
        <f>IF($A10="","",TRUNC('[2]Overzicht inhuurdesk'!$T$8))</f>
        <v/>
      </c>
      <c r="I10" s="515" t="str">
        <f t="shared" si="3"/>
        <v/>
      </c>
      <c r="J10" s="551"/>
      <c r="K10" s="516"/>
      <c r="L10" s="516"/>
      <c r="M10" s="516"/>
      <c r="N10" s="516"/>
      <c r="O10" s="518" t="str">
        <f>IF($A10="","",'[2]Aanvraag inhuur'!$C$110)</f>
        <v/>
      </c>
      <c r="P10" s="518" t="str">
        <f>IF($A10="","",CONCATENATE('[2]Aanvraag inhuur'!$C$18," ",'[2]Aanvraag inhuur'!$C$22))</f>
        <v/>
      </c>
      <c r="Q10" s="551"/>
      <c r="R10" s="518" t="str">
        <f>IF($A10="","",VLOOKUP(CONCATENATE('[2]Overzicht inhuurdesk'!$C$9,'[2]Overzicht inhuurdesk'!$C$10,$Q10),[2]Leveranciersnamen!A:K,11,FALSE))</f>
        <v/>
      </c>
      <c r="S10" s="551"/>
      <c r="T10" s="553" t="str">
        <f t="shared" si="4"/>
        <v/>
      </c>
      <c r="U10" s="553" t="str">
        <f t="shared" si="5"/>
        <v/>
      </c>
      <c r="V10" s="553" t="str">
        <f t="shared" si="6"/>
        <v/>
      </c>
      <c r="W10" s="553" t="str">
        <f t="shared" si="7"/>
        <v/>
      </c>
      <c r="X10" s="552" t="str">
        <f>IF($A10="","",'[2]Overzicht inhuurdesk'!$T$12)</f>
        <v/>
      </c>
      <c r="Y10" s="516" t="str">
        <f t="shared" si="8"/>
        <v/>
      </c>
      <c r="Z10" s="518" t="str">
        <f>IF($A10="","",'[2]Aanvraag inhuur'!$G$93)</f>
        <v/>
      </c>
      <c r="AA10" s="518" t="str">
        <f>IF($A10="","",'[2]Aanvraag inhuur'!$C$95)</f>
        <v/>
      </c>
      <c r="AB10" s="518" t="str">
        <f>IF($A10="","",'[2]Aanvraag inhuur'!$C$97)</f>
        <v/>
      </c>
      <c r="AC10" s="518" t="str">
        <f>IF($A10="","",'[2]Aanvraag inhuur'!$C$98)</f>
        <v/>
      </c>
      <c r="AD10" s="517" t="s">
        <v>1267</v>
      </c>
      <c r="AE10" s="551"/>
      <c r="AF10" s="518" t="str">
        <f t="shared" si="1"/>
        <v/>
      </c>
      <c r="AG10" s="518" t="str">
        <f>IF($A10="","",'[2]Overzicht inhuurdesk'!$I$12)</f>
        <v/>
      </c>
      <c r="AH10" s="550">
        <v>6</v>
      </c>
    </row>
    <row r="11" spans="1:36">
      <c r="A11" s="518" t="str">
        <f>IF(AND('[2]Overzicht inhuurdesk'!$I$1&gt;AH11,J11&lt;&gt;0),CONCATENATE(LEFT(A10,7),IF(RIGHT(A10,3)+1&lt;10,CONCATENATE("00",RIGHT(A10,3)+1),IF(RIGHT(A10,3)+1&lt;100,CONCATENATE("0",RIGHT(A10,3)+1),RIGHT(A10,3)+1))),"")</f>
        <v/>
      </c>
      <c r="B11" s="518" t="str">
        <f>IF(A11="","",VLOOKUP('[2]Overzicht inhuurdesk'!$C$9,'[2]Brongegevens tbv nokgenerator'!H$2:I$27,2,FALSE))</f>
        <v/>
      </c>
      <c r="C11" s="518" t="str">
        <f>IF(A11="","",VLOOKUP('[2]Overzicht inhuurdesk'!$C$10,'[2]Brongegevens tbv nokgenerator'!K$2:L$301,2,FALSE))</f>
        <v/>
      </c>
      <c r="D11" s="518" t="str">
        <f>IF($A11="","",VLOOKUP('[2]Overzicht inhuurdesk'!$C$7,'[2]Brongegevens tbv nokgenerator'!E$2:F$18,2,FALSE))</f>
        <v/>
      </c>
      <c r="E11" s="518" t="str">
        <f>IF($A11="","",VLOOKUP('[2]Overzicht inhuurdesk'!$C$6,'[2]Brongegevens tbv nokgenerator'!$C$2:$D$4,2,FALSE))</f>
        <v/>
      </c>
      <c r="F11" s="518" t="str">
        <f t="shared" si="2"/>
        <v/>
      </c>
      <c r="G11" s="552" t="str">
        <f t="shared" si="0"/>
        <v/>
      </c>
      <c r="H11" s="552" t="str">
        <f>IF($A11="","",TRUNC('[2]Overzicht inhuurdesk'!$T$8))</f>
        <v/>
      </c>
      <c r="I11" s="515" t="str">
        <f t="shared" si="3"/>
        <v/>
      </c>
      <c r="J11" s="551"/>
      <c r="K11" s="516"/>
      <c r="L11" s="516"/>
      <c r="M11" s="516"/>
      <c r="N11" s="516"/>
      <c r="O11" s="518" t="str">
        <f>IF($A11="","",'[2]Aanvraag inhuur'!$C$110)</f>
        <v/>
      </c>
      <c r="P11" s="518" t="str">
        <f>IF($A11="","",CONCATENATE('[2]Aanvraag inhuur'!$C$18," ",'[2]Aanvraag inhuur'!$C$22))</f>
        <v/>
      </c>
      <c r="Q11" s="551"/>
      <c r="R11" s="518" t="str">
        <f>IF($A11="","",VLOOKUP(CONCATENATE('[2]Overzicht inhuurdesk'!$C$9,'[2]Overzicht inhuurdesk'!$C$10,$Q11),[2]Leveranciersnamen!A:K,11,FALSE))</f>
        <v/>
      </c>
      <c r="S11" s="551"/>
      <c r="T11" s="553" t="str">
        <f t="shared" si="4"/>
        <v/>
      </c>
      <c r="U11" s="553" t="str">
        <f t="shared" si="5"/>
        <v/>
      </c>
      <c r="V11" s="553" t="str">
        <f t="shared" si="6"/>
        <v/>
      </c>
      <c r="W11" s="553" t="str">
        <f t="shared" si="7"/>
        <v/>
      </c>
      <c r="X11" s="552" t="str">
        <f>IF($A11="","",'[2]Overzicht inhuurdesk'!$T$12)</f>
        <v/>
      </c>
      <c r="Y11" s="516" t="str">
        <f t="shared" si="8"/>
        <v/>
      </c>
      <c r="Z11" s="518" t="str">
        <f>IF($A11="","",'[2]Aanvraag inhuur'!$G$93)</f>
        <v/>
      </c>
      <c r="AA11" s="518" t="str">
        <f>IF($A11="","",'[2]Aanvraag inhuur'!$C$95)</f>
        <v/>
      </c>
      <c r="AB11" s="518" t="str">
        <f>IF($A11="","",'[2]Aanvraag inhuur'!$C$97)</f>
        <v/>
      </c>
      <c r="AC11" s="518" t="str">
        <f>IF($A11="","",'[2]Aanvraag inhuur'!$C$98)</f>
        <v/>
      </c>
      <c r="AD11" s="517" t="s">
        <v>1267</v>
      </c>
      <c r="AE11" s="551"/>
      <c r="AF11" s="518" t="str">
        <f t="shared" si="1"/>
        <v/>
      </c>
      <c r="AG11" s="518" t="str">
        <f>IF($A11="","",'[2]Overzicht inhuurdesk'!$I$12)</f>
        <v/>
      </c>
      <c r="AH11" s="550">
        <v>7</v>
      </c>
    </row>
    <row r="12" spans="1:36">
      <c r="A12" s="518" t="str">
        <f>IF(AND('[2]Overzicht inhuurdesk'!$I$1&gt;AH12,J12&lt;&gt;0),CONCATENATE(LEFT(A11,7),IF(RIGHT(A11,3)+1&lt;10,CONCATENATE("00",RIGHT(A11,3)+1),IF(RIGHT(A11,3)+1&lt;100,CONCATENATE("0",RIGHT(A11,3)+1),RIGHT(A11,3)+1))),"")</f>
        <v/>
      </c>
      <c r="B12" s="518" t="str">
        <f>IF(A12="","",VLOOKUP('[2]Overzicht inhuurdesk'!$C$9,'[2]Brongegevens tbv nokgenerator'!H$2:I$27,2,FALSE))</f>
        <v/>
      </c>
      <c r="C12" s="518" t="str">
        <f>IF(A12="","",VLOOKUP('[2]Overzicht inhuurdesk'!$C$10,'[2]Brongegevens tbv nokgenerator'!K$2:L$301,2,FALSE))</f>
        <v/>
      </c>
      <c r="D12" s="518" t="str">
        <f>IF($A12="","",VLOOKUP('[2]Overzicht inhuurdesk'!$C$7,'[2]Brongegevens tbv nokgenerator'!E$2:F$18,2,FALSE))</f>
        <v/>
      </c>
      <c r="E12" s="518" t="str">
        <f>IF($A12="","",VLOOKUP('[2]Overzicht inhuurdesk'!$C$6,'[2]Brongegevens tbv nokgenerator'!$C$2:$D$4,2,FALSE))</f>
        <v/>
      </c>
      <c r="F12" s="518" t="str">
        <f t="shared" si="2"/>
        <v/>
      </c>
      <c r="G12" s="552" t="str">
        <f t="shared" si="0"/>
        <v/>
      </c>
      <c r="H12" s="552" t="str">
        <f>IF($A12="","",TRUNC('[2]Overzicht inhuurdesk'!$T$8))</f>
        <v/>
      </c>
      <c r="I12" s="515" t="str">
        <f t="shared" si="3"/>
        <v/>
      </c>
      <c r="J12" s="551"/>
      <c r="K12" s="516"/>
      <c r="L12" s="516"/>
      <c r="M12" s="516"/>
      <c r="N12" s="516"/>
      <c r="O12" s="518" t="str">
        <f>IF($A12="","",'[2]Aanvraag inhuur'!$C$110)</f>
        <v/>
      </c>
      <c r="P12" s="518" t="str">
        <f>IF($A12="","",CONCATENATE('[2]Aanvraag inhuur'!$C$18," ",'[2]Aanvraag inhuur'!$C$22))</f>
        <v/>
      </c>
      <c r="Q12" s="551"/>
      <c r="R12" s="518" t="str">
        <f>IF($A12="","",VLOOKUP(CONCATENATE('[2]Overzicht inhuurdesk'!$C$9,'[2]Overzicht inhuurdesk'!$C$10,$Q12),[2]Leveranciersnamen!A:K,11,FALSE))</f>
        <v/>
      </c>
      <c r="S12" s="551"/>
      <c r="T12" s="553" t="str">
        <f t="shared" si="4"/>
        <v/>
      </c>
      <c r="U12" s="553" t="str">
        <f t="shared" si="5"/>
        <v/>
      </c>
      <c r="V12" s="553" t="str">
        <f t="shared" si="6"/>
        <v/>
      </c>
      <c r="W12" s="553" t="str">
        <f t="shared" si="7"/>
        <v/>
      </c>
      <c r="X12" s="552" t="str">
        <f>IF($A12="","",'[2]Overzicht inhuurdesk'!$T$12)</f>
        <v/>
      </c>
      <c r="Y12" s="516" t="str">
        <f t="shared" si="8"/>
        <v/>
      </c>
      <c r="Z12" s="518" t="str">
        <f>IF($A12="","",'[2]Aanvraag inhuur'!$G$93)</f>
        <v/>
      </c>
      <c r="AA12" s="518" t="str">
        <f>IF($A12="","",'[2]Aanvraag inhuur'!$C$95)</f>
        <v/>
      </c>
      <c r="AB12" s="518" t="str">
        <f>IF($A12="","",'[2]Aanvraag inhuur'!$C$97)</f>
        <v/>
      </c>
      <c r="AC12" s="518" t="str">
        <f>IF($A12="","",'[2]Aanvraag inhuur'!$C$98)</f>
        <v/>
      </c>
      <c r="AD12" s="517" t="s">
        <v>1267</v>
      </c>
      <c r="AE12" s="551"/>
      <c r="AF12" s="518" t="str">
        <f t="shared" si="1"/>
        <v/>
      </c>
      <c r="AG12" s="518" t="str">
        <f>IF($A12="","",'[2]Overzicht inhuurdesk'!$I$12)</f>
        <v/>
      </c>
      <c r="AH12" s="550">
        <v>8</v>
      </c>
    </row>
    <row r="13" spans="1:36">
      <c r="A13" s="518" t="str">
        <f>IF(AND('[2]Overzicht inhuurdesk'!$I$1&gt;AH13,J13&lt;&gt;0),CONCATENATE(LEFT(A12,7),IF(RIGHT(A12,3)+1&lt;10,CONCATENATE("00",RIGHT(A12,3)+1),IF(RIGHT(A12,3)+1&lt;100,CONCATENATE("0",RIGHT(A12,3)+1),RIGHT(A12,3)+1))),"")</f>
        <v/>
      </c>
      <c r="B13" s="518" t="str">
        <f>IF(A13="","",VLOOKUP('[2]Overzicht inhuurdesk'!$C$9,'[2]Brongegevens tbv nokgenerator'!H$2:I$27,2,FALSE))</f>
        <v/>
      </c>
      <c r="C13" s="518" t="str">
        <f>IF(A13="","",VLOOKUP('[2]Overzicht inhuurdesk'!$C$10,'[2]Brongegevens tbv nokgenerator'!K$2:L$301,2,FALSE))</f>
        <v/>
      </c>
      <c r="D13" s="518" t="str">
        <f>IF($A13="","",VLOOKUP('[2]Overzicht inhuurdesk'!$C$7,'[2]Brongegevens tbv nokgenerator'!E$2:F$18,2,FALSE))</f>
        <v/>
      </c>
      <c r="E13" s="518" t="str">
        <f>IF($A13="","",VLOOKUP('[2]Overzicht inhuurdesk'!$C$6,'[2]Brongegevens tbv nokgenerator'!$C$2:$D$4,2,FALSE))</f>
        <v/>
      </c>
      <c r="F13" s="518" t="str">
        <f t="shared" si="2"/>
        <v/>
      </c>
      <c r="G13" s="552" t="str">
        <f t="shared" si="0"/>
        <v/>
      </c>
      <c r="H13" s="552" t="str">
        <f>IF($A13="","",TRUNC('[2]Overzicht inhuurdesk'!$T$8))</f>
        <v/>
      </c>
      <c r="I13" s="515" t="str">
        <f t="shared" si="3"/>
        <v/>
      </c>
      <c r="J13" s="551"/>
      <c r="K13" s="516"/>
      <c r="L13" s="516"/>
      <c r="M13" s="516"/>
      <c r="N13" s="516"/>
      <c r="O13" s="518" t="str">
        <f>IF($A13="","",'[2]Aanvraag inhuur'!$C$110)</f>
        <v/>
      </c>
      <c r="P13" s="518" t="str">
        <f>IF($A13="","",CONCATENATE('[2]Aanvraag inhuur'!$C$18," ",'[2]Aanvraag inhuur'!$C$22))</f>
        <v/>
      </c>
      <c r="Q13" s="551"/>
      <c r="R13" s="518" t="str">
        <f>IF($A13="","",VLOOKUP(CONCATENATE('[2]Overzicht inhuurdesk'!$C$9,'[2]Overzicht inhuurdesk'!$C$10,$Q13),[2]Leveranciersnamen!A:K,11,FALSE))</f>
        <v/>
      </c>
      <c r="S13" s="551"/>
      <c r="T13" s="553" t="str">
        <f t="shared" si="4"/>
        <v/>
      </c>
      <c r="U13" s="553" t="str">
        <f t="shared" si="5"/>
        <v/>
      </c>
      <c r="V13" s="553" t="str">
        <f t="shared" si="6"/>
        <v/>
      </c>
      <c r="W13" s="553" t="str">
        <f t="shared" si="7"/>
        <v/>
      </c>
      <c r="X13" s="552" t="str">
        <f>IF($A13="","",'[2]Overzicht inhuurdesk'!$T$12)</f>
        <v/>
      </c>
      <c r="Y13" s="516" t="str">
        <f t="shared" si="8"/>
        <v/>
      </c>
      <c r="Z13" s="518" t="str">
        <f>IF($A13="","",'[2]Aanvraag inhuur'!$G$93)</f>
        <v/>
      </c>
      <c r="AA13" s="518" t="str">
        <f>IF($A13="","",'[2]Aanvraag inhuur'!$C$95)</f>
        <v/>
      </c>
      <c r="AB13" s="518" t="str">
        <f>IF($A13="","",'[2]Aanvraag inhuur'!$C$97)</f>
        <v/>
      </c>
      <c r="AC13" s="518" t="str">
        <f>IF($A13="","",'[2]Aanvraag inhuur'!$C$98)</f>
        <v/>
      </c>
      <c r="AD13" s="517" t="s">
        <v>1267</v>
      </c>
      <c r="AE13" s="551"/>
      <c r="AF13" s="518" t="str">
        <f t="shared" si="1"/>
        <v/>
      </c>
      <c r="AG13" s="518" t="str">
        <f>IF($A13="","",'[2]Overzicht inhuurdesk'!$I$12)</f>
        <v/>
      </c>
      <c r="AH13" s="550">
        <v>9</v>
      </c>
    </row>
    <row r="14" spans="1:36">
      <c r="A14" s="518" t="str">
        <f>IF(AND('[2]Overzicht inhuurdesk'!$I$1&gt;AH14,J14&lt;&gt;0),CONCATENATE(LEFT(A13,7),IF(RIGHT(A13,3)+1&lt;10,CONCATENATE("00",RIGHT(A13,3)+1),IF(RIGHT(A13,3)+1&lt;100,CONCATENATE("0",RIGHT(A13,3)+1),RIGHT(A13,3)+1))),"")</f>
        <v/>
      </c>
      <c r="B14" s="518" t="str">
        <f>IF(A14="","",VLOOKUP('[2]Overzicht inhuurdesk'!$C$9,'[2]Brongegevens tbv nokgenerator'!H$2:I$27,2,FALSE))</f>
        <v/>
      </c>
      <c r="C14" s="518" t="str">
        <f>IF(A14="","",VLOOKUP('[2]Overzicht inhuurdesk'!$C$10,'[2]Brongegevens tbv nokgenerator'!K$2:L$301,2,FALSE))</f>
        <v/>
      </c>
      <c r="D14" s="518" t="str">
        <f>IF($A14="","",VLOOKUP('[2]Overzicht inhuurdesk'!$C$7,'[2]Brongegevens tbv nokgenerator'!E$2:F$18,2,FALSE))</f>
        <v/>
      </c>
      <c r="E14" s="518" t="str">
        <f>IF($A14="","",VLOOKUP('[2]Overzicht inhuurdesk'!$C$6,'[2]Brongegevens tbv nokgenerator'!$C$2:$D$4,2,FALSE))</f>
        <v/>
      </c>
      <c r="F14" s="518" t="str">
        <f t="shared" si="2"/>
        <v/>
      </c>
      <c r="G14" s="552" t="str">
        <f t="shared" si="0"/>
        <v/>
      </c>
      <c r="H14" s="552" t="str">
        <f>IF($A14="","",TRUNC('[2]Overzicht inhuurdesk'!$T$8))</f>
        <v/>
      </c>
      <c r="I14" s="515" t="str">
        <f t="shared" si="3"/>
        <v/>
      </c>
      <c r="J14" s="551"/>
      <c r="K14" s="516"/>
      <c r="L14" s="516"/>
      <c r="M14" s="516"/>
      <c r="N14" s="516"/>
      <c r="O14" s="518" t="str">
        <f>IF($A14="","",'[2]Aanvraag inhuur'!$C$110)</f>
        <v/>
      </c>
      <c r="P14" s="518" t="str">
        <f>IF($A14="","",CONCATENATE('[2]Aanvraag inhuur'!$C$18," ",'[2]Aanvraag inhuur'!$C$22))</f>
        <v/>
      </c>
      <c r="Q14" s="551"/>
      <c r="R14" s="518" t="str">
        <f>IF($A14="","",VLOOKUP(CONCATENATE('[2]Overzicht inhuurdesk'!$C$9,'[2]Overzicht inhuurdesk'!$C$10,$Q14),[2]Leveranciersnamen!A:K,11,FALSE))</f>
        <v/>
      </c>
      <c r="S14" s="551"/>
      <c r="T14" s="553" t="str">
        <f t="shared" si="4"/>
        <v/>
      </c>
      <c r="U14" s="553" t="str">
        <f t="shared" si="5"/>
        <v/>
      </c>
      <c r="V14" s="553" t="str">
        <f t="shared" si="6"/>
        <v/>
      </c>
      <c r="W14" s="553" t="str">
        <f t="shared" si="7"/>
        <v/>
      </c>
      <c r="X14" s="552" t="str">
        <f>IF($A14="","",'[2]Overzicht inhuurdesk'!$T$12)</f>
        <v/>
      </c>
      <c r="Y14" s="516" t="str">
        <f t="shared" si="8"/>
        <v/>
      </c>
      <c r="Z14" s="518" t="str">
        <f>IF($A14="","",'[2]Aanvraag inhuur'!$G$93)</f>
        <v/>
      </c>
      <c r="AA14" s="518" t="str">
        <f>IF($A14="","",'[2]Aanvraag inhuur'!$C$95)</f>
        <v/>
      </c>
      <c r="AB14" s="518" t="str">
        <f>IF($A14="","",'[2]Aanvraag inhuur'!$C$97)</f>
        <v/>
      </c>
      <c r="AC14" s="518" t="str">
        <f>IF($A14="","",'[2]Aanvraag inhuur'!$C$98)</f>
        <v/>
      </c>
      <c r="AD14" s="517" t="s">
        <v>1267</v>
      </c>
      <c r="AE14" s="551"/>
      <c r="AF14" s="518" t="str">
        <f t="shared" si="1"/>
        <v/>
      </c>
      <c r="AG14" s="518" t="str">
        <f>IF($A14="","",'[2]Overzicht inhuurdesk'!$I$12)</f>
        <v/>
      </c>
      <c r="AH14" s="550">
        <v>10</v>
      </c>
    </row>
    <row r="15" spans="1:36">
      <c r="A15" s="518" t="str">
        <f>IF(AND('[2]Overzicht inhuurdesk'!$I$1&gt;AH15,J15&lt;&gt;0),CONCATENATE(LEFT(A14,7),IF(RIGHT(A14,3)+1&lt;10,CONCATENATE("00",RIGHT(A14,3)+1),IF(RIGHT(A14,3)+1&lt;100,CONCATENATE("0",RIGHT(A14,3)+1),RIGHT(A14,3)+1))),"")</f>
        <v/>
      </c>
      <c r="B15" s="518" t="str">
        <f>IF(A15="","",VLOOKUP('[2]Overzicht inhuurdesk'!$C$9,'[2]Brongegevens tbv nokgenerator'!H$2:I$27,2,FALSE))</f>
        <v/>
      </c>
      <c r="C15" s="518" t="str">
        <f>IF(A15="","",VLOOKUP('[2]Overzicht inhuurdesk'!$C$10,'[2]Brongegevens tbv nokgenerator'!K$2:L$301,2,FALSE))</f>
        <v/>
      </c>
      <c r="D15" s="518" t="str">
        <f>IF($A15="","",VLOOKUP('[2]Overzicht inhuurdesk'!$C$7,'[2]Brongegevens tbv nokgenerator'!E$2:F$18,2,FALSE))</f>
        <v/>
      </c>
      <c r="E15" s="518" t="str">
        <f>IF($A15="","",VLOOKUP('[2]Overzicht inhuurdesk'!$C$6,'[2]Brongegevens tbv nokgenerator'!$C$2:$D$4,2,FALSE))</f>
        <v/>
      </c>
      <c r="F15" s="518" t="str">
        <f t="shared" si="2"/>
        <v/>
      </c>
      <c r="G15" s="552" t="str">
        <f t="shared" si="0"/>
        <v/>
      </c>
      <c r="H15" s="552" t="str">
        <f>IF($A15="","",TRUNC('[2]Overzicht inhuurdesk'!$T$8))</f>
        <v/>
      </c>
      <c r="I15" s="515" t="str">
        <f t="shared" si="3"/>
        <v/>
      </c>
      <c r="J15" s="551"/>
      <c r="K15" s="516"/>
      <c r="L15" s="516"/>
      <c r="M15" s="516"/>
      <c r="N15" s="516"/>
      <c r="O15" s="518" t="str">
        <f>IF($A15="","",'[2]Aanvraag inhuur'!$C$110)</f>
        <v/>
      </c>
      <c r="P15" s="518" t="str">
        <f>IF($A15="","",CONCATENATE('[2]Aanvraag inhuur'!$C$18," ",'[2]Aanvraag inhuur'!$C$22))</f>
        <v/>
      </c>
      <c r="Q15" s="551"/>
      <c r="R15" s="518" t="str">
        <f>IF($A15="","",VLOOKUP(CONCATENATE('[2]Overzicht inhuurdesk'!$C$9,'[2]Overzicht inhuurdesk'!$C$10,$Q15),[2]Leveranciersnamen!A:K,11,FALSE))</f>
        <v/>
      </c>
      <c r="S15" s="551"/>
      <c r="T15" s="553" t="str">
        <f t="shared" si="4"/>
        <v/>
      </c>
      <c r="U15" s="553" t="str">
        <f t="shared" si="5"/>
        <v/>
      </c>
      <c r="V15" s="553" t="str">
        <f t="shared" si="6"/>
        <v/>
      </c>
      <c r="W15" s="553" t="str">
        <f t="shared" si="7"/>
        <v/>
      </c>
      <c r="X15" s="552" t="str">
        <f>IF($A15="","",'[2]Overzicht inhuurdesk'!$T$12)</f>
        <v/>
      </c>
      <c r="Y15" s="516" t="str">
        <f t="shared" si="8"/>
        <v/>
      </c>
      <c r="Z15" s="518" t="str">
        <f>IF($A15="","",'[2]Aanvraag inhuur'!$G$93)</f>
        <v/>
      </c>
      <c r="AA15" s="518" t="str">
        <f>IF($A15="","",'[2]Aanvraag inhuur'!$C$95)</f>
        <v/>
      </c>
      <c r="AB15" s="518" t="str">
        <f>IF($A15="","",'[2]Aanvraag inhuur'!$C$97)</f>
        <v/>
      </c>
      <c r="AC15" s="518" t="str">
        <f>IF($A15="","",'[2]Aanvraag inhuur'!$C$98)</f>
        <v/>
      </c>
      <c r="AD15" s="517" t="s">
        <v>1267</v>
      </c>
      <c r="AE15" s="551"/>
      <c r="AF15" s="518" t="str">
        <f t="shared" si="1"/>
        <v/>
      </c>
      <c r="AG15" s="518" t="str">
        <f>IF($A15="","",'[2]Overzicht inhuurdesk'!$I$12)</f>
        <v/>
      </c>
      <c r="AH15" s="550">
        <v>11</v>
      </c>
    </row>
    <row r="16" spans="1:36">
      <c r="A16" s="518" t="str">
        <f>IF(AND('[2]Overzicht inhuurdesk'!$I$1&gt;AH16,J16&lt;&gt;0),CONCATENATE(LEFT(A15,7),IF(RIGHT(A15,3)+1&lt;10,CONCATENATE("00",RIGHT(A15,3)+1),IF(RIGHT(A15,3)+1&lt;100,CONCATENATE("0",RIGHT(A15,3)+1),RIGHT(A15,3)+1))),"")</f>
        <v/>
      </c>
      <c r="B16" s="518" t="str">
        <f>IF(A16="","",VLOOKUP('[2]Overzicht inhuurdesk'!$C$9,'[2]Brongegevens tbv nokgenerator'!H$2:I$27,2,FALSE))</f>
        <v/>
      </c>
      <c r="C16" s="518" t="str">
        <f>IF(A16="","",VLOOKUP('[2]Overzicht inhuurdesk'!$C$10,'[2]Brongegevens tbv nokgenerator'!K$2:L$301,2,FALSE))</f>
        <v/>
      </c>
      <c r="D16" s="518" t="str">
        <f>IF($A16="","",VLOOKUP('[2]Overzicht inhuurdesk'!$C$7,'[2]Brongegevens tbv nokgenerator'!E$2:F$18,2,FALSE))</f>
        <v/>
      </c>
      <c r="E16" s="518" t="str">
        <f>IF($A16="","",VLOOKUP('[2]Overzicht inhuurdesk'!$C$6,'[2]Brongegevens tbv nokgenerator'!$C$2:$D$4,2,FALSE))</f>
        <v/>
      </c>
      <c r="F16" s="518" t="str">
        <f t="shared" si="2"/>
        <v/>
      </c>
      <c r="G16" s="552" t="str">
        <f t="shared" si="0"/>
        <v/>
      </c>
      <c r="H16" s="552" t="str">
        <f>IF($A16="","",TRUNC('[2]Overzicht inhuurdesk'!$T$8))</f>
        <v/>
      </c>
      <c r="I16" s="515" t="str">
        <f t="shared" si="3"/>
        <v/>
      </c>
      <c r="J16" s="551"/>
      <c r="K16" s="516"/>
      <c r="L16" s="516"/>
      <c r="M16" s="516"/>
      <c r="N16" s="516"/>
      <c r="O16" s="518" t="str">
        <f>IF($A16="","",'[2]Aanvraag inhuur'!$C$110)</f>
        <v/>
      </c>
      <c r="P16" s="518" t="str">
        <f>IF($A16="","",CONCATENATE('[2]Aanvraag inhuur'!$C$18," ",'[2]Aanvraag inhuur'!$C$22))</f>
        <v/>
      </c>
      <c r="Q16" s="551"/>
      <c r="R16" s="518" t="str">
        <f>IF($A16="","",VLOOKUP(CONCATENATE('[2]Overzicht inhuurdesk'!$C$9,'[2]Overzicht inhuurdesk'!$C$10,$Q16),[2]Leveranciersnamen!A:K,11,FALSE))</f>
        <v/>
      </c>
      <c r="S16" s="551"/>
      <c r="T16" s="553" t="str">
        <f t="shared" si="4"/>
        <v/>
      </c>
      <c r="U16" s="553" t="str">
        <f t="shared" si="5"/>
        <v/>
      </c>
      <c r="V16" s="553" t="str">
        <f t="shared" si="6"/>
        <v/>
      </c>
      <c r="W16" s="553" t="str">
        <f t="shared" si="7"/>
        <v/>
      </c>
      <c r="X16" s="552" t="str">
        <f>IF($A16="","",'[2]Overzicht inhuurdesk'!$T$12)</f>
        <v/>
      </c>
      <c r="Y16" s="516" t="str">
        <f t="shared" si="8"/>
        <v/>
      </c>
      <c r="Z16" s="518" t="str">
        <f>IF($A16="","",'[2]Aanvraag inhuur'!$G$93)</f>
        <v/>
      </c>
      <c r="AA16" s="518" t="str">
        <f>IF($A16="","",'[2]Aanvraag inhuur'!$C$95)</f>
        <v/>
      </c>
      <c r="AB16" s="518" t="str">
        <f>IF($A16="","",'[2]Aanvraag inhuur'!$C$97)</f>
        <v/>
      </c>
      <c r="AC16" s="518" t="str">
        <f>IF($A16="","",'[2]Aanvraag inhuur'!$C$98)</f>
        <v/>
      </c>
      <c r="AD16" s="517" t="s">
        <v>1267</v>
      </c>
      <c r="AE16" s="551"/>
      <c r="AF16" s="518" t="str">
        <f t="shared" si="1"/>
        <v/>
      </c>
      <c r="AG16" s="518" t="str">
        <f>IF($A16="","",'[2]Overzicht inhuurdesk'!$I$12)</f>
        <v/>
      </c>
      <c r="AH16" s="550">
        <v>12</v>
      </c>
    </row>
    <row r="17" spans="1:34">
      <c r="A17" s="518" t="str">
        <f>IF(AND('[2]Overzicht inhuurdesk'!$I$1&gt;AH17,J17&lt;&gt;0),CONCATENATE(LEFT(A16,7),IF(RIGHT(A16,3)+1&lt;10,CONCATENATE("00",RIGHT(A16,3)+1),IF(RIGHT(A16,3)+1&lt;100,CONCATENATE("0",RIGHT(A16,3)+1),RIGHT(A16,3)+1))),"")</f>
        <v/>
      </c>
      <c r="B17" s="518" t="str">
        <f>IF(A17="","",VLOOKUP('[2]Overzicht inhuurdesk'!$C$9,'[2]Brongegevens tbv nokgenerator'!H$2:I$27,2,FALSE))</f>
        <v/>
      </c>
      <c r="C17" s="518" t="str">
        <f>IF(A17="","",VLOOKUP('[2]Overzicht inhuurdesk'!$C$10,'[2]Brongegevens tbv nokgenerator'!K$2:L$301,2,FALSE))</f>
        <v/>
      </c>
      <c r="D17" s="518" t="str">
        <f>IF($A17="","",VLOOKUP('[2]Overzicht inhuurdesk'!$C$7,'[2]Brongegevens tbv nokgenerator'!E$2:F$18,2,FALSE))</f>
        <v/>
      </c>
      <c r="E17" s="518" t="str">
        <f>IF($A17="","",VLOOKUP('[2]Overzicht inhuurdesk'!$C$6,'[2]Brongegevens tbv nokgenerator'!$C$2:$D$4,2,FALSE))</f>
        <v/>
      </c>
      <c r="F17" s="518" t="str">
        <f t="shared" si="2"/>
        <v/>
      </c>
      <c r="G17" s="552" t="str">
        <f t="shared" si="0"/>
        <v/>
      </c>
      <c r="H17" s="552" t="str">
        <f>IF($A17="","",TRUNC('[2]Overzicht inhuurdesk'!$T$8))</f>
        <v/>
      </c>
      <c r="I17" s="515" t="str">
        <f t="shared" si="3"/>
        <v/>
      </c>
      <c r="J17" s="551"/>
      <c r="K17" s="516"/>
      <c r="L17" s="516"/>
      <c r="M17" s="516"/>
      <c r="N17" s="516"/>
      <c r="O17" s="518" t="str">
        <f>IF($A17="","",'[2]Aanvraag inhuur'!$C$110)</f>
        <v/>
      </c>
      <c r="P17" s="518" t="str">
        <f>IF($A17="","",CONCATENATE('[2]Aanvraag inhuur'!$C$18," ",'[2]Aanvraag inhuur'!$C$22))</f>
        <v/>
      </c>
      <c r="Q17" s="551"/>
      <c r="R17" s="518" t="str">
        <f>IF($A17="","",VLOOKUP(CONCATENATE('[2]Overzicht inhuurdesk'!$C$9,'[2]Overzicht inhuurdesk'!$C$10,$Q17),[2]Leveranciersnamen!A:K,11,FALSE))</f>
        <v/>
      </c>
      <c r="S17" s="551"/>
      <c r="T17" s="553" t="str">
        <f t="shared" si="4"/>
        <v/>
      </c>
      <c r="U17" s="553" t="str">
        <f t="shared" si="5"/>
        <v/>
      </c>
      <c r="V17" s="553" t="str">
        <f t="shared" si="6"/>
        <v/>
      </c>
      <c r="W17" s="553" t="str">
        <f t="shared" si="7"/>
        <v/>
      </c>
      <c r="X17" s="552" t="str">
        <f>IF($A17="","",'[2]Overzicht inhuurdesk'!$T$12)</f>
        <v/>
      </c>
      <c r="Y17" s="516" t="str">
        <f t="shared" si="8"/>
        <v/>
      </c>
      <c r="Z17" s="518" t="str">
        <f>IF($A17="","",'[2]Aanvraag inhuur'!$G$93)</f>
        <v/>
      </c>
      <c r="AA17" s="518" t="str">
        <f>IF($A17="","",'[2]Aanvraag inhuur'!$C$95)</f>
        <v/>
      </c>
      <c r="AB17" s="518" t="str">
        <f>IF($A17="","",'[2]Aanvraag inhuur'!$C$97)</f>
        <v/>
      </c>
      <c r="AC17" s="518" t="str">
        <f>IF($A17="","",'[2]Aanvraag inhuur'!$C$98)</f>
        <v/>
      </c>
      <c r="AD17" s="517" t="s">
        <v>1267</v>
      </c>
      <c r="AE17" s="551"/>
      <c r="AF17" s="518" t="str">
        <f t="shared" si="1"/>
        <v/>
      </c>
      <c r="AG17" s="518" t="str">
        <f>IF($A17="","",'[2]Overzicht inhuurdesk'!$I$12)</f>
        <v/>
      </c>
      <c r="AH17" s="550">
        <v>13</v>
      </c>
    </row>
    <row r="18" spans="1:34">
      <c r="A18" s="518" t="str">
        <f>IF(AND('[2]Overzicht inhuurdesk'!$I$1&gt;AH18,J18&lt;&gt;0),CONCATENATE(LEFT(A17,7),IF(RIGHT(A17,3)+1&lt;10,CONCATENATE("00",RIGHT(A17,3)+1),IF(RIGHT(A17,3)+1&lt;100,CONCATENATE("0",RIGHT(A17,3)+1),RIGHT(A17,3)+1))),"")</f>
        <v/>
      </c>
      <c r="B18" s="518" t="str">
        <f>IF(A18="","",VLOOKUP('[2]Overzicht inhuurdesk'!$C$9,'[2]Brongegevens tbv nokgenerator'!H$2:I$27,2,FALSE))</f>
        <v/>
      </c>
      <c r="C18" s="518" t="str">
        <f>IF(A18="","",VLOOKUP('[2]Overzicht inhuurdesk'!$C$10,'[2]Brongegevens tbv nokgenerator'!K$2:L$301,2,FALSE))</f>
        <v/>
      </c>
      <c r="D18" s="518" t="str">
        <f>IF($A18="","",VLOOKUP('[2]Overzicht inhuurdesk'!$C$7,'[2]Brongegevens tbv nokgenerator'!E$2:F$18,2,FALSE))</f>
        <v/>
      </c>
      <c r="E18" s="518" t="str">
        <f>IF($A18="","",VLOOKUP('[2]Overzicht inhuurdesk'!$C$6,'[2]Brongegevens tbv nokgenerator'!$C$2:$D$4,2,FALSE))</f>
        <v/>
      </c>
      <c r="F18" s="518" t="str">
        <f t="shared" si="2"/>
        <v/>
      </c>
      <c r="G18" s="552" t="str">
        <f t="shared" si="0"/>
        <v/>
      </c>
      <c r="H18" s="552" t="str">
        <f>IF($A18="","",TRUNC('[2]Overzicht inhuurdesk'!$T$8))</f>
        <v/>
      </c>
      <c r="I18" s="515" t="str">
        <f t="shared" si="3"/>
        <v/>
      </c>
      <c r="J18" s="551"/>
      <c r="K18" s="516"/>
      <c r="L18" s="516"/>
      <c r="M18" s="516"/>
      <c r="N18" s="516"/>
      <c r="O18" s="518" t="str">
        <f>IF($A18="","",'[2]Aanvraag inhuur'!$C$110)</f>
        <v/>
      </c>
      <c r="P18" s="518" t="str">
        <f>IF($A18="","",CONCATENATE('[2]Aanvraag inhuur'!$C$18," ",'[2]Aanvraag inhuur'!$C$22))</f>
        <v/>
      </c>
      <c r="Q18" s="551"/>
      <c r="R18" s="518" t="str">
        <f>IF($A18="","",VLOOKUP(CONCATENATE('[2]Overzicht inhuurdesk'!$C$9,'[2]Overzicht inhuurdesk'!$C$10,$Q18),[2]Leveranciersnamen!A:K,11,FALSE))</f>
        <v/>
      </c>
      <c r="S18" s="551"/>
      <c r="T18" s="553" t="str">
        <f t="shared" si="4"/>
        <v/>
      </c>
      <c r="U18" s="553" t="str">
        <f t="shared" si="5"/>
        <v/>
      </c>
      <c r="V18" s="553" t="str">
        <f t="shared" si="6"/>
        <v/>
      </c>
      <c r="W18" s="553" t="str">
        <f t="shared" si="7"/>
        <v/>
      </c>
      <c r="X18" s="552" t="str">
        <f>IF($A18="","",'[2]Overzicht inhuurdesk'!$T$12)</f>
        <v/>
      </c>
      <c r="Y18" s="516" t="str">
        <f t="shared" si="8"/>
        <v/>
      </c>
      <c r="Z18" s="518" t="str">
        <f>IF($A18="","",'[2]Aanvraag inhuur'!$G$93)</f>
        <v/>
      </c>
      <c r="AA18" s="518" t="str">
        <f>IF($A18="","",'[2]Aanvraag inhuur'!$C$95)</f>
        <v/>
      </c>
      <c r="AB18" s="518" t="str">
        <f>IF($A18="","",'[2]Aanvraag inhuur'!$C$97)</f>
        <v/>
      </c>
      <c r="AC18" s="518" t="str">
        <f>IF($A18="","",'[2]Aanvraag inhuur'!$C$98)</f>
        <v/>
      </c>
      <c r="AD18" s="517" t="s">
        <v>1267</v>
      </c>
      <c r="AE18" s="551"/>
      <c r="AF18" s="518" t="str">
        <f t="shared" si="1"/>
        <v/>
      </c>
      <c r="AG18" s="518" t="str">
        <f>IF($A18="","",'[2]Overzicht inhuurdesk'!$I$12)</f>
        <v/>
      </c>
      <c r="AH18" s="550">
        <v>14</v>
      </c>
    </row>
    <row r="19" spans="1:34">
      <c r="A19" s="518" t="str">
        <f>IF(AND('[2]Overzicht inhuurdesk'!$I$1&gt;AH19,J19&lt;&gt;0),CONCATENATE(LEFT(A18,7),IF(RIGHT(A18,3)+1&lt;10,CONCATENATE("00",RIGHT(A18,3)+1),IF(RIGHT(A18,3)+1&lt;100,CONCATENATE("0",RIGHT(A18,3)+1),RIGHT(A18,3)+1))),"")</f>
        <v/>
      </c>
      <c r="B19" s="518" t="str">
        <f>IF(A19="","",VLOOKUP('[2]Overzicht inhuurdesk'!$C$9,'[2]Brongegevens tbv nokgenerator'!H$2:I$27,2,FALSE))</f>
        <v/>
      </c>
      <c r="C19" s="518" t="str">
        <f>IF(A19="","",VLOOKUP('[2]Overzicht inhuurdesk'!$C$10,'[2]Brongegevens tbv nokgenerator'!K$2:L$301,2,FALSE))</f>
        <v/>
      </c>
      <c r="D19" s="518" t="str">
        <f>IF($A19="","",VLOOKUP('[2]Overzicht inhuurdesk'!$C$7,'[2]Brongegevens tbv nokgenerator'!E$2:F$18,2,FALSE))</f>
        <v/>
      </c>
      <c r="E19" s="518" t="str">
        <f>IF($A19="","",VLOOKUP('[2]Overzicht inhuurdesk'!$C$6,'[2]Brongegevens tbv nokgenerator'!$C$2:$D$4,2,FALSE))</f>
        <v/>
      </c>
      <c r="F19" s="518" t="str">
        <f t="shared" si="2"/>
        <v/>
      </c>
      <c r="G19" s="552" t="str">
        <f t="shared" si="0"/>
        <v/>
      </c>
      <c r="H19" s="552" t="str">
        <f>IF($A19="","",TRUNC('[2]Overzicht inhuurdesk'!$T$8))</f>
        <v/>
      </c>
      <c r="I19" s="515" t="str">
        <f t="shared" si="3"/>
        <v/>
      </c>
      <c r="J19" s="551"/>
      <c r="K19" s="516"/>
      <c r="L19" s="516"/>
      <c r="M19" s="516"/>
      <c r="N19" s="516"/>
      <c r="O19" s="518" t="str">
        <f>IF($A19="","",'[2]Aanvraag inhuur'!$C$110)</f>
        <v/>
      </c>
      <c r="P19" s="518" t="str">
        <f>IF($A19="","",CONCATENATE('[2]Aanvraag inhuur'!$C$18," ",'[2]Aanvraag inhuur'!$C$22))</f>
        <v/>
      </c>
      <c r="Q19" s="551"/>
      <c r="R19" s="518" t="str">
        <f>IF($A19="","",VLOOKUP(CONCATENATE('[2]Overzicht inhuurdesk'!$C$9,'[2]Overzicht inhuurdesk'!$C$10,$Q19),[2]Leveranciersnamen!A:K,11,FALSE))</f>
        <v/>
      </c>
      <c r="S19" s="551"/>
      <c r="T19" s="553" t="str">
        <f t="shared" si="4"/>
        <v/>
      </c>
      <c r="U19" s="553" t="str">
        <f t="shared" si="5"/>
        <v/>
      </c>
      <c r="V19" s="553" t="str">
        <f t="shared" si="6"/>
        <v/>
      </c>
      <c r="W19" s="553" t="str">
        <f t="shared" si="7"/>
        <v/>
      </c>
      <c r="X19" s="552" t="str">
        <f>IF($A19="","",'[2]Overzicht inhuurdesk'!$T$12)</f>
        <v/>
      </c>
      <c r="Y19" s="516" t="str">
        <f t="shared" si="8"/>
        <v/>
      </c>
      <c r="Z19" s="518" t="str">
        <f>IF($A19="","",'[2]Aanvraag inhuur'!$G$93)</f>
        <v/>
      </c>
      <c r="AA19" s="518" t="str">
        <f>IF($A19="","",'[2]Aanvraag inhuur'!$C$95)</f>
        <v/>
      </c>
      <c r="AB19" s="518" t="str">
        <f>IF($A19="","",'[2]Aanvraag inhuur'!$C$97)</f>
        <v/>
      </c>
      <c r="AC19" s="518" t="str">
        <f>IF($A19="","",'[2]Aanvraag inhuur'!$C$98)</f>
        <v/>
      </c>
      <c r="AD19" s="517" t="s">
        <v>1267</v>
      </c>
      <c r="AE19" s="551"/>
      <c r="AF19" s="518" t="str">
        <f t="shared" si="1"/>
        <v/>
      </c>
      <c r="AG19" s="518" t="str">
        <f>IF($A19="","",'[2]Overzicht inhuurdesk'!$I$12)</f>
        <v/>
      </c>
      <c r="AH19" s="550">
        <v>15</v>
      </c>
    </row>
    <row r="20" spans="1:34">
      <c r="A20" s="518" t="str">
        <f>IF(AND('[2]Overzicht inhuurdesk'!$I$1&gt;AH20,J20&lt;&gt;0),CONCATENATE(LEFT(A19,7),IF(RIGHT(A19,3)+1&lt;10,CONCATENATE("00",RIGHT(A19,3)+1),IF(RIGHT(A19,3)+1&lt;100,CONCATENATE("0",RIGHT(A19,3)+1),RIGHT(A19,3)+1))),"")</f>
        <v/>
      </c>
      <c r="B20" s="518" t="str">
        <f>IF(A20="","",VLOOKUP('[2]Overzicht inhuurdesk'!$C$9,'[2]Brongegevens tbv nokgenerator'!H$2:I$27,2,FALSE))</f>
        <v/>
      </c>
      <c r="C20" s="518" t="str">
        <f>IF(A20="","",VLOOKUP('[2]Overzicht inhuurdesk'!$C$10,'[2]Brongegevens tbv nokgenerator'!K$2:L$301,2,FALSE))</f>
        <v/>
      </c>
      <c r="D20" s="518" t="str">
        <f>IF($A20="","",VLOOKUP('[2]Overzicht inhuurdesk'!$C$7,'[2]Brongegevens tbv nokgenerator'!E$2:F$18,2,FALSE))</f>
        <v/>
      </c>
      <c r="E20" s="518" t="str">
        <f>IF($A20="","",VLOOKUP('[2]Overzicht inhuurdesk'!$C$6,'[2]Brongegevens tbv nokgenerator'!$C$2:$D$4,2,FALSE))</f>
        <v/>
      </c>
      <c r="F20" s="518" t="str">
        <f t="shared" si="2"/>
        <v/>
      </c>
      <c r="G20" s="552" t="str">
        <f t="shared" si="0"/>
        <v/>
      </c>
      <c r="H20" s="552" t="str">
        <f>IF($A20="","",TRUNC('[2]Overzicht inhuurdesk'!$T$8))</f>
        <v/>
      </c>
      <c r="I20" s="515" t="str">
        <f t="shared" si="3"/>
        <v/>
      </c>
      <c r="J20" s="551"/>
      <c r="K20" s="516"/>
      <c r="L20" s="516"/>
      <c r="M20" s="516"/>
      <c r="N20" s="516"/>
      <c r="O20" s="518" t="str">
        <f>IF($A20="","",'[2]Aanvraag inhuur'!$C$110)</f>
        <v/>
      </c>
      <c r="P20" s="518" t="str">
        <f>IF($A20="","",CONCATENATE('[2]Aanvraag inhuur'!$C$18," ",'[2]Aanvraag inhuur'!$C$22))</f>
        <v/>
      </c>
      <c r="Q20" s="551"/>
      <c r="R20" s="518" t="str">
        <f>IF($A20="","",VLOOKUP(CONCATENATE('[2]Overzicht inhuurdesk'!$C$9,'[2]Overzicht inhuurdesk'!$C$10,$Q20),[2]Leveranciersnamen!A:K,11,FALSE))</f>
        <v/>
      </c>
      <c r="S20" s="551"/>
      <c r="T20" s="553" t="str">
        <f t="shared" si="4"/>
        <v/>
      </c>
      <c r="U20" s="553" t="str">
        <f t="shared" si="5"/>
        <v/>
      </c>
      <c r="V20" s="553" t="str">
        <f t="shared" si="6"/>
        <v/>
      </c>
      <c r="W20" s="553" t="str">
        <f t="shared" si="7"/>
        <v/>
      </c>
      <c r="X20" s="552" t="str">
        <f>IF($A20="","",'[2]Overzicht inhuurdesk'!$T$12)</f>
        <v/>
      </c>
      <c r="Y20" s="516" t="str">
        <f t="shared" si="8"/>
        <v/>
      </c>
      <c r="Z20" s="518" t="str">
        <f>IF($A20="","",'[2]Aanvraag inhuur'!$G$93)</f>
        <v/>
      </c>
      <c r="AA20" s="518" t="str">
        <f>IF($A20="","",'[2]Aanvraag inhuur'!$C$95)</f>
        <v/>
      </c>
      <c r="AB20" s="518" t="str">
        <f>IF($A20="","",'[2]Aanvraag inhuur'!$C$97)</f>
        <v/>
      </c>
      <c r="AC20" s="518" t="str">
        <f>IF($A20="","",'[2]Aanvraag inhuur'!$C$98)</f>
        <v/>
      </c>
      <c r="AD20" s="517" t="s">
        <v>1267</v>
      </c>
      <c r="AE20" s="551"/>
      <c r="AF20" s="518" t="str">
        <f t="shared" si="1"/>
        <v/>
      </c>
      <c r="AG20" s="518" t="str">
        <f>IF($A20="","",'[2]Overzicht inhuurdesk'!$I$12)</f>
        <v/>
      </c>
      <c r="AH20" s="550">
        <v>16</v>
      </c>
    </row>
    <row r="21" spans="1:34">
      <c r="A21" s="518" t="str">
        <f>IF(AND('[2]Overzicht inhuurdesk'!$I$1&gt;AH21,J21&lt;&gt;0),CONCATENATE(LEFT(A20,7),IF(RIGHT(A20,3)+1&lt;10,CONCATENATE("00",RIGHT(A20,3)+1),IF(RIGHT(A20,3)+1&lt;100,CONCATENATE("0",RIGHT(A20,3)+1),RIGHT(A20,3)+1))),"")</f>
        <v/>
      </c>
      <c r="B21" s="518" t="str">
        <f>IF(A21="","",VLOOKUP('[2]Overzicht inhuurdesk'!$C$9,'[2]Brongegevens tbv nokgenerator'!H$2:I$27,2,FALSE))</f>
        <v/>
      </c>
      <c r="C21" s="518" t="str">
        <f>IF(A21="","",VLOOKUP('[2]Overzicht inhuurdesk'!$C$10,'[2]Brongegevens tbv nokgenerator'!K$2:L$301,2,FALSE))</f>
        <v/>
      </c>
      <c r="D21" s="518" t="str">
        <f>IF($A21="","",VLOOKUP('[2]Overzicht inhuurdesk'!$C$7,'[2]Brongegevens tbv nokgenerator'!E$2:F$18,2,FALSE))</f>
        <v/>
      </c>
      <c r="E21" s="518" t="str">
        <f>IF($A21="","",VLOOKUP('[2]Overzicht inhuurdesk'!$C$6,'[2]Brongegevens tbv nokgenerator'!$C$2:$D$4,2,FALSE))</f>
        <v/>
      </c>
      <c r="F21" s="518" t="str">
        <f t="shared" si="2"/>
        <v/>
      </c>
      <c r="G21" s="552" t="str">
        <f t="shared" si="0"/>
        <v/>
      </c>
      <c r="H21" s="552" t="str">
        <f>IF($A21="","",TRUNC('[2]Overzicht inhuurdesk'!$T$8))</f>
        <v/>
      </c>
      <c r="I21" s="515" t="str">
        <f t="shared" si="3"/>
        <v/>
      </c>
      <c r="J21" s="551"/>
      <c r="K21" s="516"/>
      <c r="L21" s="516"/>
      <c r="M21" s="516"/>
      <c r="N21" s="516"/>
      <c r="O21" s="518" t="str">
        <f>IF($A21="","",'[2]Aanvraag inhuur'!$C$110)</f>
        <v/>
      </c>
      <c r="P21" s="518" t="str">
        <f>IF($A21="","",CONCATENATE('[2]Aanvraag inhuur'!$C$18," ",'[2]Aanvraag inhuur'!$C$22))</f>
        <v/>
      </c>
      <c r="Q21" s="551"/>
      <c r="R21" s="518" t="str">
        <f>IF($A21="","",VLOOKUP(CONCATENATE('[2]Overzicht inhuurdesk'!$C$9,'[2]Overzicht inhuurdesk'!$C$10,$Q21),[2]Leveranciersnamen!A:K,11,FALSE))</f>
        <v/>
      </c>
      <c r="S21" s="551"/>
      <c r="T21" s="553" t="str">
        <f t="shared" si="4"/>
        <v/>
      </c>
      <c r="U21" s="553" t="str">
        <f t="shared" si="5"/>
        <v/>
      </c>
      <c r="V21" s="553" t="str">
        <f t="shared" si="6"/>
        <v/>
      </c>
      <c r="W21" s="553" t="str">
        <f t="shared" si="7"/>
        <v/>
      </c>
      <c r="X21" s="552" t="str">
        <f>IF($A21="","",'[2]Overzicht inhuurdesk'!$T$12)</f>
        <v/>
      </c>
      <c r="Y21" s="516" t="str">
        <f t="shared" si="8"/>
        <v/>
      </c>
      <c r="Z21" s="518" t="str">
        <f>IF($A21="","",'[2]Aanvraag inhuur'!$G$93)</f>
        <v/>
      </c>
      <c r="AA21" s="518" t="str">
        <f>IF($A21="","",'[2]Aanvraag inhuur'!$C$95)</f>
        <v/>
      </c>
      <c r="AB21" s="518" t="str">
        <f>IF($A21="","",'[2]Aanvraag inhuur'!$C$97)</f>
        <v/>
      </c>
      <c r="AC21" s="518" t="str">
        <f>IF($A21="","",'[2]Aanvraag inhuur'!$C$98)</f>
        <v/>
      </c>
      <c r="AD21" s="517" t="s">
        <v>1267</v>
      </c>
      <c r="AE21" s="551"/>
      <c r="AF21" s="518" t="str">
        <f t="shared" si="1"/>
        <v/>
      </c>
      <c r="AG21" s="518" t="str">
        <f>IF($A21="","",'[2]Overzicht inhuurdesk'!$I$12)</f>
        <v/>
      </c>
      <c r="AH21" s="550">
        <v>17</v>
      </c>
    </row>
    <row r="22" spans="1:34">
      <c r="A22" s="518" t="str">
        <f>IF(AND('[2]Overzicht inhuurdesk'!$I$1&gt;AH22,J22&lt;&gt;0),CONCATENATE(LEFT(A21,7),IF(RIGHT(A21,3)+1&lt;10,CONCATENATE("00",RIGHT(A21,3)+1),IF(RIGHT(A21,3)+1&lt;100,CONCATENATE("0",RIGHT(A21,3)+1),RIGHT(A21,3)+1))),"")</f>
        <v/>
      </c>
      <c r="B22" s="518" t="str">
        <f>IF(A22="","",VLOOKUP('[2]Overzicht inhuurdesk'!$C$9,'[2]Brongegevens tbv nokgenerator'!H$2:I$27,2,FALSE))</f>
        <v/>
      </c>
      <c r="C22" s="518" t="str">
        <f>IF(A22="","",VLOOKUP('[2]Overzicht inhuurdesk'!$C$10,'[2]Brongegevens tbv nokgenerator'!K$2:L$301,2,FALSE))</f>
        <v/>
      </c>
      <c r="D22" s="518" t="str">
        <f>IF($A22="","",VLOOKUP('[2]Overzicht inhuurdesk'!$C$7,'[2]Brongegevens tbv nokgenerator'!E$2:F$18,2,FALSE))</f>
        <v/>
      </c>
      <c r="E22" s="518" t="str">
        <f>IF($A22="","",VLOOKUP('[2]Overzicht inhuurdesk'!$C$6,'[2]Brongegevens tbv nokgenerator'!$C$2:$D$4,2,FALSE))</f>
        <v/>
      </c>
      <c r="F22" s="518" t="str">
        <f t="shared" si="2"/>
        <v/>
      </c>
      <c r="G22" s="552" t="str">
        <f t="shared" si="0"/>
        <v/>
      </c>
      <c r="H22" s="552" t="str">
        <f>IF($A22="","",TRUNC('[2]Overzicht inhuurdesk'!$T$8))</f>
        <v/>
      </c>
      <c r="I22" s="515" t="str">
        <f t="shared" si="3"/>
        <v/>
      </c>
      <c r="J22" s="551"/>
      <c r="K22" s="516"/>
      <c r="L22" s="516"/>
      <c r="M22" s="516"/>
      <c r="N22" s="516"/>
      <c r="O22" s="518" t="str">
        <f>IF($A22="","",'[2]Aanvraag inhuur'!$C$110)</f>
        <v/>
      </c>
      <c r="P22" s="518" t="str">
        <f>IF($A22="","",CONCATENATE('[2]Aanvraag inhuur'!$C$18," ",'[2]Aanvraag inhuur'!$C$22))</f>
        <v/>
      </c>
      <c r="Q22" s="551"/>
      <c r="R22" s="518" t="str">
        <f>IF($A22="","",VLOOKUP(CONCATENATE('[2]Overzicht inhuurdesk'!$C$9,'[2]Overzicht inhuurdesk'!$C$10,$Q22),[2]Leveranciersnamen!A:K,11,FALSE))</f>
        <v/>
      </c>
      <c r="S22" s="551"/>
      <c r="T22" s="553" t="str">
        <f t="shared" si="4"/>
        <v/>
      </c>
      <c r="U22" s="553" t="str">
        <f t="shared" si="5"/>
        <v/>
      </c>
      <c r="V22" s="553" t="str">
        <f t="shared" si="6"/>
        <v/>
      </c>
      <c r="W22" s="553" t="str">
        <f t="shared" si="7"/>
        <v/>
      </c>
      <c r="X22" s="552" t="str">
        <f>IF($A22="","",'[2]Overzicht inhuurdesk'!$T$12)</f>
        <v/>
      </c>
      <c r="Y22" s="516" t="str">
        <f t="shared" si="8"/>
        <v/>
      </c>
      <c r="Z22" s="518" t="str">
        <f>IF($A22="","",'[2]Aanvraag inhuur'!$G$93)</f>
        <v/>
      </c>
      <c r="AA22" s="518" t="str">
        <f>IF($A22="","",'[2]Aanvraag inhuur'!$C$95)</f>
        <v/>
      </c>
      <c r="AB22" s="518" t="str">
        <f>IF($A22="","",'[2]Aanvraag inhuur'!$C$97)</f>
        <v/>
      </c>
      <c r="AC22" s="518" t="str">
        <f>IF($A22="","",'[2]Aanvraag inhuur'!$C$98)</f>
        <v/>
      </c>
      <c r="AD22" s="517" t="s">
        <v>1267</v>
      </c>
      <c r="AE22" s="551"/>
      <c r="AF22" s="518" t="str">
        <f t="shared" si="1"/>
        <v/>
      </c>
      <c r="AG22" s="518" t="str">
        <f>IF($A22="","",'[2]Overzicht inhuurdesk'!$I$12)</f>
        <v/>
      </c>
      <c r="AH22" s="550">
        <v>18</v>
      </c>
    </row>
    <row r="23" spans="1:34">
      <c r="A23" s="518" t="str">
        <f>IF(AND('[2]Overzicht inhuurdesk'!$I$1&gt;AH23,J23&lt;&gt;0),CONCATENATE(LEFT(A22,7),IF(RIGHT(A22,3)+1&lt;10,CONCATENATE("00",RIGHT(A22,3)+1),IF(RIGHT(A22,3)+1&lt;100,CONCATENATE("0",RIGHT(A22,3)+1),RIGHT(A22,3)+1))),"")</f>
        <v/>
      </c>
      <c r="B23" s="518" t="str">
        <f>IF(A23="","",VLOOKUP('[2]Overzicht inhuurdesk'!$C$9,'[2]Brongegevens tbv nokgenerator'!H$2:I$27,2,FALSE))</f>
        <v/>
      </c>
      <c r="C23" s="518" t="str">
        <f>IF(A23="","",VLOOKUP('[2]Overzicht inhuurdesk'!$C$10,'[2]Brongegevens tbv nokgenerator'!K$2:L$301,2,FALSE))</f>
        <v/>
      </c>
      <c r="D23" s="518" t="str">
        <f>IF($A23="","",VLOOKUP('[2]Overzicht inhuurdesk'!$C$7,'[2]Brongegevens tbv nokgenerator'!E$2:F$18,2,FALSE))</f>
        <v/>
      </c>
      <c r="E23" s="518" t="str">
        <f>IF($A23="","",VLOOKUP('[2]Overzicht inhuurdesk'!$C$6,'[2]Brongegevens tbv nokgenerator'!$C$2:$D$4,2,FALSE))</f>
        <v/>
      </c>
      <c r="F23" s="518" t="str">
        <f t="shared" si="2"/>
        <v/>
      </c>
      <c r="G23" s="552" t="str">
        <f t="shared" si="0"/>
        <v/>
      </c>
      <c r="H23" s="552" t="str">
        <f>IF($A23="","",TRUNC('[2]Overzicht inhuurdesk'!$T$8))</f>
        <v/>
      </c>
      <c r="I23" s="515" t="str">
        <f t="shared" si="3"/>
        <v/>
      </c>
      <c r="J23" s="551"/>
      <c r="K23" s="516"/>
      <c r="L23" s="516"/>
      <c r="M23" s="516"/>
      <c r="N23" s="516"/>
      <c r="O23" s="518" t="str">
        <f>IF($A23="","",'[2]Aanvraag inhuur'!$C$110)</f>
        <v/>
      </c>
      <c r="P23" s="518" t="str">
        <f>IF($A23="","",CONCATENATE('[2]Aanvraag inhuur'!$C$18," ",'[2]Aanvraag inhuur'!$C$22))</f>
        <v/>
      </c>
      <c r="Q23" s="551"/>
      <c r="R23" s="518" t="str">
        <f>IF($A23="","",VLOOKUP(CONCATENATE('[2]Overzicht inhuurdesk'!$C$9,'[2]Overzicht inhuurdesk'!$C$10,$Q23),[2]Leveranciersnamen!A:K,11,FALSE))</f>
        <v/>
      </c>
      <c r="S23" s="551"/>
      <c r="T23" s="553" t="str">
        <f t="shared" si="4"/>
        <v/>
      </c>
      <c r="U23" s="553" t="str">
        <f t="shared" si="5"/>
        <v/>
      </c>
      <c r="V23" s="553" t="str">
        <f t="shared" si="6"/>
        <v/>
      </c>
      <c r="W23" s="553" t="str">
        <f t="shared" si="7"/>
        <v/>
      </c>
      <c r="X23" s="552" t="str">
        <f>IF($A23="","",'[2]Overzicht inhuurdesk'!$T$12)</f>
        <v/>
      </c>
      <c r="Y23" s="516" t="str">
        <f t="shared" si="8"/>
        <v/>
      </c>
      <c r="Z23" s="518" t="str">
        <f>IF($A23="","",'[2]Aanvraag inhuur'!$G$93)</f>
        <v/>
      </c>
      <c r="AA23" s="518" t="str">
        <f>IF($A23="","",'[2]Aanvraag inhuur'!$C$95)</f>
        <v/>
      </c>
      <c r="AB23" s="518" t="str">
        <f>IF($A23="","",'[2]Aanvraag inhuur'!$C$97)</f>
        <v/>
      </c>
      <c r="AC23" s="518" t="str">
        <f>IF($A23="","",'[2]Aanvraag inhuur'!$C$98)</f>
        <v/>
      </c>
      <c r="AD23" s="517" t="s">
        <v>1267</v>
      </c>
      <c r="AE23" s="551"/>
      <c r="AF23" s="518" t="str">
        <f t="shared" si="1"/>
        <v/>
      </c>
      <c r="AG23" s="518" t="str">
        <f>IF($A23="","",'[2]Overzicht inhuurdesk'!$I$12)</f>
        <v/>
      </c>
      <c r="AH23" s="550">
        <v>19</v>
      </c>
    </row>
    <row r="24" spans="1:34">
      <c r="A24" s="518" t="str">
        <f>IF(AND('[2]Overzicht inhuurdesk'!$I$1&gt;AH24,J24&lt;&gt;0),CONCATENATE(LEFT(A23,7),IF(RIGHT(A23,3)+1&lt;10,CONCATENATE("00",RIGHT(A23,3)+1),IF(RIGHT(A23,3)+1&lt;100,CONCATENATE("0",RIGHT(A23,3)+1),RIGHT(A23,3)+1))),"")</f>
        <v/>
      </c>
      <c r="B24" s="518" t="str">
        <f>IF(A24="","",VLOOKUP('[2]Overzicht inhuurdesk'!$C$9,'[2]Brongegevens tbv nokgenerator'!H$2:I$27,2,FALSE))</f>
        <v/>
      </c>
      <c r="C24" s="518" t="str">
        <f>IF(A24="","",VLOOKUP('[2]Overzicht inhuurdesk'!$C$10,'[2]Brongegevens tbv nokgenerator'!K$2:L$301,2,FALSE))</f>
        <v/>
      </c>
      <c r="D24" s="518" t="str">
        <f>IF($A24="","",VLOOKUP('[2]Overzicht inhuurdesk'!$C$7,'[2]Brongegevens tbv nokgenerator'!E$2:F$18,2,FALSE))</f>
        <v/>
      </c>
      <c r="E24" s="518" t="str">
        <f>IF($A24="","",VLOOKUP('[2]Overzicht inhuurdesk'!$C$6,'[2]Brongegevens tbv nokgenerator'!$C$2:$D$4,2,FALSE))</f>
        <v/>
      </c>
      <c r="F24" s="518" t="str">
        <f t="shared" si="2"/>
        <v/>
      </c>
      <c r="G24" s="552" t="str">
        <f t="shared" si="0"/>
        <v/>
      </c>
      <c r="H24" s="552" t="str">
        <f>IF($A24="","",TRUNC('[2]Overzicht inhuurdesk'!$T$8))</f>
        <v/>
      </c>
      <c r="I24" s="515" t="str">
        <f t="shared" si="3"/>
        <v/>
      </c>
      <c r="J24" s="551"/>
      <c r="K24" s="516"/>
      <c r="L24" s="516"/>
      <c r="M24" s="516"/>
      <c r="N24" s="516"/>
      <c r="O24" s="518" t="str">
        <f>IF($A24="","",'[2]Aanvraag inhuur'!$C$110)</f>
        <v/>
      </c>
      <c r="P24" s="518" t="str">
        <f>IF($A24="","",CONCATENATE('[2]Aanvraag inhuur'!$C$18," ",'[2]Aanvraag inhuur'!$C$22))</f>
        <v/>
      </c>
      <c r="Q24" s="551"/>
      <c r="R24" s="518" t="str">
        <f>IF($A24="","",VLOOKUP(CONCATENATE('[2]Overzicht inhuurdesk'!$C$9,'[2]Overzicht inhuurdesk'!$C$10,$Q24),[2]Leveranciersnamen!A:K,11,FALSE))</f>
        <v/>
      </c>
      <c r="S24" s="551"/>
      <c r="T24" s="553" t="str">
        <f t="shared" si="4"/>
        <v/>
      </c>
      <c r="U24" s="553" t="str">
        <f t="shared" si="5"/>
        <v/>
      </c>
      <c r="V24" s="553" t="str">
        <f t="shared" si="6"/>
        <v/>
      </c>
      <c r="W24" s="553" t="str">
        <f t="shared" si="7"/>
        <v/>
      </c>
      <c r="X24" s="552" t="str">
        <f>IF($A24="","",'[2]Overzicht inhuurdesk'!$T$12)</f>
        <v/>
      </c>
      <c r="Y24" s="516" t="str">
        <f t="shared" si="8"/>
        <v/>
      </c>
      <c r="Z24" s="518" t="str">
        <f>IF($A24="","",'[2]Aanvraag inhuur'!$G$93)</f>
        <v/>
      </c>
      <c r="AA24" s="518" t="str">
        <f>IF($A24="","",'[2]Aanvraag inhuur'!$C$95)</f>
        <v/>
      </c>
      <c r="AB24" s="518" t="str">
        <f>IF($A24="","",'[2]Aanvraag inhuur'!$C$97)</f>
        <v/>
      </c>
      <c r="AC24" s="518" t="str">
        <f>IF($A24="","",'[2]Aanvraag inhuur'!$C$98)</f>
        <v/>
      </c>
      <c r="AD24" s="517" t="s">
        <v>1267</v>
      </c>
      <c r="AE24" s="551"/>
      <c r="AF24" s="518" t="str">
        <f t="shared" si="1"/>
        <v/>
      </c>
      <c r="AG24" s="518" t="str">
        <f>IF($A24="","",'[2]Overzicht inhuurdesk'!$I$12)</f>
        <v/>
      </c>
      <c r="AH24" s="550">
        <v>20</v>
      </c>
    </row>
    <row r="25" spans="1:34">
      <c r="A25" s="518" t="str">
        <f>IF(AND('[2]Overzicht inhuurdesk'!$I$1&gt;AH25,J25&lt;&gt;0),CONCATENATE(LEFT(A24,7),IF(RIGHT(A24,3)+1&lt;10,CONCATENATE("00",RIGHT(A24,3)+1),IF(RIGHT(A24,3)+1&lt;100,CONCATENATE("0",RIGHT(A24,3)+1),RIGHT(A24,3)+1))),"")</f>
        <v/>
      </c>
      <c r="B25" s="518" t="str">
        <f>IF(A25="","",VLOOKUP('[2]Overzicht inhuurdesk'!$C$9,'[2]Brongegevens tbv nokgenerator'!H$2:I$27,2,FALSE))</f>
        <v/>
      </c>
      <c r="C25" s="518" t="str">
        <f>IF(A25="","",VLOOKUP('[2]Overzicht inhuurdesk'!$C$10,'[2]Brongegevens tbv nokgenerator'!K$2:L$301,2,FALSE))</f>
        <v/>
      </c>
      <c r="D25" s="518" t="str">
        <f>IF($A25="","",VLOOKUP('[2]Overzicht inhuurdesk'!$C$7,'[2]Brongegevens tbv nokgenerator'!E$2:F$18,2,FALSE))</f>
        <v/>
      </c>
      <c r="E25" s="518" t="str">
        <f>IF($A25="","",VLOOKUP('[2]Overzicht inhuurdesk'!$C$6,'[2]Brongegevens tbv nokgenerator'!$C$2:$D$4,2,FALSE))</f>
        <v/>
      </c>
      <c r="F25" s="518" t="str">
        <f t="shared" si="2"/>
        <v/>
      </c>
      <c r="G25" s="552" t="str">
        <f t="shared" si="0"/>
        <v/>
      </c>
      <c r="H25" s="552" t="str">
        <f>IF($A25="","",TRUNC('[2]Overzicht inhuurdesk'!$T$8))</f>
        <v/>
      </c>
      <c r="I25" s="515" t="str">
        <f t="shared" si="3"/>
        <v/>
      </c>
      <c r="J25" s="551"/>
      <c r="K25" s="516"/>
      <c r="L25" s="516"/>
      <c r="M25" s="516"/>
      <c r="N25" s="516"/>
      <c r="O25" s="518" t="str">
        <f>IF($A25="","",'[2]Aanvraag inhuur'!$C$110)</f>
        <v/>
      </c>
      <c r="P25" s="518" t="str">
        <f>IF($A25="","",CONCATENATE('[2]Aanvraag inhuur'!$C$18," ",'[2]Aanvraag inhuur'!$C$22))</f>
        <v/>
      </c>
      <c r="Q25" s="551"/>
      <c r="R25" s="518" t="str">
        <f>IF($A25="","",VLOOKUP(CONCATENATE('[2]Overzicht inhuurdesk'!$C$9,'[2]Overzicht inhuurdesk'!$C$10,$Q25),[2]Leveranciersnamen!A:K,11,FALSE))</f>
        <v/>
      </c>
      <c r="S25" s="551"/>
      <c r="T25" s="553" t="str">
        <f t="shared" si="4"/>
        <v/>
      </c>
      <c r="U25" s="553" t="str">
        <f t="shared" si="5"/>
        <v/>
      </c>
      <c r="V25" s="553" t="str">
        <f t="shared" si="6"/>
        <v/>
      </c>
      <c r="W25" s="553" t="str">
        <f t="shared" si="7"/>
        <v/>
      </c>
      <c r="X25" s="552" t="str">
        <f>IF($A25="","",'[2]Overzicht inhuurdesk'!$T$12)</f>
        <v/>
      </c>
      <c r="Y25" s="516" t="str">
        <f t="shared" si="8"/>
        <v/>
      </c>
      <c r="Z25" s="518" t="str">
        <f>IF($A25="","",'[2]Aanvraag inhuur'!$G$93)</f>
        <v/>
      </c>
      <c r="AA25" s="518" t="str">
        <f>IF($A25="","",'[2]Aanvraag inhuur'!$C$95)</f>
        <v/>
      </c>
      <c r="AB25" s="518" t="str">
        <f>IF($A25="","",'[2]Aanvraag inhuur'!$C$97)</f>
        <v/>
      </c>
      <c r="AC25" s="518" t="str">
        <f>IF($A25="","",'[2]Aanvraag inhuur'!$C$98)</f>
        <v/>
      </c>
      <c r="AD25" s="517" t="s">
        <v>1267</v>
      </c>
      <c r="AE25" s="551"/>
      <c r="AF25" s="518" t="str">
        <f t="shared" si="1"/>
        <v/>
      </c>
      <c r="AG25" s="518" t="str">
        <f>IF($A25="","",'[2]Overzicht inhuurdesk'!$I$12)</f>
        <v/>
      </c>
      <c r="AH25" s="550">
        <v>21</v>
      </c>
    </row>
    <row r="26" spans="1:34">
      <c r="A26" s="518" t="str">
        <f>IF(AND('[2]Overzicht inhuurdesk'!$I$1&gt;AH26,J26&lt;&gt;0),CONCATENATE(LEFT(A25,7),IF(RIGHT(A25,3)+1&lt;10,CONCATENATE("00",RIGHT(A25,3)+1),IF(RIGHT(A25,3)+1&lt;100,CONCATENATE("0",RIGHT(A25,3)+1),RIGHT(A25,3)+1))),"")</f>
        <v/>
      </c>
      <c r="B26" s="518" t="str">
        <f>IF(A26="","",VLOOKUP('[2]Overzicht inhuurdesk'!$C$9,'[2]Brongegevens tbv nokgenerator'!H$2:I$27,2,FALSE))</f>
        <v/>
      </c>
      <c r="C26" s="518" t="str">
        <f>IF(A26="","",VLOOKUP('[2]Overzicht inhuurdesk'!$C$10,'[2]Brongegevens tbv nokgenerator'!K$2:L$301,2,FALSE))</f>
        <v/>
      </c>
      <c r="D26" s="518" t="str">
        <f>IF($A26="","",VLOOKUP('[2]Overzicht inhuurdesk'!$C$7,'[2]Brongegevens tbv nokgenerator'!E$2:F$18,2,FALSE))</f>
        <v/>
      </c>
      <c r="E26" s="518" t="str">
        <f>IF($A26="","",VLOOKUP('[2]Overzicht inhuurdesk'!$C$6,'[2]Brongegevens tbv nokgenerator'!$C$2:$D$4,2,FALSE))</f>
        <v/>
      </c>
      <c r="F26" s="518" t="str">
        <f t="shared" si="2"/>
        <v/>
      </c>
      <c r="G26" s="552" t="str">
        <f t="shared" si="0"/>
        <v/>
      </c>
      <c r="H26" s="552" t="str">
        <f>IF($A26="","",TRUNC('[2]Overzicht inhuurdesk'!$T$8))</f>
        <v/>
      </c>
      <c r="I26" s="515" t="str">
        <f t="shared" si="3"/>
        <v/>
      </c>
      <c r="J26" s="551"/>
      <c r="K26" s="516"/>
      <c r="L26" s="516"/>
      <c r="M26" s="516"/>
      <c r="N26" s="516"/>
      <c r="O26" s="518" t="str">
        <f>IF($A26="","",'[2]Aanvraag inhuur'!$C$110)</f>
        <v/>
      </c>
      <c r="P26" s="518" t="str">
        <f>IF($A26="","",CONCATENATE('[2]Aanvraag inhuur'!$C$18," ",'[2]Aanvraag inhuur'!$C$22))</f>
        <v/>
      </c>
      <c r="Q26" s="551"/>
      <c r="R26" s="518" t="str">
        <f>IF($A26="","",VLOOKUP(CONCATENATE('[2]Overzicht inhuurdesk'!$C$9,'[2]Overzicht inhuurdesk'!$C$10,$Q26),[2]Leveranciersnamen!A:K,11,FALSE))</f>
        <v/>
      </c>
      <c r="S26" s="551"/>
      <c r="T26" s="553" t="str">
        <f t="shared" si="4"/>
        <v/>
      </c>
      <c r="U26" s="553" t="str">
        <f t="shared" si="5"/>
        <v/>
      </c>
      <c r="V26" s="553" t="str">
        <f t="shared" si="6"/>
        <v/>
      </c>
      <c r="W26" s="553" t="str">
        <f t="shared" si="7"/>
        <v/>
      </c>
      <c r="X26" s="552" t="str">
        <f>IF($A26="","",'[2]Overzicht inhuurdesk'!$T$12)</f>
        <v/>
      </c>
      <c r="Y26" s="516" t="str">
        <f t="shared" si="8"/>
        <v/>
      </c>
      <c r="Z26" s="518" t="str">
        <f>IF($A26="","",'[2]Aanvraag inhuur'!$G$93)</f>
        <v/>
      </c>
      <c r="AA26" s="518" t="str">
        <f>IF($A26="","",'[2]Aanvraag inhuur'!$C$95)</f>
        <v/>
      </c>
      <c r="AB26" s="518" t="str">
        <f>IF($A26="","",'[2]Aanvraag inhuur'!$C$97)</f>
        <v/>
      </c>
      <c r="AC26" s="518" t="str">
        <f>IF($A26="","",'[2]Aanvraag inhuur'!$C$98)</f>
        <v/>
      </c>
      <c r="AD26" s="517" t="s">
        <v>1267</v>
      </c>
      <c r="AE26" s="551"/>
      <c r="AF26" s="518" t="str">
        <f t="shared" si="1"/>
        <v/>
      </c>
      <c r="AG26" s="518" t="str">
        <f>IF($A26="","",'[2]Overzicht inhuurdesk'!$I$12)</f>
        <v/>
      </c>
      <c r="AH26" s="550">
        <v>22</v>
      </c>
    </row>
    <row r="27" spans="1:34">
      <c r="A27" s="518" t="str">
        <f>IF(AND('[2]Overzicht inhuurdesk'!$I$1&gt;AH27,J27&lt;&gt;0),CONCATENATE(LEFT(A26,7),IF(RIGHT(A26,3)+1&lt;10,CONCATENATE("00",RIGHT(A26,3)+1),IF(RIGHT(A26,3)+1&lt;100,CONCATENATE("0",RIGHT(A26,3)+1),RIGHT(A26,3)+1))),"")</f>
        <v/>
      </c>
      <c r="B27" s="518" t="str">
        <f>IF(A27="","",VLOOKUP('[2]Overzicht inhuurdesk'!$C$9,'[2]Brongegevens tbv nokgenerator'!H$2:I$27,2,FALSE))</f>
        <v/>
      </c>
      <c r="C27" s="518" t="str">
        <f>IF(A27="","",VLOOKUP('[2]Overzicht inhuurdesk'!$C$10,'[2]Brongegevens tbv nokgenerator'!K$2:L$301,2,FALSE))</f>
        <v/>
      </c>
      <c r="D27" s="518" t="str">
        <f>IF($A27="","",VLOOKUP('[2]Overzicht inhuurdesk'!$C$7,'[2]Brongegevens tbv nokgenerator'!E$2:F$18,2,FALSE))</f>
        <v/>
      </c>
      <c r="E27" s="518" t="str">
        <f>IF($A27="","",VLOOKUP('[2]Overzicht inhuurdesk'!$C$6,'[2]Brongegevens tbv nokgenerator'!$C$2:$D$4,2,FALSE))</f>
        <v/>
      </c>
      <c r="F27" s="518" t="str">
        <f t="shared" si="2"/>
        <v/>
      </c>
      <c r="G27" s="552" t="str">
        <f t="shared" si="0"/>
        <v/>
      </c>
      <c r="H27" s="552" t="str">
        <f>IF($A27="","",TRUNC('[2]Overzicht inhuurdesk'!$T$8))</f>
        <v/>
      </c>
      <c r="I27" s="515" t="str">
        <f t="shared" si="3"/>
        <v/>
      </c>
      <c r="J27" s="551"/>
      <c r="K27" s="516"/>
      <c r="L27" s="516"/>
      <c r="M27" s="516"/>
      <c r="N27" s="516"/>
      <c r="O27" s="518" t="str">
        <f>IF($A27="","",'[2]Aanvraag inhuur'!$C$110)</f>
        <v/>
      </c>
      <c r="P27" s="518" t="str">
        <f>IF($A27="","",CONCATENATE('[2]Aanvraag inhuur'!$C$18," ",'[2]Aanvraag inhuur'!$C$22))</f>
        <v/>
      </c>
      <c r="Q27" s="551"/>
      <c r="R27" s="518" t="str">
        <f>IF($A27="","",VLOOKUP(CONCATENATE('[2]Overzicht inhuurdesk'!$C$9,'[2]Overzicht inhuurdesk'!$C$10,$Q27),[2]Leveranciersnamen!A:K,11,FALSE))</f>
        <v/>
      </c>
      <c r="S27" s="551"/>
      <c r="T27" s="553" t="str">
        <f t="shared" si="4"/>
        <v/>
      </c>
      <c r="U27" s="553" t="str">
        <f t="shared" si="5"/>
        <v/>
      </c>
      <c r="V27" s="553" t="str">
        <f t="shared" si="6"/>
        <v/>
      </c>
      <c r="W27" s="553" t="str">
        <f t="shared" si="7"/>
        <v/>
      </c>
      <c r="X27" s="552" t="str">
        <f>IF($A27="","",'[2]Overzicht inhuurdesk'!$T$12)</f>
        <v/>
      </c>
      <c r="Y27" s="516" t="str">
        <f t="shared" si="8"/>
        <v/>
      </c>
      <c r="Z27" s="518" t="str">
        <f>IF($A27="","",'[2]Aanvraag inhuur'!$G$93)</f>
        <v/>
      </c>
      <c r="AA27" s="518" t="str">
        <f>IF($A27="","",'[2]Aanvraag inhuur'!$C$95)</f>
        <v/>
      </c>
      <c r="AB27" s="518" t="str">
        <f>IF($A27="","",'[2]Aanvraag inhuur'!$C$97)</f>
        <v/>
      </c>
      <c r="AC27" s="518" t="str">
        <f>IF($A27="","",'[2]Aanvraag inhuur'!$C$98)</f>
        <v/>
      </c>
      <c r="AD27" s="517" t="s">
        <v>1267</v>
      </c>
      <c r="AE27" s="551"/>
      <c r="AF27" s="518" t="str">
        <f t="shared" si="1"/>
        <v/>
      </c>
      <c r="AG27" s="518" t="str">
        <f>IF($A27="","",'[2]Overzicht inhuurdesk'!$I$12)</f>
        <v/>
      </c>
      <c r="AH27" s="550">
        <v>23</v>
      </c>
    </row>
    <row r="28" spans="1:34">
      <c r="A28" s="518" t="str">
        <f>IF(AND('[2]Overzicht inhuurdesk'!$I$1&gt;AH28,J28&lt;&gt;0),CONCATENATE(LEFT(A27,7),IF(RIGHT(A27,3)+1&lt;10,CONCATENATE("00",RIGHT(A27,3)+1),IF(RIGHT(A27,3)+1&lt;100,CONCATENATE("0",RIGHT(A27,3)+1),RIGHT(A27,3)+1))),"")</f>
        <v/>
      </c>
      <c r="B28" s="518" t="str">
        <f>IF(A28="","",VLOOKUP('[2]Overzicht inhuurdesk'!$C$9,'[2]Brongegevens tbv nokgenerator'!H$2:I$27,2,FALSE))</f>
        <v/>
      </c>
      <c r="C28" s="518" t="str">
        <f>IF(A28="","",VLOOKUP('[2]Overzicht inhuurdesk'!$C$10,'[2]Brongegevens tbv nokgenerator'!K$2:L$301,2,FALSE))</f>
        <v/>
      </c>
      <c r="D28" s="518" t="str">
        <f>IF($A28="","",VLOOKUP('[2]Overzicht inhuurdesk'!$C$7,'[2]Brongegevens tbv nokgenerator'!E$2:F$18,2,FALSE))</f>
        <v/>
      </c>
      <c r="E28" s="518" t="str">
        <f>IF($A28="","",VLOOKUP('[2]Overzicht inhuurdesk'!$C$6,'[2]Brongegevens tbv nokgenerator'!$C$2:$D$4,2,FALSE))</f>
        <v/>
      </c>
      <c r="F28" s="518" t="str">
        <f t="shared" si="2"/>
        <v/>
      </c>
      <c r="G28" s="552" t="str">
        <f t="shared" si="0"/>
        <v/>
      </c>
      <c r="H28" s="552" t="str">
        <f>IF($A28="","",TRUNC('[2]Overzicht inhuurdesk'!$T$8))</f>
        <v/>
      </c>
      <c r="I28" s="515" t="str">
        <f t="shared" si="3"/>
        <v/>
      </c>
      <c r="J28" s="551"/>
      <c r="K28" s="516"/>
      <c r="L28" s="516"/>
      <c r="M28" s="516"/>
      <c r="N28" s="516"/>
      <c r="O28" s="518" t="str">
        <f>IF($A28="","",'[2]Aanvraag inhuur'!$C$110)</f>
        <v/>
      </c>
      <c r="P28" s="518" t="str">
        <f>IF($A28="","",CONCATENATE('[2]Aanvraag inhuur'!$C$18," ",'[2]Aanvraag inhuur'!$C$22))</f>
        <v/>
      </c>
      <c r="Q28" s="551"/>
      <c r="R28" s="518" t="str">
        <f>IF($A28="","",VLOOKUP(CONCATENATE('[2]Overzicht inhuurdesk'!$C$9,'[2]Overzicht inhuurdesk'!$C$10,$Q28),[2]Leveranciersnamen!A:K,11,FALSE))</f>
        <v/>
      </c>
      <c r="S28" s="551"/>
      <c r="T28" s="553" t="str">
        <f t="shared" si="4"/>
        <v/>
      </c>
      <c r="U28" s="553" t="str">
        <f t="shared" si="5"/>
        <v/>
      </c>
      <c r="V28" s="553" t="str">
        <f t="shared" si="6"/>
        <v/>
      </c>
      <c r="W28" s="553" t="str">
        <f t="shared" si="7"/>
        <v/>
      </c>
      <c r="X28" s="552" t="str">
        <f>IF($A28="","",'[2]Overzicht inhuurdesk'!$T$12)</f>
        <v/>
      </c>
      <c r="Y28" s="516" t="str">
        <f t="shared" si="8"/>
        <v/>
      </c>
      <c r="Z28" s="518" t="str">
        <f>IF($A28="","",'[2]Aanvraag inhuur'!$G$93)</f>
        <v/>
      </c>
      <c r="AA28" s="518" t="str">
        <f>IF($A28="","",'[2]Aanvraag inhuur'!$C$95)</f>
        <v/>
      </c>
      <c r="AB28" s="518" t="str">
        <f>IF($A28="","",'[2]Aanvraag inhuur'!$C$97)</f>
        <v/>
      </c>
      <c r="AC28" s="518" t="str">
        <f>IF($A28="","",'[2]Aanvraag inhuur'!$C$98)</f>
        <v/>
      </c>
      <c r="AD28" s="517" t="s">
        <v>1267</v>
      </c>
      <c r="AE28" s="551"/>
      <c r="AF28" s="518" t="str">
        <f t="shared" si="1"/>
        <v/>
      </c>
      <c r="AG28" s="518" t="str">
        <f>IF($A28="","",'[2]Overzicht inhuurdesk'!$I$12)</f>
        <v/>
      </c>
      <c r="AH28" s="550">
        <v>24</v>
      </c>
    </row>
    <row r="29" spans="1:34">
      <c r="A29" s="518" t="str">
        <f>IF(AND('[2]Overzicht inhuurdesk'!$I$1&gt;AH29,J29&lt;&gt;0),CONCATENATE(LEFT(A28,7),IF(RIGHT(A28,3)+1&lt;10,CONCATENATE("00",RIGHT(A28,3)+1),IF(RIGHT(A28,3)+1&lt;100,CONCATENATE("0",RIGHT(A28,3)+1),RIGHT(A28,3)+1))),"")</f>
        <v/>
      </c>
      <c r="B29" s="518" t="str">
        <f>IF(A29="","",VLOOKUP('[2]Overzicht inhuurdesk'!$C$9,'[2]Brongegevens tbv nokgenerator'!H$2:I$27,2,FALSE))</f>
        <v/>
      </c>
      <c r="C29" s="518" t="str">
        <f>IF(A29="","",VLOOKUP('[2]Overzicht inhuurdesk'!$C$10,'[2]Brongegevens tbv nokgenerator'!K$2:L$301,2,FALSE))</f>
        <v/>
      </c>
      <c r="D29" s="518" t="str">
        <f>IF($A29="","",VLOOKUP('[2]Overzicht inhuurdesk'!$C$7,'[2]Brongegevens tbv nokgenerator'!E$2:F$18,2,FALSE))</f>
        <v/>
      </c>
      <c r="E29" s="518" t="str">
        <f>IF($A29="","",VLOOKUP('[2]Overzicht inhuurdesk'!$C$6,'[2]Brongegevens tbv nokgenerator'!$C$2:$D$4,2,FALSE))</f>
        <v/>
      </c>
      <c r="F29" s="518" t="str">
        <f t="shared" si="2"/>
        <v/>
      </c>
      <c r="G29" s="552" t="str">
        <f t="shared" si="0"/>
        <v/>
      </c>
      <c r="H29" s="552" t="str">
        <f>IF($A29="","",TRUNC('[2]Overzicht inhuurdesk'!$T$8))</f>
        <v/>
      </c>
      <c r="I29" s="515" t="str">
        <f t="shared" si="3"/>
        <v/>
      </c>
      <c r="J29" s="551"/>
      <c r="K29" s="516"/>
      <c r="L29" s="516"/>
      <c r="M29" s="516"/>
      <c r="N29" s="516"/>
      <c r="O29" s="518" t="str">
        <f>IF($A29="","",'[2]Aanvraag inhuur'!$C$110)</f>
        <v/>
      </c>
      <c r="P29" s="518" t="str">
        <f>IF($A29="","",CONCATENATE('[2]Aanvraag inhuur'!$C$18," ",'[2]Aanvraag inhuur'!$C$22))</f>
        <v/>
      </c>
      <c r="Q29" s="551"/>
      <c r="R29" s="518" t="str">
        <f>IF($A29="","",VLOOKUP(CONCATENATE('[2]Overzicht inhuurdesk'!$C$9,'[2]Overzicht inhuurdesk'!$C$10,$Q29),[2]Leveranciersnamen!A:K,11,FALSE))</f>
        <v/>
      </c>
      <c r="S29" s="551"/>
      <c r="T29" s="553" t="str">
        <f t="shared" si="4"/>
        <v/>
      </c>
      <c r="U29" s="553" t="str">
        <f t="shared" si="5"/>
        <v/>
      </c>
      <c r="V29" s="553" t="str">
        <f t="shared" si="6"/>
        <v/>
      </c>
      <c r="W29" s="553" t="str">
        <f t="shared" si="7"/>
        <v/>
      </c>
      <c r="X29" s="552" t="str">
        <f>IF($A29="","",'[2]Overzicht inhuurdesk'!$T$12)</f>
        <v/>
      </c>
      <c r="Y29" s="516" t="str">
        <f t="shared" si="8"/>
        <v/>
      </c>
      <c r="Z29" s="518" t="str">
        <f>IF($A29="","",'[2]Aanvraag inhuur'!$G$93)</f>
        <v/>
      </c>
      <c r="AA29" s="518" t="str">
        <f>IF($A29="","",'[2]Aanvraag inhuur'!$C$95)</f>
        <v/>
      </c>
      <c r="AB29" s="518" t="str">
        <f>IF($A29="","",'[2]Aanvraag inhuur'!$C$97)</f>
        <v/>
      </c>
      <c r="AC29" s="518" t="str">
        <f>IF($A29="","",'[2]Aanvraag inhuur'!$C$98)</f>
        <v/>
      </c>
      <c r="AD29" s="517" t="s">
        <v>1267</v>
      </c>
      <c r="AE29" s="551"/>
      <c r="AF29" s="518" t="str">
        <f t="shared" si="1"/>
        <v/>
      </c>
      <c r="AG29" s="518" t="str">
        <f>IF($A29="","",'[2]Overzicht inhuurdesk'!$I$12)</f>
        <v/>
      </c>
      <c r="AH29" s="550">
        <v>25</v>
      </c>
    </row>
    <row r="30" spans="1:34">
      <c r="A30" s="518" t="str">
        <f>IF(AND('[2]Overzicht inhuurdesk'!$I$1&gt;AH30,J30&lt;&gt;0),CONCATENATE(LEFT(A29,7),IF(RIGHT(A29,3)+1&lt;10,CONCATENATE("00",RIGHT(A29,3)+1),IF(RIGHT(A29,3)+1&lt;100,CONCATENATE("0",RIGHT(A29,3)+1),RIGHT(A29,3)+1))),"")</f>
        <v/>
      </c>
      <c r="B30" s="518" t="str">
        <f>IF(A30="","",VLOOKUP('[2]Overzicht inhuurdesk'!$C$9,'[2]Brongegevens tbv nokgenerator'!H$2:I$27,2,FALSE))</f>
        <v/>
      </c>
      <c r="C30" s="518" t="str">
        <f>IF(A30="","",VLOOKUP('[2]Overzicht inhuurdesk'!$C$10,'[2]Brongegevens tbv nokgenerator'!K$2:L$301,2,FALSE))</f>
        <v/>
      </c>
      <c r="D30" s="518" t="str">
        <f>IF($A30="","",VLOOKUP('[2]Overzicht inhuurdesk'!$C$7,'[2]Brongegevens tbv nokgenerator'!E$2:F$18,2,FALSE))</f>
        <v/>
      </c>
      <c r="E30" s="518" t="str">
        <f>IF($A30="","",VLOOKUP('[2]Overzicht inhuurdesk'!$C$6,'[2]Brongegevens tbv nokgenerator'!$C$2:$D$4,2,FALSE))</f>
        <v/>
      </c>
      <c r="F30" s="518" t="str">
        <f t="shared" si="2"/>
        <v/>
      </c>
      <c r="G30" s="552" t="str">
        <f t="shared" si="0"/>
        <v/>
      </c>
      <c r="H30" s="552" t="str">
        <f>IF($A30="","",TRUNC('[2]Overzicht inhuurdesk'!$T$8))</f>
        <v/>
      </c>
      <c r="I30" s="515" t="str">
        <f t="shared" si="3"/>
        <v/>
      </c>
      <c r="J30" s="551"/>
      <c r="K30" s="516"/>
      <c r="L30" s="516"/>
      <c r="M30" s="516"/>
      <c r="N30" s="516"/>
      <c r="O30" s="518" t="str">
        <f>IF($A30="","",'[2]Aanvraag inhuur'!$C$110)</f>
        <v/>
      </c>
      <c r="P30" s="518" t="str">
        <f>IF($A30="","",CONCATENATE('[2]Aanvraag inhuur'!$C$18," ",'[2]Aanvraag inhuur'!$C$22))</f>
        <v/>
      </c>
      <c r="Q30" s="551"/>
      <c r="R30" s="518" t="str">
        <f>IF($A30="","",VLOOKUP(CONCATENATE('[2]Overzicht inhuurdesk'!$C$9,'[2]Overzicht inhuurdesk'!$C$10,$Q30),[2]Leveranciersnamen!A:K,11,FALSE))</f>
        <v/>
      </c>
      <c r="S30" s="551"/>
      <c r="T30" s="553" t="str">
        <f t="shared" si="4"/>
        <v/>
      </c>
      <c r="U30" s="553" t="str">
        <f t="shared" si="5"/>
        <v/>
      </c>
      <c r="V30" s="553" t="str">
        <f t="shared" si="6"/>
        <v/>
      </c>
      <c r="W30" s="553" t="str">
        <f t="shared" si="7"/>
        <v/>
      </c>
      <c r="X30" s="552" t="str">
        <f>IF($A30="","",'[2]Overzicht inhuurdesk'!$T$12)</f>
        <v/>
      </c>
      <c r="Y30" s="516" t="str">
        <f t="shared" si="8"/>
        <v/>
      </c>
      <c r="Z30" s="518" t="str">
        <f>IF($A30="","",'[2]Aanvraag inhuur'!$G$93)</f>
        <v/>
      </c>
      <c r="AA30" s="518" t="str">
        <f>IF($A30="","",'[2]Aanvraag inhuur'!$C$95)</f>
        <v/>
      </c>
      <c r="AB30" s="518" t="str">
        <f>IF($A30="","",'[2]Aanvraag inhuur'!$C$97)</f>
        <v/>
      </c>
      <c r="AC30" s="518" t="str">
        <f>IF($A30="","",'[2]Aanvraag inhuur'!$C$98)</f>
        <v/>
      </c>
      <c r="AD30" s="517" t="s">
        <v>1267</v>
      </c>
      <c r="AE30" s="551"/>
      <c r="AF30" s="518" t="str">
        <f t="shared" si="1"/>
        <v/>
      </c>
      <c r="AG30" s="518" t="str">
        <f>IF($A30="","",'[2]Overzicht inhuurdesk'!$I$12)</f>
        <v/>
      </c>
      <c r="AH30" s="550">
        <v>26</v>
      </c>
    </row>
    <row r="31" spans="1:34">
      <c r="A31" s="518" t="str">
        <f>IF(AND('[2]Overzicht inhuurdesk'!$I$1&gt;AH31,J31&lt;&gt;0),CONCATENATE(LEFT(A30,7),IF(RIGHT(A30,3)+1&lt;10,CONCATENATE("00",RIGHT(A30,3)+1),IF(RIGHT(A30,3)+1&lt;100,CONCATENATE("0",RIGHT(A30,3)+1),RIGHT(A30,3)+1))),"")</f>
        <v/>
      </c>
      <c r="B31" s="518" t="str">
        <f>IF(A31="","",VLOOKUP('[2]Overzicht inhuurdesk'!$C$9,'[2]Brongegevens tbv nokgenerator'!H$2:I$27,2,FALSE))</f>
        <v/>
      </c>
      <c r="C31" s="518" t="str">
        <f>IF(A31="","",VLOOKUP('[2]Overzicht inhuurdesk'!$C$10,'[2]Brongegevens tbv nokgenerator'!K$2:L$301,2,FALSE))</f>
        <v/>
      </c>
      <c r="D31" s="518" t="str">
        <f>IF($A31="","",VLOOKUP('[2]Overzicht inhuurdesk'!$C$7,'[2]Brongegevens tbv nokgenerator'!E$2:F$18,2,FALSE))</f>
        <v/>
      </c>
      <c r="E31" s="518" t="str">
        <f>IF($A31="","",VLOOKUP('[2]Overzicht inhuurdesk'!$C$6,'[2]Brongegevens tbv nokgenerator'!$C$2:$D$4,2,FALSE))</f>
        <v/>
      </c>
      <c r="F31" s="518" t="str">
        <f t="shared" si="2"/>
        <v/>
      </c>
      <c r="G31" s="552" t="str">
        <f t="shared" si="0"/>
        <v/>
      </c>
      <c r="H31" s="552" t="str">
        <f>IF($A31="","",TRUNC('[2]Overzicht inhuurdesk'!$T$8))</f>
        <v/>
      </c>
      <c r="I31" s="515" t="str">
        <f t="shared" si="3"/>
        <v/>
      </c>
      <c r="J31" s="551"/>
      <c r="K31" s="516"/>
      <c r="L31" s="516"/>
      <c r="M31" s="516"/>
      <c r="N31" s="516"/>
      <c r="O31" s="518" t="str">
        <f>IF($A31="","",'[2]Aanvraag inhuur'!$C$110)</f>
        <v/>
      </c>
      <c r="P31" s="518" t="str">
        <f>IF($A31="","",CONCATENATE('[2]Aanvraag inhuur'!$C$18," ",'[2]Aanvraag inhuur'!$C$22))</f>
        <v/>
      </c>
      <c r="Q31" s="551"/>
      <c r="R31" s="518" t="str">
        <f>IF($A31="","",VLOOKUP(CONCATENATE('[2]Overzicht inhuurdesk'!$C$9,'[2]Overzicht inhuurdesk'!$C$10,$Q31),[2]Leveranciersnamen!A:K,11,FALSE))</f>
        <v/>
      </c>
      <c r="S31" s="551"/>
      <c r="T31" s="553" t="str">
        <f t="shared" si="4"/>
        <v/>
      </c>
      <c r="U31" s="553" t="str">
        <f t="shared" si="5"/>
        <v/>
      </c>
      <c r="V31" s="553" t="str">
        <f t="shared" si="6"/>
        <v/>
      </c>
      <c r="W31" s="553" t="str">
        <f t="shared" si="7"/>
        <v/>
      </c>
      <c r="X31" s="552" t="str">
        <f>IF($A31="","",'[2]Overzicht inhuurdesk'!$T$12)</f>
        <v/>
      </c>
      <c r="Y31" s="516" t="str">
        <f t="shared" si="8"/>
        <v/>
      </c>
      <c r="Z31" s="518" t="str">
        <f>IF($A31="","",'[2]Aanvraag inhuur'!$G$93)</f>
        <v/>
      </c>
      <c r="AA31" s="518" t="str">
        <f>IF($A31="","",'[2]Aanvraag inhuur'!$C$95)</f>
        <v/>
      </c>
      <c r="AB31" s="518" t="str">
        <f>IF($A31="","",'[2]Aanvraag inhuur'!$C$97)</f>
        <v/>
      </c>
      <c r="AC31" s="518" t="str">
        <f>IF($A31="","",'[2]Aanvraag inhuur'!$C$98)</f>
        <v/>
      </c>
      <c r="AD31" s="517" t="s">
        <v>1267</v>
      </c>
      <c r="AE31" s="551"/>
      <c r="AF31" s="518" t="str">
        <f t="shared" si="1"/>
        <v/>
      </c>
      <c r="AG31" s="518" t="str">
        <f>IF($A31="","",'[2]Overzicht inhuurdesk'!$I$12)</f>
        <v/>
      </c>
      <c r="AH31" s="550">
        <v>27</v>
      </c>
    </row>
    <row r="32" spans="1:34">
      <c r="A32" s="518" t="str">
        <f>IF(AND('[2]Overzicht inhuurdesk'!$I$1&gt;AH32,J32&lt;&gt;0),CONCATENATE(LEFT(A31,7),IF(RIGHT(A31,3)+1&lt;10,CONCATENATE("00",RIGHT(A31,3)+1),IF(RIGHT(A31,3)+1&lt;100,CONCATENATE("0",RIGHT(A31,3)+1),RIGHT(A31,3)+1))),"")</f>
        <v/>
      </c>
      <c r="B32" s="518" t="str">
        <f>IF(A32="","",VLOOKUP('[2]Overzicht inhuurdesk'!$C$9,'[2]Brongegevens tbv nokgenerator'!H$2:I$27,2,FALSE))</f>
        <v/>
      </c>
      <c r="C32" s="518" t="str">
        <f>IF(A32="","",VLOOKUP('[2]Overzicht inhuurdesk'!$C$10,'[2]Brongegevens tbv nokgenerator'!K$2:L$301,2,FALSE))</f>
        <v/>
      </c>
      <c r="D32" s="518" t="str">
        <f>IF($A32="","",VLOOKUP('[2]Overzicht inhuurdesk'!$C$7,'[2]Brongegevens tbv nokgenerator'!E$2:F$18,2,FALSE))</f>
        <v/>
      </c>
      <c r="E32" s="518" t="str">
        <f>IF($A32="","",VLOOKUP('[2]Overzicht inhuurdesk'!$C$6,'[2]Brongegevens tbv nokgenerator'!$C$2:$D$4,2,FALSE))</f>
        <v/>
      </c>
      <c r="F32" s="518" t="str">
        <f t="shared" si="2"/>
        <v/>
      </c>
      <c r="G32" s="552" t="str">
        <f t="shared" si="0"/>
        <v/>
      </c>
      <c r="H32" s="552" t="str">
        <f>IF($A32="","",TRUNC('[2]Overzicht inhuurdesk'!$T$8))</f>
        <v/>
      </c>
      <c r="I32" s="515" t="str">
        <f t="shared" si="3"/>
        <v/>
      </c>
      <c r="J32" s="551"/>
      <c r="K32" s="516"/>
      <c r="L32" s="516"/>
      <c r="M32" s="516"/>
      <c r="N32" s="516"/>
      <c r="O32" s="518" t="str">
        <f>IF($A32="","",'[2]Aanvraag inhuur'!$C$110)</f>
        <v/>
      </c>
      <c r="P32" s="518" t="str">
        <f>IF($A32="","",CONCATENATE('[2]Aanvraag inhuur'!$C$18," ",'[2]Aanvraag inhuur'!$C$22))</f>
        <v/>
      </c>
      <c r="Q32" s="551"/>
      <c r="R32" s="518" t="str">
        <f>IF($A32="","",VLOOKUP(CONCATENATE('[2]Overzicht inhuurdesk'!$C$9,'[2]Overzicht inhuurdesk'!$C$10,$Q32),[2]Leveranciersnamen!A:K,11,FALSE))</f>
        <v/>
      </c>
      <c r="S32" s="551"/>
      <c r="T32" s="553" t="str">
        <f t="shared" si="4"/>
        <v/>
      </c>
      <c r="U32" s="553" t="str">
        <f t="shared" si="5"/>
        <v/>
      </c>
      <c r="V32" s="553" t="str">
        <f t="shared" si="6"/>
        <v/>
      </c>
      <c r="W32" s="553" t="str">
        <f t="shared" si="7"/>
        <v/>
      </c>
      <c r="X32" s="552" t="str">
        <f>IF($A32="","",'[2]Overzicht inhuurdesk'!$T$12)</f>
        <v/>
      </c>
      <c r="Y32" s="516" t="str">
        <f t="shared" si="8"/>
        <v/>
      </c>
      <c r="Z32" s="518" t="str">
        <f>IF($A32="","",'[2]Aanvraag inhuur'!$G$93)</f>
        <v/>
      </c>
      <c r="AA32" s="518" t="str">
        <f>IF($A32="","",'[2]Aanvraag inhuur'!$C$95)</f>
        <v/>
      </c>
      <c r="AB32" s="518" t="str">
        <f>IF($A32="","",'[2]Aanvraag inhuur'!$C$97)</f>
        <v/>
      </c>
      <c r="AC32" s="518" t="str">
        <f>IF($A32="","",'[2]Aanvraag inhuur'!$C$98)</f>
        <v/>
      </c>
      <c r="AD32" s="517" t="s">
        <v>1267</v>
      </c>
      <c r="AE32" s="551"/>
      <c r="AF32" s="518" t="str">
        <f t="shared" si="1"/>
        <v/>
      </c>
      <c r="AG32" s="518" t="str">
        <f>IF($A32="","",'[2]Overzicht inhuurdesk'!$I$12)</f>
        <v/>
      </c>
      <c r="AH32" s="550">
        <v>28</v>
      </c>
    </row>
    <row r="33" spans="1:34">
      <c r="A33" s="518" t="str">
        <f>IF(AND('[2]Overzicht inhuurdesk'!$I$1&gt;AH33,J33&lt;&gt;0),CONCATENATE(LEFT(A32,7),IF(RIGHT(A32,3)+1&lt;10,CONCATENATE("00",RIGHT(A32,3)+1),IF(RIGHT(A32,3)+1&lt;100,CONCATENATE("0",RIGHT(A32,3)+1),RIGHT(A32,3)+1))),"")</f>
        <v/>
      </c>
      <c r="B33" s="518" t="str">
        <f>IF(A33="","",VLOOKUP('[2]Overzicht inhuurdesk'!$C$9,'[2]Brongegevens tbv nokgenerator'!H$2:I$27,2,FALSE))</f>
        <v/>
      </c>
      <c r="C33" s="518" t="str">
        <f>IF(A33="","",VLOOKUP('[2]Overzicht inhuurdesk'!$C$10,'[2]Brongegevens tbv nokgenerator'!K$2:L$301,2,FALSE))</f>
        <v/>
      </c>
      <c r="D33" s="518" t="str">
        <f>IF($A33="","",VLOOKUP('[2]Overzicht inhuurdesk'!$C$7,'[2]Brongegevens tbv nokgenerator'!E$2:F$18,2,FALSE))</f>
        <v/>
      </c>
      <c r="E33" s="518" t="str">
        <f>IF($A33="","",VLOOKUP('[2]Overzicht inhuurdesk'!$C$6,'[2]Brongegevens tbv nokgenerator'!$C$2:$D$4,2,FALSE))</f>
        <v/>
      </c>
      <c r="F33" s="518" t="str">
        <f t="shared" si="2"/>
        <v/>
      </c>
      <c r="G33" s="552" t="str">
        <f t="shared" si="0"/>
        <v/>
      </c>
      <c r="H33" s="552" t="str">
        <f>IF($A33="","",TRUNC('[2]Overzicht inhuurdesk'!$T$8))</f>
        <v/>
      </c>
      <c r="I33" s="515" t="str">
        <f t="shared" si="3"/>
        <v/>
      </c>
      <c r="J33" s="551"/>
      <c r="K33" s="516"/>
      <c r="L33" s="516"/>
      <c r="M33" s="516"/>
      <c r="N33" s="516"/>
      <c r="O33" s="518" t="str">
        <f>IF($A33="","",'[2]Aanvraag inhuur'!$C$110)</f>
        <v/>
      </c>
      <c r="P33" s="518" t="str">
        <f>IF($A33="","",CONCATENATE('[2]Aanvraag inhuur'!$C$18," ",'[2]Aanvraag inhuur'!$C$22))</f>
        <v/>
      </c>
      <c r="Q33" s="551"/>
      <c r="R33" s="518" t="str">
        <f>IF($A33="","",VLOOKUP(CONCATENATE('[2]Overzicht inhuurdesk'!$C$9,'[2]Overzicht inhuurdesk'!$C$10,$Q33),[2]Leveranciersnamen!A:K,11,FALSE))</f>
        <v/>
      </c>
      <c r="S33" s="551"/>
      <c r="T33" s="553" t="str">
        <f t="shared" si="4"/>
        <v/>
      </c>
      <c r="U33" s="553" t="str">
        <f t="shared" si="5"/>
        <v/>
      </c>
      <c r="V33" s="553" t="str">
        <f t="shared" si="6"/>
        <v/>
      </c>
      <c r="W33" s="553" t="str">
        <f t="shared" si="7"/>
        <v/>
      </c>
      <c r="X33" s="552" t="str">
        <f>IF($A33="","",'[2]Overzicht inhuurdesk'!$T$12)</f>
        <v/>
      </c>
      <c r="Y33" s="516" t="str">
        <f t="shared" si="8"/>
        <v/>
      </c>
      <c r="Z33" s="518" t="str">
        <f>IF($A33="","",'[2]Aanvraag inhuur'!$G$93)</f>
        <v/>
      </c>
      <c r="AA33" s="518" t="str">
        <f>IF($A33="","",'[2]Aanvraag inhuur'!$C$95)</f>
        <v/>
      </c>
      <c r="AB33" s="518" t="str">
        <f>IF($A33="","",'[2]Aanvraag inhuur'!$C$97)</f>
        <v/>
      </c>
      <c r="AC33" s="518" t="str">
        <f>IF($A33="","",'[2]Aanvraag inhuur'!$C$98)</f>
        <v/>
      </c>
      <c r="AD33" s="517" t="s">
        <v>1267</v>
      </c>
      <c r="AE33" s="551"/>
      <c r="AF33" s="518" t="str">
        <f t="shared" si="1"/>
        <v/>
      </c>
      <c r="AG33" s="518" t="str">
        <f>IF($A33="","",'[2]Overzicht inhuurdesk'!$I$12)</f>
        <v/>
      </c>
      <c r="AH33" s="550">
        <v>29</v>
      </c>
    </row>
    <row r="34" spans="1:34">
      <c r="A34" s="518" t="str">
        <f>IF(AND('[2]Overzicht inhuurdesk'!$I$1&gt;AH34,J34&lt;&gt;0),CONCATENATE(LEFT(A33,7),IF(RIGHT(A33,3)+1&lt;10,CONCATENATE("00",RIGHT(A33,3)+1),IF(RIGHT(A33,3)+1&lt;100,CONCATENATE("0",RIGHT(A33,3)+1),RIGHT(A33,3)+1))),"")</f>
        <v/>
      </c>
      <c r="B34" s="518" t="str">
        <f>IF(A34="","",VLOOKUP('[2]Overzicht inhuurdesk'!$C$9,'[2]Brongegevens tbv nokgenerator'!H$2:I$27,2,FALSE))</f>
        <v/>
      </c>
      <c r="C34" s="518" t="str">
        <f>IF(A34="","",VLOOKUP('[2]Overzicht inhuurdesk'!$C$10,'[2]Brongegevens tbv nokgenerator'!K$2:L$301,2,FALSE))</f>
        <v/>
      </c>
      <c r="D34" s="518" t="str">
        <f>IF($A34="","",VLOOKUP('[2]Overzicht inhuurdesk'!$C$7,'[2]Brongegevens tbv nokgenerator'!E$2:F$18,2,FALSE))</f>
        <v/>
      </c>
      <c r="E34" s="518" t="str">
        <f>IF($A34="","",VLOOKUP('[2]Overzicht inhuurdesk'!$C$6,'[2]Brongegevens tbv nokgenerator'!$C$2:$D$4,2,FALSE))</f>
        <v/>
      </c>
      <c r="F34" s="518" t="str">
        <f t="shared" si="2"/>
        <v/>
      </c>
      <c r="G34" s="552" t="str">
        <f t="shared" si="0"/>
        <v/>
      </c>
      <c r="H34" s="552" t="str">
        <f>IF($A34="","",TRUNC('[2]Overzicht inhuurdesk'!$T$8))</f>
        <v/>
      </c>
      <c r="I34" s="515" t="str">
        <f t="shared" si="3"/>
        <v/>
      </c>
      <c r="J34" s="551"/>
      <c r="K34" s="516"/>
      <c r="L34" s="516"/>
      <c r="M34" s="516"/>
      <c r="N34" s="516"/>
      <c r="O34" s="518" t="str">
        <f>IF($A34="","",'[2]Aanvraag inhuur'!$C$110)</f>
        <v/>
      </c>
      <c r="P34" s="518" t="str">
        <f>IF($A34="","",CONCATENATE('[2]Aanvraag inhuur'!$C$18," ",'[2]Aanvraag inhuur'!$C$22))</f>
        <v/>
      </c>
      <c r="Q34" s="551"/>
      <c r="R34" s="518" t="str">
        <f>IF($A34="","",VLOOKUP(CONCATENATE('[2]Overzicht inhuurdesk'!$C$9,'[2]Overzicht inhuurdesk'!$C$10,$Q34),[2]Leveranciersnamen!A:K,11,FALSE))</f>
        <v/>
      </c>
      <c r="S34" s="551"/>
      <c r="T34" s="553" t="str">
        <f t="shared" si="4"/>
        <v/>
      </c>
      <c r="U34" s="553" t="str">
        <f t="shared" si="5"/>
        <v/>
      </c>
      <c r="V34" s="553" t="str">
        <f t="shared" si="6"/>
        <v/>
      </c>
      <c r="W34" s="553" t="str">
        <f t="shared" si="7"/>
        <v/>
      </c>
      <c r="X34" s="552" t="str">
        <f>IF($A34="","",'[2]Overzicht inhuurdesk'!$T$12)</f>
        <v/>
      </c>
      <c r="Y34" s="516" t="str">
        <f t="shared" si="8"/>
        <v/>
      </c>
      <c r="Z34" s="518" t="str">
        <f>IF($A34="","",'[2]Aanvraag inhuur'!$G$93)</f>
        <v/>
      </c>
      <c r="AA34" s="518" t="str">
        <f>IF($A34="","",'[2]Aanvraag inhuur'!$C$95)</f>
        <v/>
      </c>
      <c r="AB34" s="518" t="str">
        <f>IF($A34="","",'[2]Aanvraag inhuur'!$C$97)</f>
        <v/>
      </c>
      <c r="AC34" s="518" t="str">
        <f>IF($A34="","",'[2]Aanvraag inhuur'!$C$98)</f>
        <v/>
      </c>
      <c r="AD34" s="517" t="s">
        <v>1267</v>
      </c>
      <c r="AE34" s="551"/>
      <c r="AF34" s="518" t="str">
        <f t="shared" si="1"/>
        <v/>
      </c>
      <c r="AG34" s="518" t="str">
        <f>IF($A34="","",'[2]Overzicht inhuurdesk'!$I$12)</f>
        <v/>
      </c>
      <c r="AH34" s="550">
        <v>30</v>
      </c>
    </row>
    <row r="35" spans="1:34">
      <c r="A35" s="518" t="str">
        <f>IF(AND('[2]Overzicht inhuurdesk'!$I$1&gt;AH35,J35&lt;&gt;0),CONCATENATE(LEFT(A34,7),IF(RIGHT(A34,3)+1&lt;10,CONCATENATE("00",RIGHT(A34,3)+1),IF(RIGHT(A34,3)+1&lt;100,CONCATENATE("0",RIGHT(A34,3)+1),RIGHT(A34,3)+1))),"")</f>
        <v/>
      </c>
      <c r="B35" s="518" t="str">
        <f>IF(A35="","",VLOOKUP('[2]Overzicht inhuurdesk'!$C$9,'[2]Brongegevens tbv nokgenerator'!H$2:I$27,2,FALSE))</f>
        <v/>
      </c>
      <c r="C35" s="518" t="str">
        <f>IF(A35="","",VLOOKUP('[2]Overzicht inhuurdesk'!$C$10,'[2]Brongegevens tbv nokgenerator'!K$2:L$301,2,FALSE))</f>
        <v/>
      </c>
      <c r="D35" s="518" t="str">
        <f>IF($A35="","",VLOOKUP('[2]Overzicht inhuurdesk'!$C$7,'[2]Brongegevens tbv nokgenerator'!E$2:F$18,2,FALSE))</f>
        <v/>
      </c>
      <c r="E35" s="518" t="str">
        <f>IF($A35="","",VLOOKUP('[2]Overzicht inhuurdesk'!$C$6,'[2]Brongegevens tbv nokgenerator'!$C$2:$D$4,2,FALSE))</f>
        <v/>
      </c>
      <c r="F35" s="518" t="str">
        <f t="shared" si="2"/>
        <v/>
      </c>
      <c r="G35" s="552" t="str">
        <f t="shared" si="0"/>
        <v/>
      </c>
      <c r="H35" s="552" t="str">
        <f>IF($A35="","",TRUNC('[2]Overzicht inhuurdesk'!$T$8))</f>
        <v/>
      </c>
      <c r="I35" s="515" t="str">
        <f t="shared" si="3"/>
        <v/>
      </c>
      <c r="J35" s="551"/>
      <c r="K35" s="516"/>
      <c r="L35" s="516"/>
      <c r="M35" s="516"/>
      <c r="N35" s="516"/>
      <c r="O35" s="518" t="str">
        <f>IF($A35="","",'[2]Aanvraag inhuur'!$C$110)</f>
        <v/>
      </c>
      <c r="P35" s="518" t="str">
        <f>IF($A35="","",CONCATENATE('[2]Aanvraag inhuur'!$C$18," ",'[2]Aanvraag inhuur'!$C$22))</f>
        <v/>
      </c>
      <c r="Q35" s="551"/>
      <c r="R35" s="518" t="str">
        <f>IF($A35="","",VLOOKUP(CONCATENATE('[2]Overzicht inhuurdesk'!$C$9,'[2]Overzicht inhuurdesk'!$C$10,$Q35),[2]Leveranciersnamen!A:K,11,FALSE))</f>
        <v/>
      </c>
      <c r="S35" s="551"/>
      <c r="T35" s="553" t="str">
        <f t="shared" si="4"/>
        <v/>
      </c>
      <c r="U35" s="553" t="str">
        <f t="shared" si="5"/>
        <v/>
      </c>
      <c r="V35" s="553" t="str">
        <f t="shared" si="6"/>
        <v/>
      </c>
      <c r="W35" s="553" t="str">
        <f t="shared" si="7"/>
        <v/>
      </c>
      <c r="X35" s="552" t="str">
        <f>IF($A35="","",'[2]Overzicht inhuurdesk'!$T$12)</f>
        <v/>
      </c>
      <c r="Y35" s="516" t="str">
        <f t="shared" si="8"/>
        <v/>
      </c>
      <c r="Z35" s="518" t="str">
        <f>IF($A35="","",'[2]Aanvraag inhuur'!$G$93)</f>
        <v/>
      </c>
      <c r="AA35" s="518" t="str">
        <f>IF($A35="","",'[2]Aanvraag inhuur'!$C$95)</f>
        <v/>
      </c>
      <c r="AB35" s="518" t="str">
        <f>IF($A35="","",'[2]Aanvraag inhuur'!$C$97)</f>
        <v/>
      </c>
      <c r="AC35" s="518" t="str">
        <f>IF($A35="","",'[2]Aanvraag inhuur'!$C$98)</f>
        <v/>
      </c>
      <c r="AD35" s="517" t="s">
        <v>1267</v>
      </c>
      <c r="AE35" s="551"/>
      <c r="AF35" s="518" t="str">
        <f t="shared" si="1"/>
        <v/>
      </c>
      <c r="AG35" s="518" t="str">
        <f>IF($A35="","",'[2]Overzicht inhuurdesk'!$I$12)</f>
        <v/>
      </c>
      <c r="AH35" s="550">
        <v>31</v>
      </c>
    </row>
    <row r="36" spans="1:34">
      <c r="A36" s="518" t="str">
        <f>IF(AND('[2]Overzicht inhuurdesk'!$I$1&gt;AH36,J36&lt;&gt;0),CONCATENATE(LEFT(A35,7),IF(RIGHT(A35,3)+1&lt;10,CONCATENATE("00",RIGHT(A35,3)+1),IF(RIGHT(A35,3)+1&lt;100,CONCATENATE("0",RIGHT(A35,3)+1),RIGHT(A35,3)+1))),"")</f>
        <v/>
      </c>
      <c r="B36" s="518" t="str">
        <f>IF(A36="","",VLOOKUP('[2]Overzicht inhuurdesk'!$C$9,'[2]Brongegevens tbv nokgenerator'!H$2:I$27,2,FALSE))</f>
        <v/>
      </c>
      <c r="C36" s="518" t="str">
        <f>IF(A36="","",VLOOKUP('[2]Overzicht inhuurdesk'!$C$10,'[2]Brongegevens tbv nokgenerator'!K$2:L$301,2,FALSE))</f>
        <v/>
      </c>
      <c r="D36" s="518" t="str">
        <f>IF($A36="","",VLOOKUP('[2]Overzicht inhuurdesk'!$C$7,'[2]Brongegevens tbv nokgenerator'!E$2:F$18,2,FALSE))</f>
        <v/>
      </c>
      <c r="E36" s="518" t="str">
        <f>IF($A36="","",VLOOKUP('[2]Overzicht inhuurdesk'!$C$6,'[2]Brongegevens tbv nokgenerator'!$C$2:$D$4,2,FALSE))</f>
        <v/>
      </c>
      <c r="F36" s="518" t="str">
        <f t="shared" si="2"/>
        <v/>
      </c>
      <c r="G36" s="552" t="str">
        <f t="shared" ref="G36:G67" si="9">IF($A36="","",IF($D36="NVWA","","Concept"))</f>
        <v/>
      </c>
      <c r="H36" s="552" t="str">
        <f>IF($A36="","",TRUNC('[2]Overzicht inhuurdesk'!$T$8))</f>
        <v/>
      </c>
      <c r="I36" s="515" t="str">
        <f t="shared" si="3"/>
        <v/>
      </c>
      <c r="J36" s="551"/>
      <c r="K36" s="516"/>
      <c r="L36" s="516"/>
      <c r="M36" s="516"/>
      <c r="N36" s="516"/>
      <c r="O36" s="518" t="str">
        <f>IF($A36="","",'[2]Aanvraag inhuur'!$C$110)</f>
        <v/>
      </c>
      <c r="P36" s="518" t="str">
        <f>IF($A36="","",CONCATENATE('[2]Aanvraag inhuur'!$C$18," ",'[2]Aanvraag inhuur'!$C$22))</f>
        <v/>
      </c>
      <c r="Q36" s="551"/>
      <c r="R36" s="518" t="str">
        <f>IF($A36="","",VLOOKUP(CONCATENATE('[2]Overzicht inhuurdesk'!$C$9,'[2]Overzicht inhuurdesk'!$C$10,$Q36),[2]Leveranciersnamen!A:K,11,FALSE))</f>
        <v/>
      </c>
      <c r="S36" s="551"/>
      <c r="T36" s="553" t="str">
        <f t="shared" si="4"/>
        <v/>
      </c>
      <c r="U36" s="553" t="str">
        <f t="shared" si="5"/>
        <v/>
      </c>
      <c r="V36" s="553" t="str">
        <f t="shared" si="6"/>
        <v/>
      </c>
      <c r="W36" s="553" t="str">
        <f t="shared" si="7"/>
        <v/>
      </c>
      <c r="X36" s="552" t="str">
        <f>IF($A36="","",'[2]Overzicht inhuurdesk'!$T$12)</f>
        <v/>
      </c>
      <c r="Y36" s="516" t="str">
        <f t="shared" si="8"/>
        <v/>
      </c>
      <c r="Z36" s="518" t="str">
        <f>IF($A36="","",'[2]Aanvraag inhuur'!$G$93)</f>
        <v/>
      </c>
      <c r="AA36" s="518" t="str">
        <f>IF($A36="","",'[2]Aanvraag inhuur'!$C$95)</f>
        <v/>
      </c>
      <c r="AB36" s="518" t="str">
        <f>IF($A36="","",'[2]Aanvraag inhuur'!$C$97)</f>
        <v/>
      </c>
      <c r="AC36" s="518" t="str">
        <f>IF($A36="","",'[2]Aanvraag inhuur'!$C$98)</f>
        <v/>
      </c>
      <c r="AD36" s="517" t="s">
        <v>1267</v>
      </c>
      <c r="AE36" s="551"/>
      <c r="AF36" s="518" t="str">
        <f t="shared" ref="AF36:AF67" si="10">IF($A36="","","NOK")</f>
        <v/>
      </c>
      <c r="AG36" s="518" t="str">
        <f>IF($A36="","",'[2]Overzicht inhuurdesk'!$I$12)</f>
        <v/>
      </c>
      <c r="AH36" s="550">
        <v>32</v>
      </c>
    </row>
    <row r="37" spans="1:34">
      <c r="A37" s="518" t="str">
        <f>IF(AND('[2]Overzicht inhuurdesk'!$I$1&gt;AH37,J37&lt;&gt;0),CONCATENATE(LEFT(A36,7),IF(RIGHT(A36,3)+1&lt;10,CONCATENATE("00",RIGHT(A36,3)+1),IF(RIGHT(A36,3)+1&lt;100,CONCATENATE("0",RIGHT(A36,3)+1),RIGHT(A36,3)+1))),"")</f>
        <v/>
      </c>
      <c r="B37" s="518" t="str">
        <f>IF(A37="","",VLOOKUP('[2]Overzicht inhuurdesk'!$C$9,'[2]Brongegevens tbv nokgenerator'!H$2:I$27,2,FALSE))</f>
        <v/>
      </c>
      <c r="C37" s="518" t="str">
        <f>IF(A37="","",VLOOKUP('[2]Overzicht inhuurdesk'!$C$10,'[2]Brongegevens tbv nokgenerator'!K$2:L$301,2,FALSE))</f>
        <v/>
      </c>
      <c r="D37" s="518" t="str">
        <f>IF($A37="","",VLOOKUP('[2]Overzicht inhuurdesk'!$C$7,'[2]Brongegevens tbv nokgenerator'!E$2:F$18,2,FALSE))</f>
        <v/>
      </c>
      <c r="E37" s="518" t="str">
        <f>IF($A37="","",VLOOKUP('[2]Overzicht inhuurdesk'!$C$6,'[2]Brongegevens tbv nokgenerator'!$C$2:$D$4,2,FALSE))</f>
        <v/>
      </c>
      <c r="F37" s="518" t="str">
        <f t="shared" ref="F37:F68" si="11">IF($A37="","",$F36)</f>
        <v/>
      </c>
      <c r="G37" s="552" t="str">
        <f t="shared" si="9"/>
        <v/>
      </c>
      <c r="H37" s="552" t="str">
        <f>IF($A37="","",TRUNC('[2]Overzicht inhuurdesk'!$T$8))</f>
        <v/>
      </c>
      <c r="I37" s="515" t="str">
        <f t="shared" ref="I37:I68" si="12">IF($A37="","",IF($I36="","",I36))</f>
        <v/>
      </c>
      <c r="J37" s="551"/>
      <c r="K37" s="516"/>
      <c r="L37" s="516"/>
      <c r="M37" s="516"/>
      <c r="N37" s="516"/>
      <c r="O37" s="518" t="str">
        <f>IF($A37="","",'[2]Aanvraag inhuur'!$C$110)</f>
        <v/>
      </c>
      <c r="P37" s="518" t="str">
        <f>IF($A37="","",CONCATENATE('[2]Aanvraag inhuur'!$C$18," ",'[2]Aanvraag inhuur'!$C$22))</f>
        <v/>
      </c>
      <c r="Q37" s="551"/>
      <c r="R37" s="518" t="str">
        <f>IF($A37="","",VLOOKUP(CONCATENATE('[2]Overzicht inhuurdesk'!$C$9,'[2]Overzicht inhuurdesk'!$C$10,$Q37),[2]Leveranciersnamen!A:K,11,FALSE))</f>
        <v/>
      </c>
      <c r="S37" s="551"/>
      <c r="T37" s="553" t="str">
        <f t="shared" ref="T37:T68" si="13">IF($A37="","",T36)</f>
        <v/>
      </c>
      <c r="U37" s="553" t="str">
        <f t="shared" ref="U37:U68" si="14">IF($A37="","",U36)</f>
        <v/>
      </c>
      <c r="V37" s="553" t="str">
        <f t="shared" ref="V37:V68" si="15">IF($A37="","",V36)</f>
        <v/>
      </c>
      <c r="W37" s="553" t="str">
        <f t="shared" ref="W37:W68" si="16">IF($A37="","",W36)</f>
        <v/>
      </c>
      <c r="X37" s="552" t="str">
        <f>IF($A37="","",'[2]Overzicht inhuurdesk'!$T$12)</f>
        <v/>
      </c>
      <c r="Y37" s="516" t="str">
        <f t="shared" ref="Y37:Y68" si="17">IF($A37="","",IF(Y36="","",Y36))</f>
        <v/>
      </c>
      <c r="Z37" s="518" t="str">
        <f>IF($A37="","",'[2]Aanvraag inhuur'!$G$93)</f>
        <v/>
      </c>
      <c r="AA37" s="518" t="str">
        <f>IF($A37="","",'[2]Aanvraag inhuur'!$C$95)</f>
        <v/>
      </c>
      <c r="AB37" s="518" t="str">
        <f>IF($A37="","",'[2]Aanvraag inhuur'!$C$97)</f>
        <v/>
      </c>
      <c r="AC37" s="518" t="str">
        <f>IF($A37="","",'[2]Aanvraag inhuur'!$C$98)</f>
        <v/>
      </c>
      <c r="AD37" s="517" t="s">
        <v>1267</v>
      </c>
      <c r="AE37" s="551"/>
      <c r="AF37" s="518" t="str">
        <f t="shared" si="10"/>
        <v/>
      </c>
      <c r="AG37" s="518" t="str">
        <f>IF($A37="","",'[2]Overzicht inhuurdesk'!$I$12)</f>
        <v/>
      </c>
      <c r="AH37" s="550">
        <v>33</v>
      </c>
    </row>
    <row r="38" spans="1:34">
      <c r="A38" s="518" t="str">
        <f>IF(AND('[2]Overzicht inhuurdesk'!$I$1&gt;AH38,J38&lt;&gt;0),CONCATENATE(LEFT(A37,7),IF(RIGHT(A37,3)+1&lt;10,CONCATENATE("00",RIGHT(A37,3)+1),IF(RIGHT(A37,3)+1&lt;100,CONCATENATE("0",RIGHT(A37,3)+1),RIGHT(A37,3)+1))),"")</f>
        <v/>
      </c>
      <c r="B38" s="518" t="str">
        <f>IF(A38="","",VLOOKUP('[2]Overzicht inhuurdesk'!$C$9,'[2]Brongegevens tbv nokgenerator'!H$2:I$27,2,FALSE))</f>
        <v/>
      </c>
      <c r="C38" s="518" t="str">
        <f>IF(A38="","",VLOOKUP('[2]Overzicht inhuurdesk'!$C$10,'[2]Brongegevens tbv nokgenerator'!K$2:L$301,2,FALSE))</f>
        <v/>
      </c>
      <c r="D38" s="518" t="str">
        <f>IF($A38="","",VLOOKUP('[2]Overzicht inhuurdesk'!$C$7,'[2]Brongegevens tbv nokgenerator'!E$2:F$18,2,FALSE))</f>
        <v/>
      </c>
      <c r="E38" s="518" t="str">
        <f>IF($A38="","",VLOOKUP('[2]Overzicht inhuurdesk'!$C$6,'[2]Brongegevens tbv nokgenerator'!$C$2:$D$4,2,FALSE))</f>
        <v/>
      </c>
      <c r="F38" s="518" t="str">
        <f t="shared" si="11"/>
        <v/>
      </c>
      <c r="G38" s="552" t="str">
        <f t="shared" si="9"/>
        <v/>
      </c>
      <c r="H38" s="552" t="str">
        <f>IF($A38="","",TRUNC('[2]Overzicht inhuurdesk'!$T$8))</f>
        <v/>
      </c>
      <c r="I38" s="515" t="str">
        <f t="shared" si="12"/>
        <v/>
      </c>
      <c r="J38" s="551"/>
      <c r="K38" s="516"/>
      <c r="L38" s="516"/>
      <c r="M38" s="516"/>
      <c r="N38" s="516"/>
      <c r="O38" s="518" t="str">
        <f>IF($A38="","",'[2]Aanvraag inhuur'!$C$110)</f>
        <v/>
      </c>
      <c r="P38" s="518" t="str">
        <f>IF($A38="","",CONCATENATE('[2]Aanvraag inhuur'!$C$18," ",'[2]Aanvraag inhuur'!$C$22))</f>
        <v/>
      </c>
      <c r="Q38" s="551"/>
      <c r="R38" s="518" t="str">
        <f>IF($A38="","",VLOOKUP(CONCATENATE('[2]Overzicht inhuurdesk'!$C$9,'[2]Overzicht inhuurdesk'!$C$10,$Q38),[2]Leveranciersnamen!A:K,11,FALSE))</f>
        <v/>
      </c>
      <c r="S38" s="551"/>
      <c r="T38" s="553" t="str">
        <f t="shared" si="13"/>
        <v/>
      </c>
      <c r="U38" s="553" t="str">
        <f t="shared" si="14"/>
        <v/>
      </c>
      <c r="V38" s="553" t="str">
        <f t="shared" si="15"/>
        <v/>
      </c>
      <c r="W38" s="553" t="str">
        <f t="shared" si="16"/>
        <v/>
      </c>
      <c r="X38" s="552" t="str">
        <f>IF($A38="","",'[2]Overzicht inhuurdesk'!$T$12)</f>
        <v/>
      </c>
      <c r="Y38" s="516" t="str">
        <f t="shared" si="17"/>
        <v/>
      </c>
      <c r="Z38" s="518" t="str">
        <f>IF($A38="","",'[2]Aanvraag inhuur'!$G$93)</f>
        <v/>
      </c>
      <c r="AA38" s="518" t="str">
        <f>IF($A38="","",'[2]Aanvraag inhuur'!$C$95)</f>
        <v/>
      </c>
      <c r="AB38" s="518" t="str">
        <f>IF($A38="","",'[2]Aanvraag inhuur'!$C$97)</f>
        <v/>
      </c>
      <c r="AC38" s="518" t="str">
        <f>IF($A38="","",'[2]Aanvraag inhuur'!$C$98)</f>
        <v/>
      </c>
      <c r="AD38" s="517" t="s">
        <v>1267</v>
      </c>
      <c r="AE38" s="551"/>
      <c r="AF38" s="518" t="str">
        <f t="shared" si="10"/>
        <v/>
      </c>
      <c r="AG38" s="518" t="str">
        <f>IF($A38="","",'[2]Overzicht inhuurdesk'!$I$12)</f>
        <v/>
      </c>
      <c r="AH38" s="550">
        <v>34</v>
      </c>
    </row>
    <row r="39" spans="1:34">
      <c r="A39" s="518" t="str">
        <f>IF(AND('[2]Overzicht inhuurdesk'!$I$1&gt;AH39,J39&lt;&gt;0),CONCATENATE(LEFT(A38,7),IF(RIGHT(A38,3)+1&lt;10,CONCATENATE("00",RIGHT(A38,3)+1),IF(RIGHT(A38,3)+1&lt;100,CONCATENATE("0",RIGHT(A38,3)+1),RIGHT(A38,3)+1))),"")</f>
        <v/>
      </c>
      <c r="B39" s="518" t="str">
        <f>IF(A39="","",VLOOKUP('[2]Overzicht inhuurdesk'!$C$9,'[2]Brongegevens tbv nokgenerator'!H$2:I$27,2,FALSE))</f>
        <v/>
      </c>
      <c r="C39" s="518" t="str">
        <f>IF(A39="","",VLOOKUP('[2]Overzicht inhuurdesk'!$C$10,'[2]Brongegevens tbv nokgenerator'!K$2:L$301,2,FALSE))</f>
        <v/>
      </c>
      <c r="D39" s="518" t="str">
        <f>IF($A39="","",VLOOKUP('[2]Overzicht inhuurdesk'!$C$7,'[2]Brongegevens tbv nokgenerator'!E$2:F$18,2,FALSE))</f>
        <v/>
      </c>
      <c r="E39" s="518" t="str">
        <f>IF($A39="","",VLOOKUP('[2]Overzicht inhuurdesk'!$C$6,'[2]Brongegevens tbv nokgenerator'!$C$2:$D$4,2,FALSE))</f>
        <v/>
      </c>
      <c r="F39" s="518" t="str">
        <f t="shared" si="11"/>
        <v/>
      </c>
      <c r="G39" s="552" t="str">
        <f t="shared" si="9"/>
        <v/>
      </c>
      <c r="H39" s="552" t="str">
        <f>IF($A39="","",TRUNC('[2]Overzicht inhuurdesk'!$T$8))</f>
        <v/>
      </c>
      <c r="I39" s="515" t="str">
        <f t="shared" si="12"/>
        <v/>
      </c>
      <c r="J39" s="551"/>
      <c r="K39" s="516"/>
      <c r="L39" s="516"/>
      <c r="M39" s="516"/>
      <c r="N39" s="516"/>
      <c r="O39" s="518" t="str">
        <f>IF($A39="","",'[2]Aanvraag inhuur'!$C$110)</f>
        <v/>
      </c>
      <c r="P39" s="518" t="str">
        <f>IF($A39="","",CONCATENATE('[2]Aanvraag inhuur'!$C$18," ",'[2]Aanvraag inhuur'!$C$22))</f>
        <v/>
      </c>
      <c r="Q39" s="551"/>
      <c r="R39" s="518" t="str">
        <f>IF($A39="","",VLOOKUP(CONCATENATE('[2]Overzicht inhuurdesk'!$C$9,'[2]Overzicht inhuurdesk'!$C$10,$Q39),[2]Leveranciersnamen!A:K,11,FALSE))</f>
        <v/>
      </c>
      <c r="S39" s="551"/>
      <c r="T39" s="553" t="str">
        <f t="shared" si="13"/>
        <v/>
      </c>
      <c r="U39" s="553" t="str">
        <f t="shared" si="14"/>
        <v/>
      </c>
      <c r="V39" s="553" t="str">
        <f t="shared" si="15"/>
        <v/>
      </c>
      <c r="W39" s="553" t="str">
        <f t="shared" si="16"/>
        <v/>
      </c>
      <c r="X39" s="552" t="str">
        <f>IF($A39="","",'[2]Overzicht inhuurdesk'!$T$12)</f>
        <v/>
      </c>
      <c r="Y39" s="516" t="str">
        <f t="shared" si="17"/>
        <v/>
      </c>
      <c r="Z39" s="518" t="str">
        <f>IF($A39="","",'[2]Aanvraag inhuur'!$G$93)</f>
        <v/>
      </c>
      <c r="AA39" s="518" t="str">
        <f>IF($A39="","",'[2]Aanvraag inhuur'!$C$95)</f>
        <v/>
      </c>
      <c r="AB39" s="518" t="str">
        <f>IF($A39="","",'[2]Aanvraag inhuur'!$C$97)</f>
        <v/>
      </c>
      <c r="AC39" s="518" t="str">
        <f>IF($A39="","",'[2]Aanvraag inhuur'!$C$98)</f>
        <v/>
      </c>
      <c r="AD39" s="517" t="s">
        <v>1267</v>
      </c>
      <c r="AE39" s="551"/>
      <c r="AF39" s="518" t="str">
        <f t="shared" si="10"/>
        <v/>
      </c>
      <c r="AG39" s="518" t="str">
        <f>IF($A39="","",'[2]Overzicht inhuurdesk'!$I$12)</f>
        <v/>
      </c>
      <c r="AH39" s="550">
        <v>35</v>
      </c>
    </row>
    <row r="40" spans="1:34">
      <c r="A40" s="518" t="str">
        <f>IF(AND('[2]Overzicht inhuurdesk'!$I$1&gt;AH40,J40&lt;&gt;0),CONCATENATE(LEFT(A39,7),IF(RIGHT(A39,3)+1&lt;10,CONCATENATE("00",RIGHT(A39,3)+1),IF(RIGHT(A39,3)+1&lt;100,CONCATENATE("0",RIGHT(A39,3)+1),RIGHT(A39,3)+1))),"")</f>
        <v/>
      </c>
      <c r="B40" s="518" t="str">
        <f>IF(A40="","",VLOOKUP('[2]Overzicht inhuurdesk'!$C$9,'[2]Brongegevens tbv nokgenerator'!H$2:I$27,2,FALSE))</f>
        <v/>
      </c>
      <c r="C40" s="518" t="str">
        <f>IF(A40="","",VLOOKUP('[2]Overzicht inhuurdesk'!$C$10,'[2]Brongegevens tbv nokgenerator'!K$2:L$301,2,FALSE))</f>
        <v/>
      </c>
      <c r="D40" s="518" t="str">
        <f>IF($A40="","",VLOOKUP('[2]Overzicht inhuurdesk'!$C$7,'[2]Brongegevens tbv nokgenerator'!E$2:F$18,2,FALSE))</f>
        <v/>
      </c>
      <c r="E40" s="518" t="str">
        <f>IF($A40="","",VLOOKUP('[2]Overzicht inhuurdesk'!$C$6,'[2]Brongegevens tbv nokgenerator'!$C$2:$D$4,2,FALSE))</f>
        <v/>
      </c>
      <c r="F40" s="518" t="str">
        <f t="shared" si="11"/>
        <v/>
      </c>
      <c r="G40" s="552" t="str">
        <f t="shared" si="9"/>
        <v/>
      </c>
      <c r="H40" s="552" t="str">
        <f>IF($A40="","",TRUNC('[2]Overzicht inhuurdesk'!$T$8))</f>
        <v/>
      </c>
      <c r="I40" s="515" t="str">
        <f t="shared" si="12"/>
        <v/>
      </c>
      <c r="J40" s="551"/>
      <c r="K40" s="516"/>
      <c r="L40" s="516"/>
      <c r="M40" s="516"/>
      <c r="N40" s="516"/>
      <c r="O40" s="518" t="str">
        <f>IF($A40="","",'[2]Aanvraag inhuur'!$C$110)</f>
        <v/>
      </c>
      <c r="P40" s="518" t="str">
        <f>IF($A40="","",CONCATENATE('[2]Aanvraag inhuur'!$C$18," ",'[2]Aanvraag inhuur'!$C$22))</f>
        <v/>
      </c>
      <c r="Q40" s="551"/>
      <c r="R40" s="518" t="str">
        <f>IF($A40="","",VLOOKUP(CONCATENATE('[2]Overzicht inhuurdesk'!$C$9,'[2]Overzicht inhuurdesk'!$C$10,$Q40),[2]Leveranciersnamen!A:K,11,FALSE))</f>
        <v/>
      </c>
      <c r="S40" s="551"/>
      <c r="T40" s="553" t="str">
        <f t="shared" si="13"/>
        <v/>
      </c>
      <c r="U40" s="553" t="str">
        <f t="shared" si="14"/>
        <v/>
      </c>
      <c r="V40" s="553" t="str">
        <f t="shared" si="15"/>
        <v/>
      </c>
      <c r="W40" s="553" t="str">
        <f t="shared" si="16"/>
        <v/>
      </c>
      <c r="X40" s="552" t="str">
        <f>IF($A40="","",'[2]Overzicht inhuurdesk'!$T$12)</f>
        <v/>
      </c>
      <c r="Y40" s="516" t="str">
        <f t="shared" si="17"/>
        <v/>
      </c>
      <c r="Z40" s="518" t="str">
        <f>IF($A40="","",'[2]Aanvraag inhuur'!$G$93)</f>
        <v/>
      </c>
      <c r="AA40" s="518" t="str">
        <f>IF($A40="","",'[2]Aanvraag inhuur'!$C$95)</f>
        <v/>
      </c>
      <c r="AB40" s="518" t="str">
        <f>IF($A40="","",'[2]Aanvraag inhuur'!$C$97)</f>
        <v/>
      </c>
      <c r="AC40" s="518" t="str">
        <f>IF($A40="","",'[2]Aanvraag inhuur'!$C$98)</f>
        <v/>
      </c>
      <c r="AD40" s="517" t="s">
        <v>1267</v>
      </c>
      <c r="AE40" s="551"/>
      <c r="AF40" s="518" t="str">
        <f t="shared" si="10"/>
        <v/>
      </c>
      <c r="AG40" s="518" t="str">
        <f>IF($A40="","",'[2]Overzicht inhuurdesk'!$I$12)</f>
        <v/>
      </c>
      <c r="AH40" s="550">
        <v>36</v>
      </c>
    </row>
    <row r="41" spans="1:34">
      <c r="A41" s="518" t="str">
        <f>IF(AND('[2]Overzicht inhuurdesk'!$I$1&gt;AH41,J41&lt;&gt;0),CONCATENATE(LEFT(A40,7),IF(RIGHT(A40,3)+1&lt;10,CONCATENATE("00",RIGHT(A40,3)+1),IF(RIGHT(A40,3)+1&lt;100,CONCATENATE("0",RIGHT(A40,3)+1),RIGHT(A40,3)+1))),"")</f>
        <v/>
      </c>
      <c r="B41" s="518" t="str">
        <f>IF(A41="","",VLOOKUP('[2]Overzicht inhuurdesk'!$C$9,'[2]Brongegevens tbv nokgenerator'!H$2:I$27,2,FALSE))</f>
        <v/>
      </c>
      <c r="C41" s="518" t="str">
        <f>IF(A41="","",VLOOKUP('[2]Overzicht inhuurdesk'!$C$10,'[2]Brongegevens tbv nokgenerator'!K$2:L$301,2,FALSE))</f>
        <v/>
      </c>
      <c r="D41" s="518" t="str">
        <f>IF($A41="","",VLOOKUP('[2]Overzicht inhuurdesk'!$C$7,'[2]Brongegevens tbv nokgenerator'!E$2:F$18,2,FALSE))</f>
        <v/>
      </c>
      <c r="E41" s="518" t="str">
        <f>IF($A41="","",VLOOKUP('[2]Overzicht inhuurdesk'!$C$6,'[2]Brongegevens tbv nokgenerator'!$C$2:$D$4,2,FALSE))</f>
        <v/>
      </c>
      <c r="F41" s="518" t="str">
        <f t="shared" si="11"/>
        <v/>
      </c>
      <c r="G41" s="552" t="str">
        <f t="shared" si="9"/>
        <v/>
      </c>
      <c r="H41" s="552" t="str">
        <f>IF($A41="","",TRUNC('[2]Overzicht inhuurdesk'!$T$8))</f>
        <v/>
      </c>
      <c r="I41" s="515" t="str">
        <f t="shared" si="12"/>
        <v/>
      </c>
      <c r="J41" s="551"/>
      <c r="K41" s="516"/>
      <c r="L41" s="516"/>
      <c r="M41" s="516"/>
      <c r="N41" s="516"/>
      <c r="O41" s="518" t="str">
        <f>IF($A41="","",'[2]Aanvraag inhuur'!$C$110)</f>
        <v/>
      </c>
      <c r="P41" s="518" t="str">
        <f>IF($A41="","",CONCATENATE('[2]Aanvraag inhuur'!$C$18," ",'[2]Aanvraag inhuur'!$C$22))</f>
        <v/>
      </c>
      <c r="Q41" s="551"/>
      <c r="R41" s="518" t="str">
        <f>IF($A41="","",VLOOKUP(CONCATENATE('[2]Overzicht inhuurdesk'!$C$9,'[2]Overzicht inhuurdesk'!$C$10,$Q41),[2]Leveranciersnamen!A:K,11,FALSE))</f>
        <v/>
      </c>
      <c r="S41" s="551"/>
      <c r="T41" s="553" t="str">
        <f t="shared" si="13"/>
        <v/>
      </c>
      <c r="U41" s="553" t="str">
        <f t="shared" si="14"/>
        <v/>
      </c>
      <c r="V41" s="553" t="str">
        <f t="shared" si="15"/>
        <v/>
      </c>
      <c r="W41" s="553" t="str">
        <f t="shared" si="16"/>
        <v/>
      </c>
      <c r="X41" s="552" t="str">
        <f>IF($A41="","",'[2]Overzicht inhuurdesk'!$T$12)</f>
        <v/>
      </c>
      <c r="Y41" s="516" t="str">
        <f t="shared" si="17"/>
        <v/>
      </c>
      <c r="Z41" s="518" t="str">
        <f>IF($A41="","",'[2]Aanvraag inhuur'!$G$93)</f>
        <v/>
      </c>
      <c r="AA41" s="518" t="str">
        <f>IF($A41="","",'[2]Aanvraag inhuur'!$C$95)</f>
        <v/>
      </c>
      <c r="AB41" s="518" t="str">
        <f>IF($A41="","",'[2]Aanvraag inhuur'!$C$97)</f>
        <v/>
      </c>
      <c r="AC41" s="518" t="str">
        <f>IF($A41="","",'[2]Aanvraag inhuur'!$C$98)</f>
        <v/>
      </c>
      <c r="AD41" s="517" t="s">
        <v>1267</v>
      </c>
      <c r="AE41" s="551"/>
      <c r="AF41" s="518" t="str">
        <f t="shared" si="10"/>
        <v/>
      </c>
      <c r="AG41" s="518" t="str">
        <f>IF($A41="","",'[2]Overzicht inhuurdesk'!$I$12)</f>
        <v/>
      </c>
      <c r="AH41" s="550">
        <v>37</v>
      </c>
    </row>
    <row r="42" spans="1:34">
      <c r="A42" s="518" t="str">
        <f>IF(AND('[2]Overzicht inhuurdesk'!$I$1&gt;AH42,J42&lt;&gt;0),CONCATENATE(LEFT(A41,7),IF(RIGHT(A41,3)+1&lt;10,CONCATENATE("00",RIGHT(A41,3)+1),IF(RIGHT(A41,3)+1&lt;100,CONCATENATE("0",RIGHT(A41,3)+1),RIGHT(A41,3)+1))),"")</f>
        <v/>
      </c>
      <c r="B42" s="518" t="str">
        <f>IF(A42="","",VLOOKUP('[2]Overzicht inhuurdesk'!$C$9,'[2]Brongegevens tbv nokgenerator'!H$2:I$27,2,FALSE))</f>
        <v/>
      </c>
      <c r="C42" s="518" t="str">
        <f>IF(A42="","",VLOOKUP('[2]Overzicht inhuurdesk'!$C$10,'[2]Brongegevens tbv nokgenerator'!K$2:L$301,2,FALSE))</f>
        <v/>
      </c>
      <c r="D42" s="518" t="str">
        <f>IF($A42="","",VLOOKUP('[2]Overzicht inhuurdesk'!$C$7,'[2]Brongegevens tbv nokgenerator'!E$2:F$18,2,FALSE))</f>
        <v/>
      </c>
      <c r="E42" s="518" t="str">
        <f>IF($A42="","",VLOOKUP('[2]Overzicht inhuurdesk'!$C$6,'[2]Brongegevens tbv nokgenerator'!$C$2:$D$4,2,FALSE))</f>
        <v/>
      </c>
      <c r="F42" s="518" t="str">
        <f t="shared" si="11"/>
        <v/>
      </c>
      <c r="G42" s="552" t="str">
        <f t="shared" si="9"/>
        <v/>
      </c>
      <c r="H42" s="552" t="str">
        <f>IF($A42="","",TRUNC('[2]Overzicht inhuurdesk'!$T$8))</f>
        <v/>
      </c>
      <c r="I42" s="515" t="str">
        <f t="shared" si="12"/>
        <v/>
      </c>
      <c r="J42" s="551"/>
      <c r="K42" s="516"/>
      <c r="L42" s="516"/>
      <c r="M42" s="516"/>
      <c r="N42" s="516"/>
      <c r="O42" s="518" t="str">
        <f>IF($A42="","",'[2]Aanvraag inhuur'!$C$110)</f>
        <v/>
      </c>
      <c r="P42" s="518" t="str">
        <f>IF($A42="","",CONCATENATE('[2]Aanvraag inhuur'!$C$18," ",'[2]Aanvraag inhuur'!$C$22))</f>
        <v/>
      </c>
      <c r="Q42" s="551"/>
      <c r="R42" s="518" t="str">
        <f>IF($A42="","",VLOOKUP(CONCATENATE('[2]Overzicht inhuurdesk'!$C$9,'[2]Overzicht inhuurdesk'!$C$10,$Q42),[2]Leveranciersnamen!A:K,11,FALSE))</f>
        <v/>
      </c>
      <c r="S42" s="551"/>
      <c r="T42" s="553" t="str">
        <f t="shared" si="13"/>
        <v/>
      </c>
      <c r="U42" s="553" t="str">
        <f t="shared" si="14"/>
        <v/>
      </c>
      <c r="V42" s="553" t="str">
        <f t="shared" si="15"/>
        <v/>
      </c>
      <c r="W42" s="553" t="str">
        <f t="shared" si="16"/>
        <v/>
      </c>
      <c r="X42" s="552" t="str">
        <f>IF($A42="","",'[2]Overzicht inhuurdesk'!$T$12)</f>
        <v/>
      </c>
      <c r="Y42" s="516" t="str">
        <f t="shared" si="17"/>
        <v/>
      </c>
      <c r="Z42" s="518" t="str">
        <f>IF($A42="","",'[2]Aanvraag inhuur'!$G$93)</f>
        <v/>
      </c>
      <c r="AA42" s="518" t="str">
        <f>IF($A42="","",'[2]Aanvraag inhuur'!$C$95)</f>
        <v/>
      </c>
      <c r="AB42" s="518" t="str">
        <f>IF($A42="","",'[2]Aanvraag inhuur'!$C$97)</f>
        <v/>
      </c>
      <c r="AC42" s="518" t="str">
        <f>IF($A42="","",'[2]Aanvraag inhuur'!$C$98)</f>
        <v/>
      </c>
      <c r="AD42" s="517" t="s">
        <v>1267</v>
      </c>
      <c r="AE42" s="551"/>
      <c r="AF42" s="518" t="str">
        <f t="shared" si="10"/>
        <v/>
      </c>
      <c r="AG42" s="518" t="str">
        <f>IF($A42="","",'[2]Overzicht inhuurdesk'!$I$12)</f>
        <v/>
      </c>
      <c r="AH42" s="550">
        <v>38</v>
      </c>
    </row>
    <row r="43" spans="1:34">
      <c r="A43" s="518" t="str">
        <f>IF(AND('[2]Overzicht inhuurdesk'!$I$1&gt;AH43,J43&lt;&gt;0),CONCATENATE(LEFT(A42,7),IF(RIGHT(A42,3)+1&lt;10,CONCATENATE("00",RIGHT(A42,3)+1),IF(RIGHT(A42,3)+1&lt;100,CONCATENATE("0",RIGHT(A42,3)+1),RIGHT(A42,3)+1))),"")</f>
        <v/>
      </c>
      <c r="B43" s="518" t="str">
        <f>IF(A43="","",VLOOKUP('[2]Overzicht inhuurdesk'!$C$9,'[2]Brongegevens tbv nokgenerator'!H$2:I$27,2,FALSE))</f>
        <v/>
      </c>
      <c r="C43" s="518" t="str">
        <f>IF(A43="","",VLOOKUP('[2]Overzicht inhuurdesk'!$C$10,'[2]Brongegevens tbv nokgenerator'!K$2:L$301,2,FALSE))</f>
        <v/>
      </c>
      <c r="D43" s="518" t="str">
        <f>IF($A43="","",VLOOKUP('[2]Overzicht inhuurdesk'!$C$7,'[2]Brongegevens tbv nokgenerator'!E$2:F$18,2,FALSE))</f>
        <v/>
      </c>
      <c r="E43" s="518" t="str">
        <f>IF($A43="","",VLOOKUP('[2]Overzicht inhuurdesk'!$C$6,'[2]Brongegevens tbv nokgenerator'!$C$2:$D$4,2,FALSE))</f>
        <v/>
      </c>
      <c r="F43" s="518" t="str">
        <f t="shared" si="11"/>
        <v/>
      </c>
      <c r="G43" s="552" t="str">
        <f t="shared" si="9"/>
        <v/>
      </c>
      <c r="H43" s="552" t="str">
        <f>IF($A43="","",TRUNC('[2]Overzicht inhuurdesk'!$T$8))</f>
        <v/>
      </c>
      <c r="I43" s="515" t="str">
        <f t="shared" si="12"/>
        <v/>
      </c>
      <c r="J43" s="551"/>
      <c r="K43" s="516"/>
      <c r="L43" s="516"/>
      <c r="M43" s="516"/>
      <c r="N43" s="516"/>
      <c r="O43" s="518" t="str">
        <f>IF($A43="","",'[2]Aanvraag inhuur'!$C$110)</f>
        <v/>
      </c>
      <c r="P43" s="518" t="str">
        <f>IF($A43="","",CONCATENATE('[2]Aanvraag inhuur'!$C$18," ",'[2]Aanvraag inhuur'!$C$22))</f>
        <v/>
      </c>
      <c r="Q43" s="551"/>
      <c r="R43" s="518" t="str">
        <f>IF($A43="","",VLOOKUP(CONCATENATE('[2]Overzicht inhuurdesk'!$C$9,'[2]Overzicht inhuurdesk'!$C$10,$Q43),[2]Leveranciersnamen!A:K,11,FALSE))</f>
        <v/>
      </c>
      <c r="S43" s="551"/>
      <c r="T43" s="553" t="str">
        <f t="shared" si="13"/>
        <v/>
      </c>
      <c r="U43" s="553" t="str">
        <f t="shared" si="14"/>
        <v/>
      </c>
      <c r="V43" s="553" t="str">
        <f t="shared" si="15"/>
        <v/>
      </c>
      <c r="W43" s="553" t="str">
        <f t="shared" si="16"/>
        <v/>
      </c>
      <c r="X43" s="552" t="str">
        <f>IF($A43="","",'[2]Overzicht inhuurdesk'!$T$12)</f>
        <v/>
      </c>
      <c r="Y43" s="516" t="str">
        <f t="shared" si="17"/>
        <v/>
      </c>
      <c r="Z43" s="518" t="str">
        <f>IF($A43="","",'[2]Aanvraag inhuur'!$G$93)</f>
        <v/>
      </c>
      <c r="AA43" s="518" t="str">
        <f>IF($A43="","",'[2]Aanvraag inhuur'!$C$95)</f>
        <v/>
      </c>
      <c r="AB43" s="518" t="str">
        <f>IF($A43="","",'[2]Aanvraag inhuur'!$C$97)</f>
        <v/>
      </c>
      <c r="AC43" s="518" t="str">
        <f>IF($A43="","",'[2]Aanvraag inhuur'!$C$98)</f>
        <v/>
      </c>
      <c r="AD43" s="517" t="s">
        <v>1267</v>
      </c>
      <c r="AE43" s="551"/>
      <c r="AF43" s="518" t="str">
        <f t="shared" si="10"/>
        <v/>
      </c>
      <c r="AG43" s="518" t="str">
        <f>IF($A43="","",'[2]Overzicht inhuurdesk'!$I$12)</f>
        <v/>
      </c>
      <c r="AH43" s="550">
        <v>39</v>
      </c>
    </row>
    <row r="44" spans="1:34">
      <c r="A44" s="518" t="str">
        <f>IF(AND('[2]Overzicht inhuurdesk'!$I$1&gt;AH44,J44&lt;&gt;0),CONCATENATE(LEFT(A43,7),IF(RIGHT(A43,3)+1&lt;10,CONCATENATE("00",RIGHT(A43,3)+1),IF(RIGHT(A43,3)+1&lt;100,CONCATENATE("0",RIGHT(A43,3)+1),RIGHT(A43,3)+1))),"")</f>
        <v/>
      </c>
      <c r="B44" s="518" t="str">
        <f>IF(A44="","",VLOOKUP('[2]Overzicht inhuurdesk'!$C$9,'[2]Brongegevens tbv nokgenerator'!H$2:I$27,2,FALSE))</f>
        <v/>
      </c>
      <c r="C44" s="518" t="str">
        <f>IF(A44="","",VLOOKUP('[2]Overzicht inhuurdesk'!$C$10,'[2]Brongegevens tbv nokgenerator'!K$2:L$301,2,FALSE))</f>
        <v/>
      </c>
      <c r="D44" s="518" t="str">
        <f>IF($A44="","",VLOOKUP('[2]Overzicht inhuurdesk'!$C$7,'[2]Brongegevens tbv nokgenerator'!E$2:F$18,2,FALSE))</f>
        <v/>
      </c>
      <c r="E44" s="518" t="str">
        <f>IF($A44="","",VLOOKUP('[2]Overzicht inhuurdesk'!$C$6,'[2]Brongegevens tbv nokgenerator'!$C$2:$D$4,2,FALSE))</f>
        <v/>
      </c>
      <c r="F44" s="518" t="str">
        <f t="shared" si="11"/>
        <v/>
      </c>
      <c r="G44" s="552" t="str">
        <f t="shared" si="9"/>
        <v/>
      </c>
      <c r="H44" s="552" t="str">
        <f>IF($A44="","",TRUNC('[2]Overzicht inhuurdesk'!$T$8))</f>
        <v/>
      </c>
      <c r="I44" s="515" t="str">
        <f t="shared" si="12"/>
        <v/>
      </c>
      <c r="J44" s="551"/>
      <c r="K44" s="516"/>
      <c r="L44" s="516"/>
      <c r="M44" s="516"/>
      <c r="N44" s="516"/>
      <c r="O44" s="518" t="str">
        <f>IF($A44="","",'[2]Aanvraag inhuur'!$C$110)</f>
        <v/>
      </c>
      <c r="P44" s="518" t="str">
        <f>IF($A44="","",CONCATENATE('[2]Aanvraag inhuur'!$C$18," ",'[2]Aanvraag inhuur'!$C$22))</f>
        <v/>
      </c>
      <c r="Q44" s="551"/>
      <c r="R44" s="518" t="str">
        <f>IF($A44="","",VLOOKUP(CONCATENATE('[2]Overzicht inhuurdesk'!$C$9,'[2]Overzicht inhuurdesk'!$C$10,$Q44),[2]Leveranciersnamen!A:K,11,FALSE))</f>
        <v/>
      </c>
      <c r="S44" s="551"/>
      <c r="T44" s="553" t="str">
        <f t="shared" si="13"/>
        <v/>
      </c>
      <c r="U44" s="553" t="str">
        <f t="shared" si="14"/>
        <v/>
      </c>
      <c r="V44" s="553" t="str">
        <f t="shared" si="15"/>
        <v/>
      </c>
      <c r="W44" s="553" t="str">
        <f t="shared" si="16"/>
        <v/>
      </c>
      <c r="X44" s="552" t="str">
        <f>IF($A44="","",'[2]Overzicht inhuurdesk'!$T$12)</f>
        <v/>
      </c>
      <c r="Y44" s="516" t="str">
        <f t="shared" si="17"/>
        <v/>
      </c>
      <c r="Z44" s="518" t="str">
        <f>IF($A44="","",'[2]Aanvraag inhuur'!$G$93)</f>
        <v/>
      </c>
      <c r="AA44" s="518" t="str">
        <f>IF($A44="","",'[2]Aanvraag inhuur'!$C$95)</f>
        <v/>
      </c>
      <c r="AB44" s="518" t="str">
        <f>IF($A44="","",'[2]Aanvraag inhuur'!$C$97)</f>
        <v/>
      </c>
      <c r="AC44" s="518" t="str">
        <f>IF($A44="","",'[2]Aanvraag inhuur'!$C$98)</f>
        <v/>
      </c>
      <c r="AD44" s="517" t="s">
        <v>1267</v>
      </c>
      <c r="AE44" s="551"/>
      <c r="AF44" s="518" t="str">
        <f t="shared" si="10"/>
        <v/>
      </c>
      <c r="AG44" s="518" t="str">
        <f>IF($A44="","",'[2]Overzicht inhuurdesk'!$I$12)</f>
        <v/>
      </c>
      <c r="AH44" s="550">
        <v>40</v>
      </c>
    </row>
    <row r="45" spans="1:34">
      <c r="A45" s="518" t="str">
        <f>IF(AND('[2]Overzicht inhuurdesk'!$I$1&gt;AH45,J45&lt;&gt;0),CONCATENATE(LEFT(A44,7),IF(RIGHT(A44,3)+1&lt;10,CONCATENATE("00",RIGHT(A44,3)+1),IF(RIGHT(A44,3)+1&lt;100,CONCATENATE("0",RIGHT(A44,3)+1),RIGHT(A44,3)+1))),"")</f>
        <v/>
      </c>
      <c r="B45" s="518" t="str">
        <f>IF(A45="","",VLOOKUP('[2]Overzicht inhuurdesk'!$C$9,'[2]Brongegevens tbv nokgenerator'!H$2:I$27,2,FALSE))</f>
        <v/>
      </c>
      <c r="C45" s="518" t="str">
        <f>IF(A45="","",VLOOKUP('[2]Overzicht inhuurdesk'!$C$10,'[2]Brongegevens tbv nokgenerator'!K$2:L$301,2,FALSE))</f>
        <v/>
      </c>
      <c r="D45" s="518" t="str">
        <f>IF($A45="","",VLOOKUP('[2]Overzicht inhuurdesk'!$C$7,'[2]Brongegevens tbv nokgenerator'!E$2:F$18,2,FALSE))</f>
        <v/>
      </c>
      <c r="E45" s="518" t="str">
        <f>IF($A45="","",VLOOKUP('[2]Overzicht inhuurdesk'!$C$6,'[2]Brongegevens tbv nokgenerator'!$C$2:$D$4,2,FALSE))</f>
        <v/>
      </c>
      <c r="F45" s="518" t="str">
        <f t="shared" si="11"/>
        <v/>
      </c>
      <c r="G45" s="552" t="str">
        <f t="shared" si="9"/>
        <v/>
      </c>
      <c r="H45" s="552" t="str">
        <f>IF($A45="","",TRUNC('[2]Overzicht inhuurdesk'!$T$8))</f>
        <v/>
      </c>
      <c r="I45" s="515" t="str">
        <f t="shared" si="12"/>
        <v/>
      </c>
      <c r="J45" s="551"/>
      <c r="K45" s="516"/>
      <c r="L45" s="516"/>
      <c r="M45" s="516"/>
      <c r="N45" s="516"/>
      <c r="O45" s="518" t="str">
        <f>IF($A45="","",'[2]Aanvraag inhuur'!$C$110)</f>
        <v/>
      </c>
      <c r="P45" s="518" t="str">
        <f>IF($A45="","",CONCATENATE('[2]Aanvraag inhuur'!$C$18," ",'[2]Aanvraag inhuur'!$C$22))</f>
        <v/>
      </c>
      <c r="Q45" s="551"/>
      <c r="R45" s="518" t="str">
        <f>IF($A45="","",VLOOKUP(CONCATENATE('[2]Overzicht inhuurdesk'!$C$9,'[2]Overzicht inhuurdesk'!$C$10,$Q45),[2]Leveranciersnamen!A:K,11,FALSE))</f>
        <v/>
      </c>
      <c r="S45" s="551"/>
      <c r="T45" s="553" t="str">
        <f t="shared" si="13"/>
        <v/>
      </c>
      <c r="U45" s="553" t="str">
        <f t="shared" si="14"/>
        <v/>
      </c>
      <c r="V45" s="553" t="str">
        <f t="shared" si="15"/>
        <v/>
      </c>
      <c r="W45" s="553" t="str">
        <f t="shared" si="16"/>
        <v/>
      </c>
      <c r="X45" s="552" t="str">
        <f>IF($A45="","",'[2]Overzicht inhuurdesk'!$T$12)</f>
        <v/>
      </c>
      <c r="Y45" s="516" t="str">
        <f t="shared" si="17"/>
        <v/>
      </c>
      <c r="Z45" s="518" t="str">
        <f>IF($A45="","",'[2]Aanvraag inhuur'!$G$93)</f>
        <v/>
      </c>
      <c r="AA45" s="518" t="str">
        <f>IF($A45="","",'[2]Aanvraag inhuur'!$C$95)</f>
        <v/>
      </c>
      <c r="AB45" s="518" t="str">
        <f>IF($A45="","",'[2]Aanvraag inhuur'!$C$97)</f>
        <v/>
      </c>
      <c r="AC45" s="518" t="str">
        <f>IF($A45="","",'[2]Aanvraag inhuur'!$C$98)</f>
        <v/>
      </c>
      <c r="AD45" s="517" t="s">
        <v>1267</v>
      </c>
      <c r="AE45" s="551"/>
      <c r="AF45" s="518" t="str">
        <f t="shared" si="10"/>
        <v/>
      </c>
      <c r="AG45" s="518" t="str">
        <f>IF($A45="","",'[2]Overzicht inhuurdesk'!$I$12)</f>
        <v/>
      </c>
      <c r="AH45" s="550">
        <v>41</v>
      </c>
    </row>
    <row r="46" spans="1:34">
      <c r="A46" s="518" t="str">
        <f>IF(AND('[2]Overzicht inhuurdesk'!$I$1&gt;AH46,J46&lt;&gt;0),CONCATENATE(LEFT(A45,7),IF(RIGHT(A45,3)+1&lt;10,CONCATENATE("00",RIGHT(A45,3)+1),IF(RIGHT(A45,3)+1&lt;100,CONCATENATE("0",RIGHT(A45,3)+1),RIGHT(A45,3)+1))),"")</f>
        <v/>
      </c>
      <c r="B46" s="518" t="str">
        <f>IF(A46="","",VLOOKUP('[2]Overzicht inhuurdesk'!$C$9,'[2]Brongegevens tbv nokgenerator'!H$2:I$27,2,FALSE))</f>
        <v/>
      </c>
      <c r="C46" s="518" t="str">
        <f>IF(A46="","",VLOOKUP('[2]Overzicht inhuurdesk'!$C$10,'[2]Brongegevens tbv nokgenerator'!K$2:L$301,2,FALSE))</f>
        <v/>
      </c>
      <c r="D46" s="518" t="str">
        <f>IF($A46="","",VLOOKUP('[2]Overzicht inhuurdesk'!$C$7,'[2]Brongegevens tbv nokgenerator'!E$2:F$18,2,FALSE))</f>
        <v/>
      </c>
      <c r="E46" s="518" t="str">
        <f>IF($A46="","",VLOOKUP('[2]Overzicht inhuurdesk'!$C$6,'[2]Brongegevens tbv nokgenerator'!$C$2:$D$4,2,FALSE))</f>
        <v/>
      </c>
      <c r="F46" s="518" t="str">
        <f t="shared" si="11"/>
        <v/>
      </c>
      <c r="G46" s="552" t="str">
        <f t="shared" si="9"/>
        <v/>
      </c>
      <c r="H46" s="552" t="str">
        <f>IF($A46="","",TRUNC('[2]Overzicht inhuurdesk'!$T$8))</f>
        <v/>
      </c>
      <c r="I46" s="515" t="str">
        <f t="shared" si="12"/>
        <v/>
      </c>
      <c r="J46" s="551"/>
      <c r="K46" s="516"/>
      <c r="L46" s="516"/>
      <c r="M46" s="516"/>
      <c r="N46" s="516"/>
      <c r="O46" s="518" t="str">
        <f>IF($A46="","",'[2]Aanvraag inhuur'!$C$110)</f>
        <v/>
      </c>
      <c r="P46" s="518" t="str">
        <f>IF($A46="","",CONCATENATE('[2]Aanvraag inhuur'!$C$18," ",'[2]Aanvraag inhuur'!$C$22))</f>
        <v/>
      </c>
      <c r="Q46" s="551"/>
      <c r="R46" s="518" t="str">
        <f>IF($A46="","",VLOOKUP(CONCATENATE('[2]Overzicht inhuurdesk'!$C$9,'[2]Overzicht inhuurdesk'!$C$10,$Q46),[2]Leveranciersnamen!A:K,11,FALSE))</f>
        <v/>
      </c>
      <c r="S46" s="551"/>
      <c r="T46" s="553" t="str">
        <f t="shared" si="13"/>
        <v/>
      </c>
      <c r="U46" s="553" t="str">
        <f t="shared" si="14"/>
        <v/>
      </c>
      <c r="V46" s="553" t="str">
        <f t="shared" si="15"/>
        <v/>
      </c>
      <c r="W46" s="553" t="str">
        <f t="shared" si="16"/>
        <v/>
      </c>
      <c r="X46" s="552" t="str">
        <f>IF($A46="","",'[2]Overzicht inhuurdesk'!$T$12)</f>
        <v/>
      </c>
      <c r="Y46" s="516" t="str">
        <f t="shared" si="17"/>
        <v/>
      </c>
      <c r="Z46" s="518" t="str">
        <f>IF($A46="","",'[2]Aanvraag inhuur'!$G$93)</f>
        <v/>
      </c>
      <c r="AA46" s="518" t="str">
        <f>IF($A46="","",'[2]Aanvraag inhuur'!$C$95)</f>
        <v/>
      </c>
      <c r="AB46" s="518" t="str">
        <f>IF($A46="","",'[2]Aanvraag inhuur'!$C$97)</f>
        <v/>
      </c>
      <c r="AC46" s="518" t="str">
        <f>IF($A46="","",'[2]Aanvraag inhuur'!$C$98)</f>
        <v/>
      </c>
      <c r="AD46" s="517" t="s">
        <v>1267</v>
      </c>
      <c r="AE46" s="551"/>
      <c r="AF46" s="518" t="str">
        <f t="shared" si="10"/>
        <v/>
      </c>
      <c r="AG46" s="518" t="str">
        <f>IF($A46="","",'[2]Overzicht inhuurdesk'!$I$12)</f>
        <v/>
      </c>
      <c r="AH46" s="550">
        <v>42</v>
      </c>
    </row>
    <row r="47" spans="1:34">
      <c r="A47" s="518" t="str">
        <f>IF(AND('[2]Overzicht inhuurdesk'!$I$1&gt;AH47,J47&lt;&gt;0),CONCATENATE(LEFT(A46,7),IF(RIGHT(A46,3)+1&lt;10,CONCATENATE("00",RIGHT(A46,3)+1),IF(RIGHT(A46,3)+1&lt;100,CONCATENATE("0",RIGHT(A46,3)+1),RIGHT(A46,3)+1))),"")</f>
        <v/>
      </c>
      <c r="B47" s="518" t="str">
        <f>IF(A47="","",VLOOKUP('[2]Overzicht inhuurdesk'!$C$9,'[2]Brongegevens tbv nokgenerator'!H$2:I$27,2,FALSE))</f>
        <v/>
      </c>
      <c r="C47" s="518" t="str">
        <f>IF(A47="","",VLOOKUP('[2]Overzicht inhuurdesk'!$C$10,'[2]Brongegevens tbv nokgenerator'!K$2:L$301,2,FALSE))</f>
        <v/>
      </c>
      <c r="D47" s="518" t="str">
        <f>IF($A47="","",VLOOKUP('[2]Overzicht inhuurdesk'!$C$7,'[2]Brongegevens tbv nokgenerator'!E$2:F$18,2,FALSE))</f>
        <v/>
      </c>
      <c r="E47" s="518" t="str">
        <f>IF($A47="","",VLOOKUP('[2]Overzicht inhuurdesk'!$C$6,'[2]Brongegevens tbv nokgenerator'!$C$2:$D$4,2,FALSE))</f>
        <v/>
      </c>
      <c r="F47" s="518" t="str">
        <f t="shared" si="11"/>
        <v/>
      </c>
      <c r="G47" s="552" t="str">
        <f t="shared" si="9"/>
        <v/>
      </c>
      <c r="H47" s="552" t="str">
        <f>IF($A47="","",TRUNC('[2]Overzicht inhuurdesk'!$T$8))</f>
        <v/>
      </c>
      <c r="I47" s="515" t="str">
        <f t="shared" si="12"/>
        <v/>
      </c>
      <c r="J47" s="551"/>
      <c r="K47" s="516"/>
      <c r="L47" s="516"/>
      <c r="M47" s="516"/>
      <c r="N47" s="516"/>
      <c r="O47" s="518" t="str">
        <f>IF($A47="","",'[2]Aanvraag inhuur'!$C$110)</f>
        <v/>
      </c>
      <c r="P47" s="518" t="str">
        <f>IF($A47="","",CONCATENATE('[2]Aanvraag inhuur'!$C$18," ",'[2]Aanvraag inhuur'!$C$22))</f>
        <v/>
      </c>
      <c r="Q47" s="551"/>
      <c r="R47" s="518" t="str">
        <f>IF($A47="","",VLOOKUP(CONCATENATE('[2]Overzicht inhuurdesk'!$C$9,'[2]Overzicht inhuurdesk'!$C$10,$Q47),[2]Leveranciersnamen!A:K,11,FALSE))</f>
        <v/>
      </c>
      <c r="S47" s="551"/>
      <c r="T47" s="553" t="str">
        <f t="shared" si="13"/>
        <v/>
      </c>
      <c r="U47" s="553" t="str">
        <f t="shared" si="14"/>
        <v/>
      </c>
      <c r="V47" s="553" t="str">
        <f t="shared" si="15"/>
        <v/>
      </c>
      <c r="W47" s="553" t="str">
        <f t="shared" si="16"/>
        <v/>
      </c>
      <c r="X47" s="552" t="str">
        <f>IF($A47="","",'[2]Overzicht inhuurdesk'!$T$12)</f>
        <v/>
      </c>
      <c r="Y47" s="516" t="str">
        <f t="shared" si="17"/>
        <v/>
      </c>
      <c r="Z47" s="518" t="str">
        <f>IF($A47="","",'[2]Aanvraag inhuur'!$G$93)</f>
        <v/>
      </c>
      <c r="AA47" s="518" t="str">
        <f>IF($A47="","",'[2]Aanvraag inhuur'!$C$95)</f>
        <v/>
      </c>
      <c r="AB47" s="518" t="str">
        <f>IF($A47="","",'[2]Aanvraag inhuur'!$C$97)</f>
        <v/>
      </c>
      <c r="AC47" s="518" t="str">
        <f>IF($A47="","",'[2]Aanvraag inhuur'!$C$98)</f>
        <v/>
      </c>
      <c r="AD47" s="517" t="s">
        <v>1267</v>
      </c>
      <c r="AE47" s="551"/>
      <c r="AF47" s="518" t="str">
        <f t="shared" si="10"/>
        <v/>
      </c>
      <c r="AG47" s="518" t="str">
        <f>IF($A47="","",'[2]Overzicht inhuurdesk'!$I$12)</f>
        <v/>
      </c>
      <c r="AH47" s="550">
        <v>43</v>
      </c>
    </row>
    <row r="48" spans="1:34">
      <c r="A48" s="518" t="str">
        <f>IF(AND('[2]Overzicht inhuurdesk'!$I$1&gt;AH48,J48&lt;&gt;0),CONCATENATE(LEFT(A47,7),IF(RIGHT(A47,3)+1&lt;10,CONCATENATE("00",RIGHT(A47,3)+1),IF(RIGHT(A47,3)+1&lt;100,CONCATENATE("0",RIGHT(A47,3)+1),RIGHT(A47,3)+1))),"")</f>
        <v/>
      </c>
      <c r="B48" s="518" t="str">
        <f>IF(A48="","",VLOOKUP('[2]Overzicht inhuurdesk'!$C$9,'[2]Brongegevens tbv nokgenerator'!H$2:I$27,2,FALSE))</f>
        <v/>
      </c>
      <c r="C48" s="518" t="str">
        <f>IF(A48="","",VLOOKUP('[2]Overzicht inhuurdesk'!$C$10,'[2]Brongegevens tbv nokgenerator'!K$2:L$301,2,FALSE))</f>
        <v/>
      </c>
      <c r="D48" s="518" t="str">
        <f>IF($A48="","",VLOOKUP('[2]Overzicht inhuurdesk'!$C$7,'[2]Brongegevens tbv nokgenerator'!E$2:F$18,2,FALSE))</f>
        <v/>
      </c>
      <c r="E48" s="518" t="str">
        <f>IF($A48="","",VLOOKUP('[2]Overzicht inhuurdesk'!$C$6,'[2]Brongegevens tbv nokgenerator'!$C$2:$D$4,2,FALSE))</f>
        <v/>
      </c>
      <c r="F48" s="518" t="str">
        <f t="shared" si="11"/>
        <v/>
      </c>
      <c r="G48" s="552" t="str">
        <f t="shared" si="9"/>
        <v/>
      </c>
      <c r="H48" s="552" t="str">
        <f>IF($A48="","",TRUNC('[2]Overzicht inhuurdesk'!$T$8))</f>
        <v/>
      </c>
      <c r="I48" s="515" t="str">
        <f t="shared" si="12"/>
        <v/>
      </c>
      <c r="J48" s="551"/>
      <c r="K48" s="516"/>
      <c r="L48" s="516"/>
      <c r="M48" s="516"/>
      <c r="N48" s="516"/>
      <c r="O48" s="518" t="str">
        <f>IF($A48="","",'[2]Aanvraag inhuur'!$C$110)</f>
        <v/>
      </c>
      <c r="P48" s="518" t="str">
        <f>IF($A48="","",CONCATENATE('[2]Aanvraag inhuur'!$C$18," ",'[2]Aanvraag inhuur'!$C$22))</f>
        <v/>
      </c>
      <c r="Q48" s="551"/>
      <c r="R48" s="518" t="str">
        <f>IF($A48="","",VLOOKUP(CONCATENATE('[2]Overzicht inhuurdesk'!$C$9,'[2]Overzicht inhuurdesk'!$C$10,$Q48),[2]Leveranciersnamen!A:K,11,FALSE))</f>
        <v/>
      </c>
      <c r="S48" s="551"/>
      <c r="T48" s="553" t="str">
        <f t="shared" si="13"/>
        <v/>
      </c>
      <c r="U48" s="553" t="str">
        <f t="shared" si="14"/>
        <v/>
      </c>
      <c r="V48" s="553" t="str">
        <f t="shared" si="15"/>
        <v/>
      </c>
      <c r="W48" s="553" t="str">
        <f t="shared" si="16"/>
        <v/>
      </c>
      <c r="X48" s="552" t="str">
        <f>IF($A48="","",'[2]Overzicht inhuurdesk'!$T$12)</f>
        <v/>
      </c>
      <c r="Y48" s="516" t="str">
        <f t="shared" si="17"/>
        <v/>
      </c>
      <c r="Z48" s="518" t="str">
        <f>IF($A48="","",'[2]Aanvraag inhuur'!$G$93)</f>
        <v/>
      </c>
      <c r="AA48" s="518" t="str">
        <f>IF($A48="","",'[2]Aanvraag inhuur'!$C$95)</f>
        <v/>
      </c>
      <c r="AB48" s="518" t="str">
        <f>IF($A48="","",'[2]Aanvraag inhuur'!$C$97)</f>
        <v/>
      </c>
      <c r="AC48" s="518" t="str">
        <f>IF($A48="","",'[2]Aanvraag inhuur'!$C$98)</f>
        <v/>
      </c>
      <c r="AD48" s="517" t="s">
        <v>1267</v>
      </c>
      <c r="AE48" s="551"/>
      <c r="AF48" s="518" t="str">
        <f t="shared" si="10"/>
        <v/>
      </c>
      <c r="AG48" s="518" t="str">
        <f>IF($A48="","",'[2]Overzicht inhuurdesk'!$I$12)</f>
        <v/>
      </c>
      <c r="AH48" s="550">
        <v>44</v>
      </c>
    </row>
    <row r="49" spans="1:34">
      <c r="A49" s="518" t="str">
        <f>IF(AND('[2]Overzicht inhuurdesk'!$I$1&gt;AH49,J49&lt;&gt;0),CONCATENATE(LEFT(A48,7),IF(RIGHT(A48,3)+1&lt;10,CONCATENATE("00",RIGHT(A48,3)+1),IF(RIGHT(A48,3)+1&lt;100,CONCATENATE("0",RIGHT(A48,3)+1),RIGHT(A48,3)+1))),"")</f>
        <v/>
      </c>
      <c r="B49" s="518" t="str">
        <f>IF(A49="","",VLOOKUP('[2]Overzicht inhuurdesk'!$C$9,'[2]Brongegevens tbv nokgenerator'!H$2:I$27,2,FALSE))</f>
        <v/>
      </c>
      <c r="C49" s="518" t="str">
        <f>IF(A49="","",VLOOKUP('[2]Overzicht inhuurdesk'!$C$10,'[2]Brongegevens tbv nokgenerator'!K$2:L$301,2,FALSE))</f>
        <v/>
      </c>
      <c r="D49" s="518" t="str">
        <f>IF($A49="","",VLOOKUP('[2]Overzicht inhuurdesk'!$C$7,'[2]Brongegevens tbv nokgenerator'!E$2:F$18,2,FALSE))</f>
        <v/>
      </c>
      <c r="E49" s="518" t="str">
        <f>IF($A49="","",VLOOKUP('[2]Overzicht inhuurdesk'!$C$6,'[2]Brongegevens tbv nokgenerator'!$C$2:$D$4,2,FALSE))</f>
        <v/>
      </c>
      <c r="F49" s="518" t="str">
        <f t="shared" si="11"/>
        <v/>
      </c>
      <c r="G49" s="552" t="str">
        <f t="shared" si="9"/>
        <v/>
      </c>
      <c r="H49" s="552" t="str">
        <f>IF($A49="","",TRUNC('[2]Overzicht inhuurdesk'!$T$8))</f>
        <v/>
      </c>
      <c r="I49" s="515" t="str">
        <f t="shared" si="12"/>
        <v/>
      </c>
      <c r="J49" s="551"/>
      <c r="K49" s="516"/>
      <c r="L49" s="516"/>
      <c r="M49" s="516"/>
      <c r="N49" s="516"/>
      <c r="O49" s="518" t="str">
        <f>IF($A49="","",'[2]Aanvraag inhuur'!$C$110)</f>
        <v/>
      </c>
      <c r="P49" s="518" t="str">
        <f>IF($A49="","",CONCATENATE('[2]Aanvraag inhuur'!$C$18," ",'[2]Aanvraag inhuur'!$C$22))</f>
        <v/>
      </c>
      <c r="Q49" s="551"/>
      <c r="R49" s="518" t="str">
        <f>IF($A49="","",VLOOKUP(CONCATENATE('[2]Overzicht inhuurdesk'!$C$9,'[2]Overzicht inhuurdesk'!$C$10,$Q49),[2]Leveranciersnamen!A:K,11,FALSE))</f>
        <v/>
      </c>
      <c r="S49" s="551"/>
      <c r="T49" s="553" t="str">
        <f t="shared" si="13"/>
        <v/>
      </c>
      <c r="U49" s="553" t="str">
        <f t="shared" si="14"/>
        <v/>
      </c>
      <c r="V49" s="553" t="str">
        <f t="shared" si="15"/>
        <v/>
      </c>
      <c r="W49" s="553" t="str">
        <f t="shared" si="16"/>
        <v/>
      </c>
      <c r="X49" s="552" t="str">
        <f>IF($A49="","",'[2]Overzicht inhuurdesk'!$T$12)</f>
        <v/>
      </c>
      <c r="Y49" s="516" t="str">
        <f t="shared" si="17"/>
        <v/>
      </c>
      <c r="Z49" s="518" t="str">
        <f>IF($A49="","",'[2]Aanvraag inhuur'!$G$93)</f>
        <v/>
      </c>
      <c r="AA49" s="518" t="str">
        <f>IF($A49="","",'[2]Aanvraag inhuur'!$C$95)</f>
        <v/>
      </c>
      <c r="AB49" s="518" t="str">
        <f>IF($A49="","",'[2]Aanvraag inhuur'!$C$97)</f>
        <v/>
      </c>
      <c r="AC49" s="518" t="str">
        <f>IF($A49="","",'[2]Aanvraag inhuur'!$C$98)</f>
        <v/>
      </c>
      <c r="AD49" s="517" t="s">
        <v>1267</v>
      </c>
      <c r="AE49" s="551"/>
      <c r="AF49" s="518" t="str">
        <f t="shared" si="10"/>
        <v/>
      </c>
      <c r="AG49" s="518" t="str">
        <f>IF($A49="","",'[2]Overzicht inhuurdesk'!$I$12)</f>
        <v/>
      </c>
      <c r="AH49" s="550">
        <v>45</v>
      </c>
    </row>
    <row r="50" spans="1:34">
      <c r="A50" s="518" t="str">
        <f>IF(AND('[2]Overzicht inhuurdesk'!$I$1&gt;AH50,J50&lt;&gt;0),CONCATENATE(LEFT(A49,7),IF(RIGHT(A49,3)+1&lt;10,CONCATENATE("00",RIGHT(A49,3)+1),IF(RIGHT(A49,3)+1&lt;100,CONCATENATE("0",RIGHT(A49,3)+1),RIGHT(A49,3)+1))),"")</f>
        <v/>
      </c>
      <c r="B50" s="518" t="str">
        <f>IF(A50="","",VLOOKUP('[2]Overzicht inhuurdesk'!$C$9,'[2]Brongegevens tbv nokgenerator'!H$2:I$27,2,FALSE))</f>
        <v/>
      </c>
      <c r="C50" s="518" t="str">
        <f>IF(A50="","",VLOOKUP('[2]Overzicht inhuurdesk'!$C$10,'[2]Brongegevens tbv nokgenerator'!K$2:L$301,2,FALSE))</f>
        <v/>
      </c>
      <c r="D50" s="518" t="str">
        <f>IF($A50="","",VLOOKUP('[2]Overzicht inhuurdesk'!$C$7,'[2]Brongegevens tbv nokgenerator'!E$2:F$18,2,FALSE))</f>
        <v/>
      </c>
      <c r="E50" s="518" t="str">
        <f>IF($A50="","",VLOOKUP('[2]Overzicht inhuurdesk'!$C$6,'[2]Brongegevens tbv nokgenerator'!$C$2:$D$4,2,FALSE))</f>
        <v/>
      </c>
      <c r="F50" s="518" t="str">
        <f t="shared" si="11"/>
        <v/>
      </c>
      <c r="G50" s="552" t="str">
        <f t="shared" si="9"/>
        <v/>
      </c>
      <c r="H50" s="552" t="str">
        <f>IF($A50="","",TRUNC('[2]Overzicht inhuurdesk'!$T$8))</f>
        <v/>
      </c>
      <c r="I50" s="515" t="str">
        <f t="shared" si="12"/>
        <v/>
      </c>
      <c r="J50" s="551"/>
      <c r="K50" s="516"/>
      <c r="L50" s="516"/>
      <c r="M50" s="516"/>
      <c r="N50" s="516"/>
      <c r="O50" s="518" t="str">
        <f>IF($A50="","",'[2]Aanvraag inhuur'!$C$110)</f>
        <v/>
      </c>
      <c r="P50" s="518" t="str">
        <f>IF($A50="","",CONCATENATE('[2]Aanvraag inhuur'!$C$18," ",'[2]Aanvraag inhuur'!$C$22))</f>
        <v/>
      </c>
      <c r="Q50" s="551"/>
      <c r="R50" s="518" t="str">
        <f>IF($A50="","",VLOOKUP(CONCATENATE('[2]Overzicht inhuurdesk'!$C$9,'[2]Overzicht inhuurdesk'!$C$10,$Q50),[2]Leveranciersnamen!A:K,11,FALSE))</f>
        <v/>
      </c>
      <c r="S50" s="551"/>
      <c r="T50" s="553" t="str">
        <f t="shared" si="13"/>
        <v/>
      </c>
      <c r="U50" s="553" t="str">
        <f t="shared" si="14"/>
        <v/>
      </c>
      <c r="V50" s="553" t="str">
        <f t="shared" si="15"/>
        <v/>
      </c>
      <c r="W50" s="553" t="str">
        <f t="shared" si="16"/>
        <v/>
      </c>
      <c r="X50" s="552" t="str">
        <f>IF($A50="","",'[2]Overzicht inhuurdesk'!$T$12)</f>
        <v/>
      </c>
      <c r="Y50" s="516" t="str">
        <f t="shared" si="17"/>
        <v/>
      </c>
      <c r="Z50" s="518" t="str">
        <f>IF($A50="","",'[2]Aanvraag inhuur'!$G$93)</f>
        <v/>
      </c>
      <c r="AA50" s="518" t="str">
        <f>IF($A50="","",'[2]Aanvraag inhuur'!$C$95)</f>
        <v/>
      </c>
      <c r="AB50" s="518" t="str">
        <f>IF($A50="","",'[2]Aanvraag inhuur'!$C$97)</f>
        <v/>
      </c>
      <c r="AC50" s="518" t="str">
        <f>IF($A50="","",'[2]Aanvraag inhuur'!$C$98)</f>
        <v/>
      </c>
      <c r="AD50" s="517" t="s">
        <v>1267</v>
      </c>
      <c r="AE50" s="551"/>
      <c r="AF50" s="518" t="str">
        <f t="shared" si="10"/>
        <v/>
      </c>
      <c r="AG50" s="518" t="str">
        <f>IF($A50="","",'[2]Overzicht inhuurdesk'!$I$12)</f>
        <v/>
      </c>
      <c r="AH50" s="550">
        <v>46</v>
      </c>
    </row>
    <row r="51" spans="1:34">
      <c r="A51" s="518" t="str">
        <f>IF(AND('[2]Overzicht inhuurdesk'!$I$1&gt;AH51,J51&lt;&gt;0),CONCATENATE(LEFT(A50,7),IF(RIGHT(A50,3)+1&lt;10,CONCATENATE("00",RIGHT(A50,3)+1),IF(RIGHT(A50,3)+1&lt;100,CONCATENATE("0",RIGHT(A50,3)+1),RIGHT(A50,3)+1))),"")</f>
        <v/>
      </c>
      <c r="B51" s="518" t="str">
        <f>IF(A51="","",VLOOKUP('[2]Overzicht inhuurdesk'!$C$9,'[2]Brongegevens tbv nokgenerator'!H$2:I$27,2,FALSE))</f>
        <v/>
      </c>
      <c r="C51" s="518" t="str">
        <f>IF(A51="","",VLOOKUP('[2]Overzicht inhuurdesk'!$C$10,'[2]Brongegevens tbv nokgenerator'!K$2:L$301,2,FALSE))</f>
        <v/>
      </c>
      <c r="D51" s="518" t="str">
        <f>IF($A51="","",VLOOKUP('[2]Overzicht inhuurdesk'!$C$7,'[2]Brongegevens tbv nokgenerator'!E$2:F$18,2,FALSE))</f>
        <v/>
      </c>
      <c r="E51" s="518" t="str">
        <f>IF($A51="","",VLOOKUP('[2]Overzicht inhuurdesk'!$C$6,'[2]Brongegevens tbv nokgenerator'!$C$2:$D$4,2,FALSE))</f>
        <v/>
      </c>
      <c r="F51" s="518" t="str">
        <f t="shared" si="11"/>
        <v/>
      </c>
      <c r="G51" s="552" t="str">
        <f t="shared" si="9"/>
        <v/>
      </c>
      <c r="H51" s="552" t="str">
        <f>IF($A51="","",TRUNC('[2]Overzicht inhuurdesk'!$T$8))</f>
        <v/>
      </c>
      <c r="I51" s="515" t="str">
        <f t="shared" si="12"/>
        <v/>
      </c>
      <c r="J51" s="551"/>
      <c r="K51" s="516"/>
      <c r="L51" s="516"/>
      <c r="M51" s="516"/>
      <c r="N51" s="516"/>
      <c r="O51" s="518" t="str">
        <f>IF($A51="","",'[2]Aanvraag inhuur'!$C$110)</f>
        <v/>
      </c>
      <c r="P51" s="518" t="str">
        <f>IF($A51="","",CONCATENATE('[2]Aanvraag inhuur'!$C$18," ",'[2]Aanvraag inhuur'!$C$22))</f>
        <v/>
      </c>
      <c r="Q51" s="551"/>
      <c r="R51" s="518" t="str">
        <f>IF($A51="","",VLOOKUP(CONCATENATE('[2]Overzicht inhuurdesk'!$C$9,'[2]Overzicht inhuurdesk'!$C$10,$Q51),[2]Leveranciersnamen!A:K,11,FALSE))</f>
        <v/>
      </c>
      <c r="S51" s="551"/>
      <c r="T51" s="553" t="str">
        <f t="shared" si="13"/>
        <v/>
      </c>
      <c r="U51" s="553" t="str">
        <f t="shared" si="14"/>
        <v/>
      </c>
      <c r="V51" s="553" t="str">
        <f t="shared" si="15"/>
        <v/>
      </c>
      <c r="W51" s="553" t="str">
        <f t="shared" si="16"/>
        <v/>
      </c>
      <c r="X51" s="552" t="str">
        <f>IF($A51="","",'[2]Overzicht inhuurdesk'!$T$12)</f>
        <v/>
      </c>
      <c r="Y51" s="516" t="str">
        <f t="shared" si="17"/>
        <v/>
      </c>
      <c r="Z51" s="518" t="str">
        <f>IF($A51="","",'[2]Aanvraag inhuur'!$G$93)</f>
        <v/>
      </c>
      <c r="AA51" s="518" t="str">
        <f>IF($A51="","",'[2]Aanvraag inhuur'!$C$95)</f>
        <v/>
      </c>
      <c r="AB51" s="518" t="str">
        <f>IF($A51="","",'[2]Aanvraag inhuur'!$C$97)</f>
        <v/>
      </c>
      <c r="AC51" s="518" t="str">
        <f>IF($A51="","",'[2]Aanvraag inhuur'!$C$98)</f>
        <v/>
      </c>
      <c r="AD51" s="517" t="s">
        <v>1267</v>
      </c>
      <c r="AE51" s="551"/>
      <c r="AF51" s="518" t="str">
        <f t="shared" si="10"/>
        <v/>
      </c>
      <c r="AG51" s="518" t="str">
        <f>IF($A51="","",'[2]Overzicht inhuurdesk'!$I$12)</f>
        <v/>
      </c>
      <c r="AH51" s="550">
        <v>47</v>
      </c>
    </row>
    <row r="52" spans="1:34">
      <c r="A52" s="518" t="str">
        <f>IF(AND('[2]Overzicht inhuurdesk'!$I$1&gt;AH52,J52&lt;&gt;0),CONCATENATE(LEFT(A51,7),IF(RIGHT(A51,3)+1&lt;10,CONCATENATE("00",RIGHT(A51,3)+1),IF(RIGHT(A51,3)+1&lt;100,CONCATENATE("0",RIGHT(A51,3)+1),RIGHT(A51,3)+1))),"")</f>
        <v/>
      </c>
      <c r="B52" s="518" t="str">
        <f>IF(A52="","",VLOOKUP('[2]Overzicht inhuurdesk'!$C$9,'[2]Brongegevens tbv nokgenerator'!H$2:I$27,2,FALSE))</f>
        <v/>
      </c>
      <c r="C52" s="518" t="str">
        <f>IF(A52="","",VLOOKUP('[2]Overzicht inhuurdesk'!$C$10,'[2]Brongegevens tbv nokgenerator'!K$2:L$301,2,FALSE))</f>
        <v/>
      </c>
      <c r="D52" s="518" t="str">
        <f>IF($A52="","",VLOOKUP('[2]Overzicht inhuurdesk'!$C$7,'[2]Brongegevens tbv nokgenerator'!E$2:F$18,2,FALSE))</f>
        <v/>
      </c>
      <c r="E52" s="518" t="str">
        <f>IF($A52="","",VLOOKUP('[2]Overzicht inhuurdesk'!$C$6,'[2]Brongegevens tbv nokgenerator'!$C$2:$D$4,2,FALSE))</f>
        <v/>
      </c>
      <c r="F52" s="518" t="str">
        <f t="shared" si="11"/>
        <v/>
      </c>
      <c r="G52" s="552" t="str">
        <f t="shared" si="9"/>
        <v/>
      </c>
      <c r="H52" s="552" t="str">
        <f>IF($A52="","",TRUNC('[2]Overzicht inhuurdesk'!$T$8))</f>
        <v/>
      </c>
      <c r="I52" s="515" t="str">
        <f t="shared" si="12"/>
        <v/>
      </c>
      <c r="J52" s="551"/>
      <c r="K52" s="516"/>
      <c r="L52" s="516"/>
      <c r="M52" s="516"/>
      <c r="N52" s="516"/>
      <c r="O52" s="518" t="str">
        <f>IF($A52="","",'[2]Aanvraag inhuur'!$C$110)</f>
        <v/>
      </c>
      <c r="P52" s="518" t="str">
        <f>IF($A52="","",CONCATENATE('[2]Aanvraag inhuur'!$C$18," ",'[2]Aanvraag inhuur'!$C$22))</f>
        <v/>
      </c>
      <c r="Q52" s="551"/>
      <c r="R52" s="518" t="str">
        <f>IF($A52="","",VLOOKUP(CONCATENATE('[2]Overzicht inhuurdesk'!$C$9,'[2]Overzicht inhuurdesk'!$C$10,$Q52),[2]Leveranciersnamen!A:K,11,FALSE))</f>
        <v/>
      </c>
      <c r="S52" s="551"/>
      <c r="T52" s="553" t="str">
        <f t="shared" si="13"/>
        <v/>
      </c>
      <c r="U52" s="553" t="str">
        <f t="shared" si="14"/>
        <v/>
      </c>
      <c r="V52" s="553" t="str">
        <f t="shared" si="15"/>
        <v/>
      </c>
      <c r="W52" s="553" t="str">
        <f t="shared" si="16"/>
        <v/>
      </c>
      <c r="X52" s="552" t="str">
        <f>IF($A52="","",'[2]Overzicht inhuurdesk'!$T$12)</f>
        <v/>
      </c>
      <c r="Y52" s="516" t="str">
        <f t="shared" si="17"/>
        <v/>
      </c>
      <c r="Z52" s="518" t="str">
        <f>IF($A52="","",'[2]Aanvraag inhuur'!$G$93)</f>
        <v/>
      </c>
      <c r="AA52" s="518" t="str">
        <f>IF($A52="","",'[2]Aanvraag inhuur'!$C$95)</f>
        <v/>
      </c>
      <c r="AB52" s="518" t="str">
        <f>IF($A52="","",'[2]Aanvraag inhuur'!$C$97)</f>
        <v/>
      </c>
      <c r="AC52" s="518" t="str">
        <f>IF($A52="","",'[2]Aanvraag inhuur'!$C$98)</f>
        <v/>
      </c>
      <c r="AD52" s="517" t="s">
        <v>1267</v>
      </c>
      <c r="AE52" s="551"/>
      <c r="AF52" s="518" t="str">
        <f t="shared" si="10"/>
        <v/>
      </c>
      <c r="AG52" s="518" t="str">
        <f>IF($A52="","",'[2]Overzicht inhuurdesk'!$I$12)</f>
        <v/>
      </c>
      <c r="AH52" s="550">
        <v>48</v>
      </c>
    </row>
    <row r="53" spans="1:34">
      <c r="A53" s="518" t="str">
        <f>IF(AND('[2]Overzicht inhuurdesk'!$I$1&gt;AH53,J53&lt;&gt;0),CONCATENATE(LEFT(A52,7),IF(RIGHT(A52,3)+1&lt;10,CONCATENATE("00",RIGHT(A52,3)+1),IF(RIGHT(A52,3)+1&lt;100,CONCATENATE("0",RIGHT(A52,3)+1),RIGHT(A52,3)+1))),"")</f>
        <v/>
      </c>
      <c r="B53" s="518" t="str">
        <f>IF(A53="","",VLOOKUP('[2]Overzicht inhuurdesk'!$C$9,'[2]Brongegevens tbv nokgenerator'!H$2:I$27,2,FALSE))</f>
        <v/>
      </c>
      <c r="C53" s="518" t="str">
        <f>IF(A53="","",VLOOKUP('[2]Overzicht inhuurdesk'!$C$10,'[2]Brongegevens tbv nokgenerator'!K$2:L$301,2,FALSE))</f>
        <v/>
      </c>
      <c r="D53" s="518" t="str">
        <f>IF($A53="","",VLOOKUP('[2]Overzicht inhuurdesk'!$C$7,'[2]Brongegevens tbv nokgenerator'!E$2:F$18,2,FALSE))</f>
        <v/>
      </c>
      <c r="E53" s="518" t="str">
        <f>IF($A53="","",VLOOKUP('[2]Overzicht inhuurdesk'!$C$6,'[2]Brongegevens tbv nokgenerator'!$C$2:$D$4,2,FALSE))</f>
        <v/>
      </c>
      <c r="F53" s="518" t="str">
        <f t="shared" si="11"/>
        <v/>
      </c>
      <c r="G53" s="552" t="str">
        <f t="shared" si="9"/>
        <v/>
      </c>
      <c r="H53" s="552" t="str">
        <f>IF($A53="","",TRUNC('[2]Overzicht inhuurdesk'!$T$8))</f>
        <v/>
      </c>
      <c r="I53" s="515" t="str">
        <f t="shared" si="12"/>
        <v/>
      </c>
      <c r="J53" s="551"/>
      <c r="K53" s="516"/>
      <c r="L53" s="516"/>
      <c r="M53" s="516"/>
      <c r="N53" s="516"/>
      <c r="O53" s="518" t="str">
        <f>IF($A53="","",'[2]Aanvraag inhuur'!$C$110)</f>
        <v/>
      </c>
      <c r="P53" s="518" t="str">
        <f>IF($A53="","",CONCATENATE('[2]Aanvraag inhuur'!$C$18," ",'[2]Aanvraag inhuur'!$C$22))</f>
        <v/>
      </c>
      <c r="Q53" s="551"/>
      <c r="R53" s="518" t="str">
        <f>IF($A53="","",VLOOKUP(CONCATENATE('[2]Overzicht inhuurdesk'!$C$9,'[2]Overzicht inhuurdesk'!$C$10,$Q53),[2]Leveranciersnamen!A:K,11,FALSE))</f>
        <v/>
      </c>
      <c r="S53" s="551"/>
      <c r="T53" s="553" t="str">
        <f t="shared" si="13"/>
        <v/>
      </c>
      <c r="U53" s="553" t="str">
        <f t="shared" si="14"/>
        <v/>
      </c>
      <c r="V53" s="553" t="str">
        <f t="shared" si="15"/>
        <v/>
      </c>
      <c r="W53" s="553" t="str">
        <f t="shared" si="16"/>
        <v/>
      </c>
      <c r="X53" s="552" t="str">
        <f>IF($A53="","",'[2]Overzicht inhuurdesk'!$T$12)</f>
        <v/>
      </c>
      <c r="Y53" s="516" t="str">
        <f t="shared" si="17"/>
        <v/>
      </c>
      <c r="Z53" s="518" t="str">
        <f>IF($A53="","",'[2]Aanvraag inhuur'!$G$93)</f>
        <v/>
      </c>
      <c r="AA53" s="518" t="str">
        <f>IF($A53="","",'[2]Aanvraag inhuur'!$C$95)</f>
        <v/>
      </c>
      <c r="AB53" s="518" t="str">
        <f>IF($A53="","",'[2]Aanvraag inhuur'!$C$97)</f>
        <v/>
      </c>
      <c r="AC53" s="518" t="str">
        <f>IF($A53="","",'[2]Aanvraag inhuur'!$C$98)</f>
        <v/>
      </c>
      <c r="AD53" s="517" t="s">
        <v>1267</v>
      </c>
      <c r="AE53" s="551"/>
      <c r="AF53" s="518" t="str">
        <f t="shared" si="10"/>
        <v/>
      </c>
      <c r="AG53" s="518" t="str">
        <f>IF($A53="","",'[2]Overzicht inhuurdesk'!$I$12)</f>
        <v/>
      </c>
      <c r="AH53" s="550">
        <v>49</v>
      </c>
    </row>
    <row r="54" spans="1:34">
      <c r="A54" s="518" t="str">
        <f>IF(AND('[2]Overzicht inhuurdesk'!$I$1&gt;AH54,J54&lt;&gt;0),CONCATENATE(LEFT(A53,7),IF(RIGHT(A53,3)+1&lt;10,CONCATENATE("00",RIGHT(A53,3)+1),IF(RIGHT(A53,3)+1&lt;100,CONCATENATE("0",RIGHT(A53,3)+1),RIGHT(A53,3)+1))),"")</f>
        <v/>
      </c>
      <c r="B54" s="518" t="str">
        <f>IF(A54="","",VLOOKUP('[2]Overzicht inhuurdesk'!$C$9,'[2]Brongegevens tbv nokgenerator'!H$2:I$27,2,FALSE))</f>
        <v/>
      </c>
      <c r="C54" s="518" t="str">
        <f>IF(A54="","",VLOOKUP('[2]Overzicht inhuurdesk'!$C$10,'[2]Brongegevens tbv nokgenerator'!K$2:L$301,2,FALSE))</f>
        <v/>
      </c>
      <c r="D54" s="518" t="str">
        <f>IF($A54="","",VLOOKUP('[2]Overzicht inhuurdesk'!$C$7,'[2]Brongegevens tbv nokgenerator'!E$2:F$18,2,FALSE))</f>
        <v/>
      </c>
      <c r="E54" s="518" t="str">
        <f>IF($A54="","",VLOOKUP('[2]Overzicht inhuurdesk'!$C$6,'[2]Brongegevens tbv nokgenerator'!$C$2:$D$4,2,FALSE))</f>
        <v/>
      </c>
      <c r="F54" s="518" t="str">
        <f t="shared" si="11"/>
        <v/>
      </c>
      <c r="G54" s="552" t="str">
        <f t="shared" si="9"/>
        <v/>
      </c>
      <c r="H54" s="552" t="str">
        <f>IF($A54="","",TRUNC('[2]Overzicht inhuurdesk'!$T$8))</f>
        <v/>
      </c>
      <c r="I54" s="515" t="str">
        <f t="shared" si="12"/>
        <v/>
      </c>
      <c r="J54" s="551"/>
      <c r="K54" s="516"/>
      <c r="L54" s="516"/>
      <c r="M54" s="516"/>
      <c r="N54" s="516"/>
      <c r="O54" s="518" t="str">
        <f>IF($A54="","",'[2]Aanvraag inhuur'!$C$110)</f>
        <v/>
      </c>
      <c r="P54" s="518" t="str">
        <f>IF($A54="","",CONCATENATE('[2]Aanvraag inhuur'!$C$18," ",'[2]Aanvraag inhuur'!$C$22))</f>
        <v/>
      </c>
      <c r="Q54" s="551"/>
      <c r="R54" s="518" t="str">
        <f>IF($A54="","",VLOOKUP(CONCATENATE('[2]Overzicht inhuurdesk'!$C$9,'[2]Overzicht inhuurdesk'!$C$10,$Q54),[2]Leveranciersnamen!A:K,11,FALSE))</f>
        <v/>
      </c>
      <c r="S54" s="551"/>
      <c r="T54" s="553" t="str">
        <f t="shared" si="13"/>
        <v/>
      </c>
      <c r="U54" s="553" t="str">
        <f t="shared" si="14"/>
        <v/>
      </c>
      <c r="V54" s="553" t="str">
        <f t="shared" si="15"/>
        <v/>
      </c>
      <c r="W54" s="553" t="str">
        <f t="shared" si="16"/>
        <v/>
      </c>
      <c r="X54" s="552" t="str">
        <f>IF($A54="","",'[2]Overzicht inhuurdesk'!$T$12)</f>
        <v/>
      </c>
      <c r="Y54" s="516" t="str">
        <f t="shared" si="17"/>
        <v/>
      </c>
      <c r="Z54" s="518" t="str">
        <f>IF($A54="","",'[2]Aanvraag inhuur'!$G$93)</f>
        <v/>
      </c>
      <c r="AA54" s="518" t="str">
        <f>IF($A54="","",'[2]Aanvraag inhuur'!$C$95)</f>
        <v/>
      </c>
      <c r="AB54" s="518" t="str">
        <f>IF($A54="","",'[2]Aanvraag inhuur'!$C$97)</f>
        <v/>
      </c>
      <c r="AC54" s="518" t="str">
        <f>IF($A54="","",'[2]Aanvraag inhuur'!$C$98)</f>
        <v/>
      </c>
      <c r="AD54" s="517" t="s">
        <v>1267</v>
      </c>
      <c r="AE54" s="551"/>
      <c r="AF54" s="518" t="str">
        <f t="shared" si="10"/>
        <v/>
      </c>
      <c r="AG54" s="518" t="str">
        <f>IF($A54="","",'[2]Overzicht inhuurdesk'!$I$12)</f>
        <v/>
      </c>
      <c r="AH54" s="550">
        <v>50</v>
      </c>
    </row>
    <row r="55" spans="1:34">
      <c r="A55" s="518" t="str">
        <f>IF(AND('[2]Overzicht inhuurdesk'!$I$1&gt;AH55,J55&lt;&gt;0),CONCATENATE(LEFT(A54,7),IF(RIGHT(A54,3)+1&lt;10,CONCATENATE("00",RIGHT(A54,3)+1),IF(RIGHT(A54,3)+1&lt;100,CONCATENATE("0",RIGHT(A54,3)+1),RIGHT(A54,3)+1))),"")</f>
        <v/>
      </c>
      <c r="B55" s="518" t="str">
        <f>IF(A55="","",VLOOKUP('[2]Overzicht inhuurdesk'!$C$9,'[2]Brongegevens tbv nokgenerator'!H$2:I$27,2,FALSE))</f>
        <v/>
      </c>
      <c r="C55" s="518" t="str">
        <f>IF(A55="","",VLOOKUP('[2]Overzicht inhuurdesk'!$C$10,'[2]Brongegevens tbv nokgenerator'!K$2:L$301,2,FALSE))</f>
        <v/>
      </c>
      <c r="D55" s="518" t="str">
        <f>IF($A55="","",VLOOKUP('[2]Overzicht inhuurdesk'!$C$7,'[2]Brongegevens tbv nokgenerator'!E$2:F$18,2,FALSE))</f>
        <v/>
      </c>
      <c r="E55" s="518" t="str">
        <f>IF($A55="","",VLOOKUP('[2]Overzicht inhuurdesk'!$C$6,'[2]Brongegevens tbv nokgenerator'!$C$2:$D$4,2,FALSE))</f>
        <v/>
      </c>
      <c r="F55" s="518" t="str">
        <f t="shared" si="11"/>
        <v/>
      </c>
      <c r="G55" s="552" t="str">
        <f t="shared" si="9"/>
        <v/>
      </c>
      <c r="H55" s="552" t="str">
        <f>IF($A55="","",TRUNC('[2]Overzicht inhuurdesk'!$T$8))</f>
        <v/>
      </c>
      <c r="I55" s="515" t="str">
        <f t="shared" si="12"/>
        <v/>
      </c>
      <c r="J55" s="551"/>
      <c r="K55" s="516"/>
      <c r="L55" s="516"/>
      <c r="M55" s="516"/>
      <c r="N55" s="516"/>
      <c r="O55" s="518" t="str">
        <f>IF($A55="","",'[2]Aanvraag inhuur'!$C$110)</f>
        <v/>
      </c>
      <c r="P55" s="518" t="str">
        <f>IF($A55="","",CONCATENATE('[2]Aanvraag inhuur'!$C$18," ",'[2]Aanvraag inhuur'!$C$22))</f>
        <v/>
      </c>
      <c r="Q55" s="551"/>
      <c r="R55" s="518" t="str">
        <f>IF($A55="","",VLOOKUP(CONCATENATE('[2]Overzicht inhuurdesk'!$C$9,'[2]Overzicht inhuurdesk'!$C$10,$Q55),[2]Leveranciersnamen!A:K,11,FALSE))</f>
        <v/>
      </c>
      <c r="S55" s="551"/>
      <c r="T55" s="553" t="str">
        <f t="shared" si="13"/>
        <v/>
      </c>
      <c r="U55" s="553" t="str">
        <f t="shared" si="14"/>
        <v/>
      </c>
      <c r="V55" s="553" t="str">
        <f t="shared" si="15"/>
        <v/>
      </c>
      <c r="W55" s="553" t="str">
        <f t="shared" si="16"/>
        <v/>
      </c>
      <c r="X55" s="552" t="str">
        <f>IF($A55="","",'[2]Overzicht inhuurdesk'!$T$12)</f>
        <v/>
      </c>
      <c r="Y55" s="516" t="str">
        <f t="shared" si="17"/>
        <v/>
      </c>
      <c r="Z55" s="518" t="str">
        <f>IF($A55="","",'[2]Aanvraag inhuur'!$G$93)</f>
        <v/>
      </c>
      <c r="AA55" s="518" t="str">
        <f>IF($A55="","",'[2]Aanvraag inhuur'!$C$95)</f>
        <v/>
      </c>
      <c r="AB55" s="518" t="str">
        <f>IF($A55="","",'[2]Aanvraag inhuur'!$C$97)</f>
        <v/>
      </c>
      <c r="AC55" s="518" t="str">
        <f>IF($A55="","",'[2]Aanvraag inhuur'!$C$98)</f>
        <v/>
      </c>
      <c r="AD55" s="517" t="s">
        <v>1267</v>
      </c>
      <c r="AE55" s="551"/>
      <c r="AF55" s="518" t="str">
        <f t="shared" si="10"/>
        <v/>
      </c>
      <c r="AG55" s="518" t="str">
        <f>IF($A55="","",'[2]Overzicht inhuurdesk'!$I$12)</f>
        <v/>
      </c>
      <c r="AH55" s="550">
        <v>51</v>
      </c>
    </row>
    <row r="56" spans="1:34">
      <c r="A56" s="518" t="str">
        <f>IF(AND('[2]Overzicht inhuurdesk'!$I$1&gt;AH56,J56&lt;&gt;0),CONCATENATE(LEFT(A55,7),IF(RIGHT(A55,3)+1&lt;10,CONCATENATE("00",RIGHT(A55,3)+1),IF(RIGHT(A55,3)+1&lt;100,CONCATENATE("0",RIGHT(A55,3)+1),RIGHT(A55,3)+1))),"")</f>
        <v/>
      </c>
      <c r="B56" s="518" t="str">
        <f>IF(A56="","",VLOOKUP('[2]Overzicht inhuurdesk'!$C$9,'[2]Brongegevens tbv nokgenerator'!H$2:I$27,2,FALSE))</f>
        <v/>
      </c>
      <c r="C56" s="518" t="str">
        <f>IF(A56="","",VLOOKUP('[2]Overzicht inhuurdesk'!$C$10,'[2]Brongegevens tbv nokgenerator'!K$2:L$301,2,FALSE))</f>
        <v/>
      </c>
      <c r="D56" s="518" t="str">
        <f>IF($A56="","",VLOOKUP('[2]Overzicht inhuurdesk'!$C$7,'[2]Brongegevens tbv nokgenerator'!E$2:F$18,2,FALSE))</f>
        <v/>
      </c>
      <c r="E56" s="518" t="str">
        <f>IF($A56="","",VLOOKUP('[2]Overzicht inhuurdesk'!$C$6,'[2]Brongegevens tbv nokgenerator'!$C$2:$D$4,2,FALSE))</f>
        <v/>
      </c>
      <c r="F56" s="518" t="str">
        <f t="shared" si="11"/>
        <v/>
      </c>
      <c r="G56" s="552" t="str">
        <f t="shared" si="9"/>
        <v/>
      </c>
      <c r="H56" s="552" t="str">
        <f>IF($A56="","",TRUNC('[2]Overzicht inhuurdesk'!$T$8))</f>
        <v/>
      </c>
      <c r="I56" s="515" t="str">
        <f t="shared" si="12"/>
        <v/>
      </c>
      <c r="J56" s="551"/>
      <c r="K56" s="516"/>
      <c r="L56" s="516"/>
      <c r="M56" s="516"/>
      <c r="N56" s="516"/>
      <c r="O56" s="518" t="str">
        <f>IF($A56="","",'[2]Aanvraag inhuur'!$C$110)</f>
        <v/>
      </c>
      <c r="P56" s="518" t="str">
        <f>IF($A56="","",CONCATENATE('[2]Aanvraag inhuur'!$C$18," ",'[2]Aanvraag inhuur'!$C$22))</f>
        <v/>
      </c>
      <c r="Q56" s="551"/>
      <c r="R56" s="518" t="str">
        <f>IF($A56="","",VLOOKUP(CONCATENATE('[2]Overzicht inhuurdesk'!$C$9,'[2]Overzicht inhuurdesk'!$C$10,$Q56),[2]Leveranciersnamen!A:K,11,FALSE))</f>
        <v/>
      </c>
      <c r="S56" s="551"/>
      <c r="T56" s="553" t="str">
        <f t="shared" si="13"/>
        <v/>
      </c>
      <c r="U56" s="553" t="str">
        <f t="shared" si="14"/>
        <v/>
      </c>
      <c r="V56" s="553" t="str">
        <f t="shared" si="15"/>
        <v/>
      </c>
      <c r="W56" s="553" t="str">
        <f t="shared" si="16"/>
        <v/>
      </c>
      <c r="X56" s="552" t="str">
        <f>IF($A56="","",'[2]Overzicht inhuurdesk'!$T$12)</f>
        <v/>
      </c>
      <c r="Y56" s="516" t="str">
        <f t="shared" si="17"/>
        <v/>
      </c>
      <c r="Z56" s="518" t="str">
        <f>IF($A56="","",'[2]Aanvraag inhuur'!$G$93)</f>
        <v/>
      </c>
      <c r="AA56" s="518" t="str">
        <f>IF($A56="","",'[2]Aanvraag inhuur'!$C$95)</f>
        <v/>
      </c>
      <c r="AB56" s="518" t="str">
        <f>IF($A56="","",'[2]Aanvraag inhuur'!$C$97)</f>
        <v/>
      </c>
      <c r="AC56" s="518" t="str">
        <f>IF($A56="","",'[2]Aanvraag inhuur'!$C$98)</f>
        <v/>
      </c>
      <c r="AD56" s="517" t="s">
        <v>1267</v>
      </c>
      <c r="AE56" s="551"/>
      <c r="AF56" s="518" t="str">
        <f t="shared" si="10"/>
        <v/>
      </c>
      <c r="AG56" s="518" t="str">
        <f>IF($A56="","",'[2]Overzicht inhuurdesk'!$I$12)</f>
        <v/>
      </c>
      <c r="AH56" s="550">
        <v>52</v>
      </c>
    </row>
    <row r="57" spans="1:34">
      <c r="A57" s="518" t="str">
        <f>IF(AND('[2]Overzicht inhuurdesk'!$I$1&gt;AH57,J57&lt;&gt;0),CONCATENATE(LEFT(A56,7),IF(RIGHT(A56,3)+1&lt;10,CONCATENATE("00",RIGHT(A56,3)+1),IF(RIGHT(A56,3)+1&lt;100,CONCATENATE("0",RIGHT(A56,3)+1),RIGHT(A56,3)+1))),"")</f>
        <v/>
      </c>
      <c r="B57" s="518" t="str">
        <f>IF(A57="","",VLOOKUP('[2]Overzicht inhuurdesk'!$C$9,'[2]Brongegevens tbv nokgenerator'!H$2:I$27,2,FALSE))</f>
        <v/>
      </c>
      <c r="C57" s="518" t="str">
        <f>IF(A57="","",VLOOKUP('[2]Overzicht inhuurdesk'!$C$10,'[2]Brongegevens tbv nokgenerator'!K$2:L$301,2,FALSE))</f>
        <v/>
      </c>
      <c r="D57" s="518" t="str">
        <f>IF($A57="","",VLOOKUP('[2]Overzicht inhuurdesk'!$C$7,'[2]Brongegevens tbv nokgenerator'!E$2:F$18,2,FALSE))</f>
        <v/>
      </c>
      <c r="E57" s="518" t="str">
        <f>IF($A57="","",VLOOKUP('[2]Overzicht inhuurdesk'!$C$6,'[2]Brongegevens tbv nokgenerator'!$C$2:$D$4,2,FALSE))</f>
        <v/>
      </c>
      <c r="F57" s="518" t="str">
        <f t="shared" si="11"/>
        <v/>
      </c>
      <c r="G57" s="552" t="str">
        <f t="shared" si="9"/>
        <v/>
      </c>
      <c r="H57" s="552" t="str">
        <f>IF($A57="","",TRUNC('[2]Overzicht inhuurdesk'!$T$8))</f>
        <v/>
      </c>
      <c r="I57" s="515" t="str">
        <f t="shared" si="12"/>
        <v/>
      </c>
      <c r="J57" s="551"/>
      <c r="K57" s="516"/>
      <c r="L57" s="516"/>
      <c r="M57" s="516"/>
      <c r="N57" s="516"/>
      <c r="O57" s="518" t="str">
        <f>IF($A57="","",'[2]Aanvraag inhuur'!$C$110)</f>
        <v/>
      </c>
      <c r="P57" s="518" t="str">
        <f>IF($A57="","",CONCATENATE('[2]Aanvraag inhuur'!$C$18," ",'[2]Aanvraag inhuur'!$C$22))</f>
        <v/>
      </c>
      <c r="Q57" s="551"/>
      <c r="R57" s="518" t="str">
        <f>IF($A57="","",VLOOKUP(CONCATENATE('[2]Overzicht inhuurdesk'!$C$9,'[2]Overzicht inhuurdesk'!$C$10,$Q57),[2]Leveranciersnamen!A:K,11,FALSE))</f>
        <v/>
      </c>
      <c r="S57" s="551"/>
      <c r="T57" s="553" t="str">
        <f t="shared" si="13"/>
        <v/>
      </c>
      <c r="U57" s="553" t="str">
        <f t="shared" si="14"/>
        <v/>
      </c>
      <c r="V57" s="553" t="str">
        <f t="shared" si="15"/>
        <v/>
      </c>
      <c r="W57" s="553" t="str">
        <f t="shared" si="16"/>
        <v/>
      </c>
      <c r="X57" s="552" t="str">
        <f>IF($A57="","",'[2]Overzicht inhuurdesk'!$T$12)</f>
        <v/>
      </c>
      <c r="Y57" s="516" t="str">
        <f t="shared" si="17"/>
        <v/>
      </c>
      <c r="Z57" s="518" t="str">
        <f>IF($A57="","",'[2]Aanvraag inhuur'!$G$93)</f>
        <v/>
      </c>
      <c r="AA57" s="518" t="str">
        <f>IF($A57="","",'[2]Aanvraag inhuur'!$C$95)</f>
        <v/>
      </c>
      <c r="AB57" s="518" t="str">
        <f>IF($A57="","",'[2]Aanvraag inhuur'!$C$97)</f>
        <v/>
      </c>
      <c r="AC57" s="518" t="str">
        <f>IF($A57="","",'[2]Aanvraag inhuur'!$C$98)</f>
        <v/>
      </c>
      <c r="AD57" s="517" t="s">
        <v>1267</v>
      </c>
      <c r="AE57" s="551"/>
      <c r="AF57" s="518" t="str">
        <f t="shared" si="10"/>
        <v/>
      </c>
      <c r="AG57" s="518" t="str">
        <f>IF($A57="","",'[2]Overzicht inhuurdesk'!$I$12)</f>
        <v/>
      </c>
      <c r="AH57" s="550">
        <v>53</v>
      </c>
    </row>
    <row r="58" spans="1:34">
      <c r="A58" s="518" t="str">
        <f>IF(AND('[2]Overzicht inhuurdesk'!$I$1&gt;AH58,J58&lt;&gt;0),CONCATENATE(LEFT(A57,7),IF(RIGHT(A57,3)+1&lt;10,CONCATENATE("00",RIGHT(A57,3)+1),IF(RIGHT(A57,3)+1&lt;100,CONCATENATE("0",RIGHT(A57,3)+1),RIGHT(A57,3)+1))),"")</f>
        <v/>
      </c>
      <c r="B58" s="518" t="str">
        <f>IF(A58="","",VLOOKUP('[2]Overzicht inhuurdesk'!$C$9,'[2]Brongegevens tbv nokgenerator'!H$2:I$27,2,FALSE))</f>
        <v/>
      </c>
      <c r="C58" s="518" t="str">
        <f>IF(A58="","",VLOOKUP('[2]Overzicht inhuurdesk'!$C$10,'[2]Brongegevens tbv nokgenerator'!K$2:L$301,2,FALSE))</f>
        <v/>
      </c>
      <c r="D58" s="518" t="str">
        <f>IF($A58="","",VLOOKUP('[2]Overzicht inhuurdesk'!$C$7,'[2]Brongegevens tbv nokgenerator'!E$2:F$18,2,FALSE))</f>
        <v/>
      </c>
      <c r="E58" s="518" t="str">
        <f>IF($A58="","",VLOOKUP('[2]Overzicht inhuurdesk'!$C$6,'[2]Brongegevens tbv nokgenerator'!$C$2:$D$4,2,FALSE))</f>
        <v/>
      </c>
      <c r="F58" s="518" t="str">
        <f t="shared" si="11"/>
        <v/>
      </c>
      <c r="G58" s="552" t="str">
        <f t="shared" si="9"/>
        <v/>
      </c>
      <c r="H58" s="552" t="str">
        <f>IF($A58="","",TRUNC('[2]Overzicht inhuurdesk'!$T$8))</f>
        <v/>
      </c>
      <c r="I58" s="515" t="str">
        <f t="shared" si="12"/>
        <v/>
      </c>
      <c r="J58" s="551"/>
      <c r="K58" s="516"/>
      <c r="L58" s="516"/>
      <c r="M58" s="516"/>
      <c r="N58" s="516"/>
      <c r="O58" s="518" t="str">
        <f>IF($A58="","",'[2]Aanvraag inhuur'!$C$110)</f>
        <v/>
      </c>
      <c r="P58" s="518" t="str">
        <f>IF($A58="","",CONCATENATE('[2]Aanvraag inhuur'!$C$18," ",'[2]Aanvraag inhuur'!$C$22))</f>
        <v/>
      </c>
      <c r="Q58" s="551"/>
      <c r="R58" s="518" t="str">
        <f>IF($A58="","",VLOOKUP(CONCATENATE('[2]Overzicht inhuurdesk'!$C$9,'[2]Overzicht inhuurdesk'!$C$10,$Q58),[2]Leveranciersnamen!A:K,11,FALSE))</f>
        <v/>
      </c>
      <c r="S58" s="551"/>
      <c r="T58" s="553" t="str">
        <f t="shared" si="13"/>
        <v/>
      </c>
      <c r="U58" s="553" t="str">
        <f t="shared" si="14"/>
        <v/>
      </c>
      <c r="V58" s="553" t="str">
        <f t="shared" si="15"/>
        <v/>
      </c>
      <c r="W58" s="553" t="str">
        <f t="shared" si="16"/>
        <v/>
      </c>
      <c r="X58" s="552" t="str">
        <f>IF($A58="","",'[2]Overzicht inhuurdesk'!$T$12)</f>
        <v/>
      </c>
      <c r="Y58" s="516" t="str">
        <f t="shared" si="17"/>
        <v/>
      </c>
      <c r="Z58" s="518" t="str">
        <f>IF($A58="","",'[2]Aanvraag inhuur'!$G$93)</f>
        <v/>
      </c>
      <c r="AA58" s="518" t="str">
        <f>IF($A58="","",'[2]Aanvraag inhuur'!$C$95)</f>
        <v/>
      </c>
      <c r="AB58" s="518" t="str">
        <f>IF($A58="","",'[2]Aanvraag inhuur'!$C$97)</f>
        <v/>
      </c>
      <c r="AC58" s="518" t="str">
        <f>IF($A58="","",'[2]Aanvraag inhuur'!$C$98)</f>
        <v/>
      </c>
      <c r="AD58" s="517" t="s">
        <v>1267</v>
      </c>
      <c r="AE58" s="551"/>
      <c r="AF58" s="518" t="str">
        <f t="shared" si="10"/>
        <v/>
      </c>
      <c r="AG58" s="518" t="str">
        <f>IF($A58="","",'[2]Overzicht inhuurdesk'!$I$12)</f>
        <v/>
      </c>
      <c r="AH58" s="550">
        <v>54</v>
      </c>
    </row>
    <row r="59" spans="1:34">
      <c r="A59" s="518" t="str">
        <f>IF(AND('[2]Overzicht inhuurdesk'!$I$1&gt;AH59,J59&lt;&gt;0),CONCATENATE(LEFT(A58,7),IF(RIGHT(A58,3)+1&lt;10,CONCATENATE("00",RIGHT(A58,3)+1),IF(RIGHT(A58,3)+1&lt;100,CONCATENATE("0",RIGHT(A58,3)+1),RIGHT(A58,3)+1))),"")</f>
        <v/>
      </c>
      <c r="B59" s="518" t="str">
        <f>IF(A59="","",VLOOKUP('[2]Overzicht inhuurdesk'!$C$9,'[2]Brongegevens tbv nokgenerator'!H$2:I$27,2,FALSE))</f>
        <v/>
      </c>
      <c r="C59" s="518" t="str">
        <f>IF(A59="","",VLOOKUP('[2]Overzicht inhuurdesk'!$C$10,'[2]Brongegevens tbv nokgenerator'!K$2:L$301,2,FALSE))</f>
        <v/>
      </c>
      <c r="D59" s="518" t="str">
        <f>IF($A59="","",VLOOKUP('[2]Overzicht inhuurdesk'!$C$7,'[2]Brongegevens tbv nokgenerator'!E$2:F$18,2,FALSE))</f>
        <v/>
      </c>
      <c r="E59" s="518" t="str">
        <f>IF($A59="","",VLOOKUP('[2]Overzicht inhuurdesk'!$C$6,'[2]Brongegevens tbv nokgenerator'!$C$2:$D$4,2,FALSE))</f>
        <v/>
      </c>
      <c r="F59" s="518" t="str">
        <f t="shared" si="11"/>
        <v/>
      </c>
      <c r="G59" s="552" t="str">
        <f t="shared" si="9"/>
        <v/>
      </c>
      <c r="H59" s="552" t="str">
        <f>IF($A59="","",TRUNC('[2]Overzicht inhuurdesk'!$T$8))</f>
        <v/>
      </c>
      <c r="I59" s="515" t="str">
        <f t="shared" si="12"/>
        <v/>
      </c>
      <c r="J59" s="551"/>
      <c r="K59" s="516"/>
      <c r="L59" s="516"/>
      <c r="M59" s="516"/>
      <c r="N59" s="516"/>
      <c r="O59" s="518" t="str">
        <f>IF($A59="","",'[2]Aanvraag inhuur'!$C$110)</f>
        <v/>
      </c>
      <c r="P59" s="518" t="str">
        <f>IF($A59="","",CONCATENATE('[2]Aanvraag inhuur'!$C$18," ",'[2]Aanvraag inhuur'!$C$22))</f>
        <v/>
      </c>
      <c r="Q59" s="551"/>
      <c r="R59" s="518" t="str">
        <f>IF($A59="","",VLOOKUP(CONCATENATE('[2]Overzicht inhuurdesk'!$C$9,'[2]Overzicht inhuurdesk'!$C$10,$Q59),[2]Leveranciersnamen!A:K,11,FALSE))</f>
        <v/>
      </c>
      <c r="S59" s="551"/>
      <c r="T59" s="553" t="str">
        <f t="shared" si="13"/>
        <v/>
      </c>
      <c r="U59" s="553" t="str">
        <f t="shared" si="14"/>
        <v/>
      </c>
      <c r="V59" s="553" t="str">
        <f t="shared" si="15"/>
        <v/>
      </c>
      <c r="W59" s="553" t="str">
        <f t="shared" si="16"/>
        <v/>
      </c>
      <c r="X59" s="552" t="str">
        <f>IF($A59="","",'[2]Overzicht inhuurdesk'!$T$12)</f>
        <v/>
      </c>
      <c r="Y59" s="516" t="str">
        <f t="shared" si="17"/>
        <v/>
      </c>
      <c r="Z59" s="518" t="str">
        <f>IF($A59="","",'[2]Aanvraag inhuur'!$G$93)</f>
        <v/>
      </c>
      <c r="AA59" s="518" t="str">
        <f>IF($A59="","",'[2]Aanvraag inhuur'!$C$95)</f>
        <v/>
      </c>
      <c r="AB59" s="518" t="str">
        <f>IF($A59="","",'[2]Aanvraag inhuur'!$C$97)</f>
        <v/>
      </c>
      <c r="AC59" s="518" t="str">
        <f>IF($A59="","",'[2]Aanvraag inhuur'!$C$98)</f>
        <v/>
      </c>
      <c r="AD59" s="517" t="s">
        <v>1267</v>
      </c>
      <c r="AE59" s="551"/>
      <c r="AF59" s="518" t="str">
        <f t="shared" si="10"/>
        <v/>
      </c>
      <c r="AG59" s="518" t="str">
        <f>IF($A59="","",'[2]Overzicht inhuurdesk'!$I$12)</f>
        <v/>
      </c>
      <c r="AH59" s="550">
        <v>55</v>
      </c>
    </row>
    <row r="60" spans="1:34">
      <c r="A60" s="518" t="str">
        <f>IF(AND('[2]Overzicht inhuurdesk'!$I$1&gt;AH60,J60&lt;&gt;0),CONCATENATE(LEFT(A59,7),IF(RIGHT(A59,3)+1&lt;10,CONCATENATE("00",RIGHT(A59,3)+1),IF(RIGHT(A59,3)+1&lt;100,CONCATENATE("0",RIGHT(A59,3)+1),RIGHT(A59,3)+1))),"")</f>
        <v/>
      </c>
      <c r="B60" s="518" t="str">
        <f>IF(A60="","",VLOOKUP('[2]Overzicht inhuurdesk'!$C$9,'[2]Brongegevens tbv nokgenerator'!H$2:I$27,2,FALSE))</f>
        <v/>
      </c>
      <c r="C60" s="518" t="str">
        <f>IF(A60="","",VLOOKUP('[2]Overzicht inhuurdesk'!$C$10,'[2]Brongegevens tbv nokgenerator'!K$2:L$301,2,FALSE))</f>
        <v/>
      </c>
      <c r="D60" s="518" t="str">
        <f>IF($A60="","",VLOOKUP('[2]Overzicht inhuurdesk'!$C$7,'[2]Brongegevens tbv nokgenerator'!E$2:F$18,2,FALSE))</f>
        <v/>
      </c>
      <c r="E60" s="518" t="str">
        <f>IF($A60="","",VLOOKUP('[2]Overzicht inhuurdesk'!$C$6,'[2]Brongegevens tbv nokgenerator'!$C$2:$D$4,2,FALSE))</f>
        <v/>
      </c>
      <c r="F60" s="518" t="str">
        <f t="shared" si="11"/>
        <v/>
      </c>
      <c r="G60" s="552" t="str">
        <f t="shared" si="9"/>
        <v/>
      </c>
      <c r="H60" s="552" t="str">
        <f>IF($A60="","",TRUNC('[2]Overzicht inhuurdesk'!$T$8))</f>
        <v/>
      </c>
      <c r="I60" s="515" t="str">
        <f t="shared" si="12"/>
        <v/>
      </c>
      <c r="J60" s="551"/>
      <c r="K60" s="516"/>
      <c r="L60" s="516"/>
      <c r="M60" s="516"/>
      <c r="N60" s="516"/>
      <c r="O60" s="518" t="str">
        <f>IF($A60="","",'[2]Aanvraag inhuur'!$C$110)</f>
        <v/>
      </c>
      <c r="P60" s="518" t="str">
        <f>IF($A60="","",CONCATENATE('[2]Aanvraag inhuur'!$C$18," ",'[2]Aanvraag inhuur'!$C$22))</f>
        <v/>
      </c>
      <c r="Q60" s="551"/>
      <c r="R60" s="518" t="str">
        <f>IF($A60="","",VLOOKUP(CONCATENATE('[2]Overzicht inhuurdesk'!$C$9,'[2]Overzicht inhuurdesk'!$C$10,$Q60),[2]Leveranciersnamen!A:K,11,FALSE))</f>
        <v/>
      </c>
      <c r="S60" s="551"/>
      <c r="T60" s="553" t="str">
        <f t="shared" si="13"/>
        <v/>
      </c>
      <c r="U60" s="553" t="str">
        <f t="shared" si="14"/>
        <v/>
      </c>
      <c r="V60" s="553" t="str">
        <f t="shared" si="15"/>
        <v/>
      </c>
      <c r="W60" s="553" t="str">
        <f t="shared" si="16"/>
        <v/>
      </c>
      <c r="X60" s="552" t="str">
        <f>IF($A60="","",'[2]Overzicht inhuurdesk'!$T$12)</f>
        <v/>
      </c>
      <c r="Y60" s="516" t="str">
        <f t="shared" si="17"/>
        <v/>
      </c>
      <c r="Z60" s="518" t="str">
        <f>IF($A60="","",'[2]Aanvraag inhuur'!$G$93)</f>
        <v/>
      </c>
      <c r="AA60" s="518" t="str">
        <f>IF($A60="","",'[2]Aanvraag inhuur'!$C$95)</f>
        <v/>
      </c>
      <c r="AB60" s="518" t="str">
        <f>IF($A60="","",'[2]Aanvraag inhuur'!$C$97)</f>
        <v/>
      </c>
      <c r="AC60" s="518" t="str">
        <f>IF($A60="","",'[2]Aanvraag inhuur'!$C$98)</f>
        <v/>
      </c>
      <c r="AD60" s="517" t="s">
        <v>1267</v>
      </c>
      <c r="AE60" s="551"/>
      <c r="AF60" s="518" t="str">
        <f t="shared" si="10"/>
        <v/>
      </c>
      <c r="AG60" s="518" t="str">
        <f>IF($A60="","",'[2]Overzicht inhuurdesk'!$I$12)</f>
        <v/>
      </c>
      <c r="AH60" s="550">
        <v>56</v>
      </c>
    </row>
    <row r="61" spans="1:34">
      <c r="A61" s="518" t="str">
        <f>IF(AND('[2]Overzicht inhuurdesk'!$I$1&gt;AH61,J61&lt;&gt;0),CONCATENATE(LEFT(A60,7),IF(RIGHT(A60,3)+1&lt;10,CONCATENATE("00",RIGHT(A60,3)+1),IF(RIGHT(A60,3)+1&lt;100,CONCATENATE("0",RIGHT(A60,3)+1),RIGHT(A60,3)+1))),"")</f>
        <v/>
      </c>
      <c r="B61" s="518" t="str">
        <f>IF(A61="","",VLOOKUP('[2]Overzicht inhuurdesk'!$C$9,'[2]Brongegevens tbv nokgenerator'!H$2:I$27,2,FALSE))</f>
        <v/>
      </c>
      <c r="C61" s="518" t="str">
        <f>IF(A61="","",VLOOKUP('[2]Overzicht inhuurdesk'!$C$10,'[2]Brongegevens tbv nokgenerator'!K$2:L$301,2,FALSE))</f>
        <v/>
      </c>
      <c r="D61" s="518" t="str">
        <f>IF($A61="","",VLOOKUP('[2]Overzicht inhuurdesk'!$C$7,'[2]Brongegevens tbv nokgenerator'!E$2:F$18,2,FALSE))</f>
        <v/>
      </c>
      <c r="E61" s="518" t="str">
        <f>IF($A61="","",VLOOKUP('[2]Overzicht inhuurdesk'!$C$6,'[2]Brongegevens tbv nokgenerator'!$C$2:$D$4,2,FALSE))</f>
        <v/>
      </c>
      <c r="F61" s="518" t="str">
        <f t="shared" si="11"/>
        <v/>
      </c>
      <c r="G61" s="552" t="str">
        <f t="shared" si="9"/>
        <v/>
      </c>
      <c r="H61" s="552" t="str">
        <f>IF($A61="","",TRUNC('[2]Overzicht inhuurdesk'!$T$8))</f>
        <v/>
      </c>
      <c r="I61" s="515" t="str">
        <f t="shared" si="12"/>
        <v/>
      </c>
      <c r="J61" s="551"/>
      <c r="K61" s="516"/>
      <c r="L61" s="516"/>
      <c r="M61" s="516"/>
      <c r="N61" s="516"/>
      <c r="O61" s="518" t="str">
        <f>IF($A61="","",'[2]Aanvraag inhuur'!$C$110)</f>
        <v/>
      </c>
      <c r="P61" s="518" t="str">
        <f>IF($A61="","",CONCATENATE('[2]Aanvraag inhuur'!$C$18," ",'[2]Aanvraag inhuur'!$C$22))</f>
        <v/>
      </c>
      <c r="Q61" s="551"/>
      <c r="R61" s="518" t="str">
        <f>IF($A61="","",VLOOKUP(CONCATENATE('[2]Overzicht inhuurdesk'!$C$9,'[2]Overzicht inhuurdesk'!$C$10,$Q61),[2]Leveranciersnamen!A:K,11,FALSE))</f>
        <v/>
      </c>
      <c r="S61" s="551"/>
      <c r="T61" s="553" t="str">
        <f t="shared" si="13"/>
        <v/>
      </c>
      <c r="U61" s="553" t="str">
        <f t="shared" si="14"/>
        <v/>
      </c>
      <c r="V61" s="553" t="str">
        <f t="shared" si="15"/>
        <v/>
      </c>
      <c r="W61" s="553" t="str">
        <f t="shared" si="16"/>
        <v/>
      </c>
      <c r="X61" s="552" t="str">
        <f>IF($A61="","",'[2]Overzicht inhuurdesk'!$T$12)</f>
        <v/>
      </c>
      <c r="Y61" s="516" t="str">
        <f t="shared" si="17"/>
        <v/>
      </c>
      <c r="Z61" s="518" t="str">
        <f>IF($A61="","",'[2]Aanvraag inhuur'!$G$93)</f>
        <v/>
      </c>
      <c r="AA61" s="518" t="str">
        <f>IF($A61="","",'[2]Aanvraag inhuur'!$C$95)</f>
        <v/>
      </c>
      <c r="AB61" s="518" t="str">
        <f>IF($A61="","",'[2]Aanvraag inhuur'!$C$97)</f>
        <v/>
      </c>
      <c r="AC61" s="518" t="str">
        <f>IF($A61="","",'[2]Aanvraag inhuur'!$C$98)</f>
        <v/>
      </c>
      <c r="AD61" s="517" t="s">
        <v>1267</v>
      </c>
      <c r="AE61" s="551"/>
      <c r="AF61" s="518" t="str">
        <f t="shared" si="10"/>
        <v/>
      </c>
      <c r="AG61" s="518" t="str">
        <f>IF($A61="","",'[2]Overzicht inhuurdesk'!$I$12)</f>
        <v/>
      </c>
      <c r="AH61" s="550">
        <v>57</v>
      </c>
    </row>
    <row r="62" spans="1:34">
      <c r="A62" s="518" t="str">
        <f>IF(AND('[2]Overzicht inhuurdesk'!$I$1&gt;AH62,J62&lt;&gt;0),CONCATENATE(LEFT(A61,7),IF(RIGHT(A61,3)+1&lt;10,CONCATENATE("00",RIGHT(A61,3)+1),IF(RIGHT(A61,3)+1&lt;100,CONCATENATE("0",RIGHT(A61,3)+1),RIGHT(A61,3)+1))),"")</f>
        <v/>
      </c>
      <c r="B62" s="518" t="str">
        <f>IF(A62="","",VLOOKUP('[2]Overzicht inhuurdesk'!$C$9,'[2]Brongegevens tbv nokgenerator'!H$2:I$27,2,FALSE))</f>
        <v/>
      </c>
      <c r="C62" s="518" t="str">
        <f>IF(A62="","",VLOOKUP('[2]Overzicht inhuurdesk'!$C$10,'[2]Brongegevens tbv nokgenerator'!K$2:L$301,2,FALSE))</f>
        <v/>
      </c>
      <c r="D62" s="518" t="str">
        <f>IF($A62="","",VLOOKUP('[2]Overzicht inhuurdesk'!$C$7,'[2]Brongegevens tbv nokgenerator'!E$2:F$18,2,FALSE))</f>
        <v/>
      </c>
      <c r="E62" s="518" t="str">
        <f>IF($A62="","",VLOOKUP('[2]Overzicht inhuurdesk'!$C$6,'[2]Brongegevens tbv nokgenerator'!$C$2:$D$4,2,FALSE))</f>
        <v/>
      </c>
      <c r="F62" s="518" t="str">
        <f t="shared" si="11"/>
        <v/>
      </c>
      <c r="G62" s="552" t="str">
        <f t="shared" si="9"/>
        <v/>
      </c>
      <c r="H62" s="552" t="str">
        <f>IF($A62="","",TRUNC('[2]Overzicht inhuurdesk'!$T$8))</f>
        <v/>
      </c>
      <c r="I62" s="515" t="str">
        <f t="shared" si="12"/>
        <v/>
      </c>
      <c r="J62" s="551"/>
      <c r="K62" s="516"/>
      <c r="L62" s="516"/>
      <c r="M62" s="516"/>
      <c r="N62" s="516"/>
      <c r="O62" s="518" t="str">
        <f>IF($A62="","",'[2]Aanvraag inhuur'!$C$110)</f>
        <v/>
      </c>
      <c r="P62" s="518" t="str">
        <f>IF($A62="","",CONCATENATE('[2]Aanvraag inhuur'!$C$18," ",'[2]Aanvraag inhuur'!$C$22))</f>
        <v/>
      </c>
      <c r="Q62" s="551"/>
      <c r="R62" s="518" t="str">
        <f>IF($A62="","",VLOOKUP(CONCATENATE('[2]Overzicht inhuurdesk'!$C$9,'[2]Overzicht inhuurdesk'!$C$10,$Q62),[2]Leveranciersnamen!A:K,11,FALSE))</f>
        <v/>
      </c>
      <c r="S62" s="551"/>
      <c r="T62" s="553" t="str">
        <f t="shared" si="13"/>
        <v/>
      </c>
      <c r="U62" s="553" t="str">
        <f t="shared" si="14"/>
        <v/>
      </c>
      <c r="V62" s="553" t="str">
        <f t="shared" si="15"/>
        <v/>
      </c>
      <c r="W62" s="553" t="str">
        <f t="shared" si="16"/>
        <v/>
      </c>
      <c r="X62" s="552" t="str">
        <f>IF($A62="","",'[2]Overzicht inhuurdesk'!$T$12)</f>
        <v/>
      </c>
      <c r="Y62" s="516" t="str">
        <f t="shared" si="17"/>
        <v/>
      </c>
      <c r="Z62" s="518" t="str">
        <f>IF($A62="","",'[2]Aanvraag inhuur'!$G$93)</f>
        <v/>
      </c>
      <c r="AA62" s="518" t="str">
        <f>IF($A62="","",'[2]Aanvraag inhuur'!$C$95)</f>
        <v/>
      </c>
      <c r="AB62" s="518" t="str">
        <f>IF($A62="","",'[2]Aanvraag inhuur'!$C$97)</f>
        <v/>
      </c>
      <c r="AC62" s="518" t="str">
        <f>IF($A62="","",'[2]Aanvraag inhuur'!$C$98)</f>
        <v/>
      </c>
      <c r="AD62" s="517" t="s">
        <v>1267</v>
      </c>
      <c r="AE62" s="551"/>
      <c r="AF62" s="518" t="str">
        <f t="shared" si="10"/>
        <v/>
      </c>
      <c r="AG62" s="518" t="str">
        <f>IF($A62="","",'[2]Overzicht inhuurdesk'!$I$12)</f>
        <v/>
      </c>
      <c r="AH62" s="550">
        <v>58</v>
      </c>
    </row>
    <row r="63" spans="1:34">
      <c r="A63" s="518" t="str">
        <f>IF(AND('[2]Overzicht inhuurdesk'!$I$1&gt;AH63,J63&lt;&gt;0),CONCATENATE(LEFT(A62,7),IF(RIGHT(A62,3)+1&lt;10,CONCATENATE("00",RIGHT(A62,3)+1),IF(RIGHT(A62,3)+1&lt;100,CONCATENATE("0",RIGHT(A62,3)+1),RIGHT(A62,3)+1))),"")</f>
        <v/>
      </c>
      <c r="B63" s="518" t="str">
        <f>IF(A63="","",VLOOKUP('[2]Overzicht inhuurdesk'!$C$9,'[2]Brongegevens tbv nokgenerator'!H$2:I$27,2,FALSE))</f>
        <v/>
      </c>
      <c r="C63" s="518" t="str">
        <f>IF(A63="","",VLOOKUP('[2]Overzicht inhuurdesk'!$C$10,'[2]Brongegevens tbv nokgenerator'!K$2:L$301,2,FALSE))</f>
        <v/>
      </c>
      <c r="D63" s="518" t="str">
        <f>IF($A63="","",VLOOKUP('[2]Overzicht inhuurdesk'!$C$7,'[2]Brongegevens tbv nokgenerator'!E$2:F$18,2,FALSE))</f>
        <v/>
      </c>
      <c r="E63" s="518" t="str">
        <f>IF($A63="","",VLOOKUP('[2]Overzicht inhuurdesk'!$C$6,'[2]Brongegevens tbv nokgenerator'!$C$2:$D$4,2,FALSE))</f>
        <v/>
      </c>
      <c r="F63" s="518" t="str">
        <f t="shared" si="11"/>
        <v/>
      </c>
      <c r="G63" s="552" t="str">
        <f t="shared" si="9"/>
        <v/>
      </c>
      <c r="H63" s="552" t="str">
        <f>IF($A63="","",TRUNC('[2]Overzicht inhuurdesk'!$T$8))</f>
        <v/>
      </c>
      <c r="I63" s="515" t="str">
        <f t="shared" si="12"/>
        <v/>
      </c>
      <c r="J63" s="551"/>
      <c r="K63" s="516"/>
      <c r="L63" s="516"/>
      <c r="M63" s="516"/>
      <c r="N63" s="516"/>
      <c r="O63" s="518" t="str">
        <f>IF($A63="","",'[2]Aanvraag inhuur'!$C$110)</f>
        <v/>
      </c>
      <c r="P63" s="518" t="str">
        <f>IF($A63="","",CONCATENATE('[2]Aanvraag inhuur'!$C$18," ",'[2]Aanvraag inhuur'!$C$22))</f>
        <v/>
      </c>
      <c r="Q63" s="551"/>
      <c r="R63" s="518" t="str">
        <f>IF($A63="","",VLOOKUP(CONCATENATE('[2]Overzicht inhuurdesk'!$C$9,'[2]Overzicht inhuurdesk'!$C$10,$Q63),[2]Leveranciersnamen!A:K,11,FALSE))</f>
        <v/>
      </c>
      <c r="S63" s="551"/>
      <c r="T63" s="553" t="str">
        <f t="shared" si="13"/>
        <v/>
      </c>
      <c r="U63" s="553" t="str">
        <f t="shared" si="14"/>
        <v/>
      </c>
      <c r="V63" s="553" t="str">
        <f t="shared" si="15"/>
        <v/>
      </c>
      <c r="W63" s="553" t="str">
        <f t="shared" si="16"/>
        <v/>
      </c>
      <c r="X63" s="552" t="str">
        <f>IF($A63="","",'[2]Overzicht inhuurdesk'!$T$12)</f>
        <v/>
      </c>
      <c r="Y63" s="516" t="str">
        <f t="shared" si="17"/>
        <v/>
      </c>
      <c r="Z63" s="518" t="str">
        <f>IF($A63="","",'[2]Aanvraag inhuur'!$G$93)</f>
        <v/>
      </c>
      <c r="AA63" s="518" t="str">
        <f>IF($A63="","",'[2]Aanvraag inhuur'!$C$95)</f>
        <v/>
      </c>
      <c r="AB63" s="518" t="str">
        <f>IF($A63="","",'[2]Aanvraag inhuur'!$C$97)</f>
        <v/>
      </c>
      <c r="AC63" s="518" t="str">
        <f>IF($A63="","",'[2]Aanvraag inhuur'!$C$98)</f>
        <v/>
      </c>
      <c r="AD63" s="517" t="s">
        <v>1267</v>
      </c>
      <c r="AE63" s="551"/>
      <c r="AF63" s="518" t="str">
        <f t="shared" si="10"/>
        <v/>
      </c>
      <c r="AG63" s="518" t="str">
        <f>IF($A63="","",'[2]Overzicht inhuurdesk'!$I$12)</f>
        <v/>
      </c>
      <c r="AH63" s="550">
        <v>59</v>
      </c>
    </row>
    <row r="64" spans="1:34">
      <c r="A64" s="518" t="str">
        <f>IF(AND('[2]Overzicht inhuurdesk'!$I$1&gt;AH64,J64&lt;&gt;0),CONCATENATE(LEFT(A63,7),IF(RIGHT(A63,3)+1&lt;10,CONCATENATE("00",RIGHT(A63,3)+1),IF(RIGHT(A63,3)+1&lt;100,CONCATENATE("0",RIGHT(A63,3)+1),RIGHT(A63,3)+1))),"")</f>
        <v/>
      </c>
      <c r="B64" s="518" t="str">
        <f>IF(A64="","",VLOOKUP('[2]Overzicht inhuurdesk'!$C$9,'[2]Brongegevens tbv nokgenerator'!H$2:I$27,2,FALSE))</f>
        <v/>
      </c>
      <c r="C64" s="518" t="str">
        <f>IF(A64="","",VLOOKUP('[2]Overzicht inhuurdesk'!$C$10,'[2]Brongegevens tbv nokgenerator'!K$2:L$301,2,FALSE))</f>
        <v/>
      </c>
      <c r="D64" s="518" t="str">
        <f>IF($A64="","",VLOOKUP('[2]Overzicht inhuurdesk'!$C$7,'[2]Brongegevens tbv nokgenerator'!E$2:F$18,2,FALSE))</f>
        <v/>
      </c>
      <c r="E64" s="518" t="str">
        <f>IF($A64="","",VLOOKUP('[2]Overzicht inhuurdesk'!$C$6,'[2]Brongegevens tbv nokgenerator'!$C$2:$D$4,2,FALSE))</f>
        <v/>
      </c>
      <c r="F64" s="518" t="str">
        <f t="shared" si="11"/>
        <v/>
      </c>
      <c r="G64" s="552" t="str">
        <f t="shared" si="9"/>
        <v/>
      </c>
      <c r="H64" s="552" t="str">
        <f>IF($A64="","",TRUNC('[2]Overzicht inhuurdesk'!$T$8))</f>
        <v/>
      </c>
      <c r="I64" s="515" t="str">
        <f t="shared" si="12"/>
        <v/>
      </c>
      <c r="J64" s="551"/>
      <c r="K64" s="516"/>
      <c r="L64" s="516"/>
      <c r="M64" s="516"/>
      <c r="N64" s="516"/>
      <c r="O64" s="518" t="str">
        <f>IF($A64="","",'[2]Aanvraag inhuur'!$C$110)</f>
        <v/>
      </c>
      <c r="P64" s="518" t="str">
        <f>IF($A64="","",CONCATENATE('[2]Aanvraag inhuur'!$C$18," ",'[2]Aanvraag inhuur'!$C$22))</f>
        <v/>
      </c>
      <c r="Q64" s="551"/>
      <c r="R64" s="518" t="str">
        <f>IF($A64="","",VLOOKUP(CONCATENATE('[2]Overzicht inhuurdesk'!$C$9,'[2]Overzicht inhuurdesk'!$C$10,$Q64),[2]Leveranciersnamen!A:K,11,FALSE))</f>
        <v/>
      </c>
      <c r="S64" s="551"/>
      <c r="T64" s="553" t="str">
        <f t="shared" si="13"/>
        <v/>
      </c>
      <c r="U64" s="553" t="str">
        <f t="shared" si="14"/>
        <v/>
      </c>
      <c r="V64" s="553" t="str">
        <f t="shared" si="15"/>
        <v/>
      </c>
      <c r="W64" s="553" t="str">
        <f t="shared" si="16"/>
        <v/>
      </c>
      <c r="X64" s="552" t="str">
        <f>IF($A64="","",'[2]Overzicht inhuurdesk'!$T$12)</f>
        <v/>
      </c>
      <c r="Y64" s="516" t="str">
        <f t="shared" si="17"/>
        <v/>
      </c>
      <c r="Z64" s="518" t="str">
        <f>IF($A64="","",'[2]Aanvraag inhuur'!$G$93)</f>
        <v/>
      </c>
      <c r="AA64" s="518" t="str">
        <f>IF($A64="","",'[2]Aanvraag inhuur'!$C$95)</f>
        <v/>
      </c>
      <c r="AB64" s="518" t="str">
        <f>IF($A64="","",'[2]Aanvraag inhuur'!$C$97)</f>
        <v/>
      </c>
      <c r="AC64" s="518" t="str">
        <f>IF($A64="","",'[2]Aanvraag inhuur'!$C$98)</f>
        <v/>
      </c>
      <c r="AD64" s="517" t="s">
        <v>1267</v>
      </c>
      <c r="AE64" s="551"/>
      <c r="AF64" s="518" t="str">
        <f t="shared" si="10"/>
        <v/>
      </c>
      <c r="AG64" s="518" t="str">
        <f>IF($A64="","",'[2]Overzicht inhuurdesk'!$I$12)</f>
        <v/>
      </c>
      <c r="AH64" s="550">
        <v>60</v>
      </c>
    </row>
    <row r="65" spans="1:34">
      <c r="A65" s="518" t="str">
        <f>IF(AND('[2]Overzicht inhuurdesk'!$I$1&gt;AH65,J65&lt;&gt;0),CONCATENATE(LEFT(A64,7),IF(RIGHT(A64,3)+1&lt;10,CONCATENATE("00",RIGHT(A64,3)+1),IF(RIGHT(A64,3)+1&lt;100,CONCATENATE("0",RIGHT(A64,3)+1),RIGHT(A64,3)+1))),"")</f>
        <v/>
      </c>
      <c r="B65" s="518" t="str">
        <f>IF(A65="","",VLOOKUP('[2]Overzicht inhuurdesk'!$C$9,'[2]Brongegevens tbv nokgenerator'!H$2:I$27,2,FALSE))</f>
        <v/>
      </c>
      <c r="C65" s="518" t="str">
        <f>IF(A65="","",VLOOKUP('[2]Overzicht inhuurdesk'!$C$10,'[2]Brongegevens tbv nokgenerator'!K$2:L$301,2,FALSE))</f>
        <v/>
      </c>
      <c r="D65" s="518" t="str">
        <f>IF($A65="","",VLOOKUP('[2]Overzicht inhuurdesk'!$C$7,'[2]Brongegevens tbv nokgenerator'!E$2:F$18,2,FALSE))</f>
        <v/>
      </c>
      <c r="E65" s="518" t="str">
        <f>IF($A65="","",VLOOKUP('[2]Overzicht inhuurdesk'!$C$6,'[2]Brongegevens tbv nokgenerator'!$C$2:$D$4,2,FALSE))</f>
        <v/>
      </c>
      <c r="F65" s="518" t="str">
        <f t="shared" si="11"/>
        <v/>
      </c>
      <c r="G65" s="552" t="str">
        <f t="shared" si="9"/>
        <v/>
      </c>
      <c r="H65" s="552" t="str">
        <f>IF($A65="","",TRUNC('[2]Overzicht inhuurdesk'!$T$8))</f>
        <v/>
      </c>
      <c r="I65" s="515" t="str">
        <f t="shared" si="12"/>
        <v/>
      </c>
      <c r="J65" s="551"/>
      <c r="K65" s="516"/>
      <c r="L65" s="516"/>
      <c r="M65" s="516"/>
      <c r="N65" s="516"/>
      <c r="O65" s="518" t="str">
        <f>IF($A65="","",'[2]Aanvraag inhuur'!$C$110)</f>
        <v/>
      </c>
      <c r="P65" s="518" t="str">
        <f>IF($A65="","",CONCATENATE('[2]Aanvraag inhuur'!$C$18," ",'[2]Aanvraag inhuur'!$C$22))</f>
        <v/>
      </c>
      <c r="Q65" s="551"/>
      <c r="R65" s="518" t="str">
        <f>IF($A65="","",VLOOKUP(CONCATENATE('[2]Overzicht inhuurdesk'!$C$9,'[2]Overzicht inhuurdesk'!$C$10,$Q65),[2]Leveranciersnamen!A:K,11,FALSE))</f>
        <v/>
      </c>
      <c r="S65" s="551"/>
      <c r="T65" s="553" t="str">
        <f t="shared" si="13"/>
        <v/>
      </c>
      <c r="U65" s="553" t="str">
        <f t="shared" si="14"/>
        <v/>
      </c>
      <c r="V65" s="553" t="str">
        <f t="shared" si="15"/>
        <v/>
      </c>
      <c r="W65" s="553" t="str">
        <f t="shared" si="16"/>
        <v/>
      </c>
      <c r="X65" s="552" t="str">
        <f>IF($A65="","",'[2]Overzicht inhuurdesk'!$T$12)</f>
        <v/>
      </c>
      <c r="Y65" s="516" t="str">
        <f t="shared" si="17"/>
        <v/>
      </c>
      <c r="Z65" s="518" t="str">
        <f>IF($A65="","",'[2]Aanvraag inhuur'!$G$93)</f>
        <v/>
      </c>
      <c r="AA65" s="518" t="str">
        <f>IF($A65="","",'[2]Aanvraag inhuur'!$C$95)</f>
        <v/>
      </c>
      <c r="AB65" s="518" t="str">
        <f>IF($A65="","",'[2]Aanvraag inhuur'!$C$97)</f>
        <v/>
      </c>
      <c r="AC65" s="518" t="str">
        <f>IF($A65="","",'[2]Aanvraag inhuur'!$C$98)</f>
        <v/>
      </c>
      <c r="AD65" s="517" t="s">
        <v>1267</v>
      </c>
      <c r="AE65" s="551"/>
      <c r="AF65" s="518" t="str">
        <f t="shared" si="10"/>
        <v/>
      </c>
      <c r="AG65" s="518" t="str">
        <f>IF($A65="","",'[2]Overzicht inhuurdesk'!$I$12)</f>
        <v/>
      </c>
      <c r="AH65" s="550">
        <v>61</v>
      </c>
    </row>
    <row r="66" spans="1:34">
      <c r="A66" s="518" t="str">
        <f>IF(AND('[2]Overzicht inhuurdesk'!$I$1&gt;AH66,J66&lt;&gt;0),CONCATENATE(LEFT(A65,7),IF(RIGHT(A65,3)+1&lt;10,CONCATENATE("00",RIGHT(A65,3)+1),IF(RIGHT(A65,3)+1&lt;100,CONCATENATE("0",RIGHT(A65,3)+1),RIGHT(A65,3)+1))),"")</f>
        <v/>
      </c>
      <c r="B66" s="518" t="str">
        <f>IF(A66="","",VLOOKUP('[2]Overzicht inhuurdesk'!$C$9,'[2]Brongegevens tbv nokgenerator'!H$2:I$27,2,FALSE))</f>
        <v/>
      </c>
      <c r="C66" s="518" t="str">
        <f>IF(A66="","",VLOOKUP('[2]Overzicht inhuurdesk'!$C$10,'[2]Brongegevens tbv nokgenerator'!K$2:L$301,2,FALSE))</f>
        <v/>
      </c>
      <c r="D66" s="518" t="str">
        <f>IF($A66="","",VLOOKUP('[2]Overzicht inhuurdesk'!$C$7,'[2]Brongegevens tbv nokgenerator'!E$2:F$18,2,FALSE))</f>
        <v/>
      </c>
      <c r="E66" s="518" t="str">
        <f>IF($A66="","",VLOOKUP('[2]Overzicht inhuurdesk'!$C$6,'[2]Brongegevens tbv nokgenerator'!$C$2:$D$4,2,FALSE))</f>
        <v/>
      </c>
      <c r="F66" s="518" t="str">
        <f t="shared" si="11"/>
        <v/>
      </c>
      <c r="G66" s="552" t="str">
        <f t="shared" si="9"/>
        <v/>
      </c>
      <c r="H66" s="552" t="str">
        <f>IF($A66="","",TRUNC('[2]Overzicht inhuurdesk'!$T$8))</f>
        <v/>
      </c>
      <c r="I66" s="515" t="str">
        <f t="shared" si="12"/>
        <v/>
      </c>
      <c r="J66" s="551"/>
      <c r="K66" s="516"/>
      <c r="L66" s="516"/>
      <c r="M66" s="516"/>
      <c r="N66" s="516"/>
      <c r="O66" s="518" t="str">
        <f>IF($A66="","",'[2]Aanvraag inhuur'!$C$110)</f>
        <v/>
      </c>
      <c r="P66" s="518" t="str">
        <f>IF($A66="","",CONCATENATE('[2]Aanvraag inhuur'!$C$18," ",'[2]Aanvraag inhuur'!$C$22))</f>
        <v/>
      </c>
      <c r="Q66" s="551"/>
      <c r="R66" s="518" t="str">
        <f>IF($A66="","",VLOOKUP(CONCATENATE('[2]Overzicht inhuurdesk'!$C$9,'[2]Overzicht inhuurdesk'!$C$10,$Q66),[2]Leveranciersnamen!A:K,11,FALSE))</f>
        <v/>
      </c>
      <c r="S66" s="551"/>
      <c r="T66" s="553" t="str">
        <f t="shared" si="13"/>
        <v/>
      </c>
      <c r="U66" s="553" t="str">
        <f t="shared" si="14"/>
        <v/>
      </c>
      <c r="V66" s="553" t="str">
        <f t="shared" si="15"/>
        <v/>
      </c>
      <c r="W66" s="553" t="str">
        <f t="shared" si="16"/>
        <v/>
      </c>
      <c r="X66" s="552" t="str">
        <f>IF($A66="","",'[2]Overzicht inhuurdesk'!$T$12)</f>
        <v/>
      </c>
      <c r="Y66" s="516" t="str">
        <f t="shared" si="17"/>
        <v/>
      </c>
      <c r="Z66" s="518" t="str">
        <f>IF($A66="","",'[2]Aanvraag inhuur'!$G$93)</f>
        <v/>
      </c>
      <c r="AA66" s="518" t="str">
        <f>IF($A66="","",'[2]Aanvraag inhuur'!$C$95)</f>
        <v/>
      </c>
      <c r="AB66" s="518" t="str">
        <f>IF($A66="","",'[2]Aanvraag inhuur'!$C$97)</f>
        <v/>
      </c>
      <c r="AC66" s="518" t="str">
        <f>IF($A66="","",'[2]Aanvraag inhuur'!$C$98)</f>
        <v/>
      </c>
      <c r="AD66" s="517" t="s">
        <v>1267</v>
      </c>
      <c r="AE66" s="551"/>
      <c r="AF66" s="518" t="str">
        <f t="shared" si="10"/>
        <v/>
      </c>
      <c r="AG66" s="518" t="str">
        <f>IF($A66="","",'[2]Overzicht inhuurdesk'!$I$12)</f>
        <v/>
      </c>
      <c r="AH66" s="550">
        <v>62</v>
      </c>
    </row>
    <row r="67" spans="1:34">
      <c r="A67" s="518" t="str">
        <f>IF(AND('[2]Overzicht inhuurdesk'!$I$1&gt;AH67,J67&lt;&gt;0),CONCATENATE(LEFT(A66,7),IF(RIGHT(A66,3)+1&lt;10,CONCATENATE("00",RIGHT(A66,3)+1),IF(RIGHT(A66,3)+1&lt;100,CONCATENATE("0",RIGHT(A66,3)+1),RIGHT(A66,3)+1))),"")</f>
        <v/>
      </c>
      <c r="B67" s="518" t="str">
        <f>IF(A67="","",VLOOKUP('[2]Overzicht inhuurdesk'!$C$9,'[2]Brongegevens tbv nokgenerator'!H$2:I$27,2,FALSE))</f>
        <v/>
      </c>
      <c r="C67" s="518" t="str">
        <f>IF(A67="","",VLOOKUP('[2]Overzicht inhuurdesk'!$C$10,'[2]Brongegevens tbv nokgenerator'!K$2:L$301,2,FALSE))</f>
        <v/>
      </c>
      <c r="D67" s="518" t="str">
        <f>IF($A67="","",VLOOKUP('[2]Overzicht inhuurdesk'!$C$7,'[2]Brongegevens tbv nokgenerator'!E$2:F$18,2,FALSE))</f>
        <v/>
      </c>
      <c r="E67" s="518" t="str">
        <f>IF($A67="","",VLOOKUP('[2]Overzicht inhuurdesk'!$C$6,'[2]Brongegevens tbv nokgenerator'!$C$2:$D$4,2,FALSE))</f>
        <v/>
      </c>
      <c r="F67" s="518" t="str">
        <f t="shared" si="11"/>
        <v/>
      </c>
      <c r="G67" s="552" t="str">
        <f t="shared" si="9"/>
        <v/>
      </c>
      <c r="H67" s="552" t="str">
        <f>IF($A67="","",TRUNC('[2]Overzicht inhuurdesk'!$T$8))</f>
        <v/>
      </c>
      <c r="I67" s="515" t="str">
        <f t="shared" si="12"/>
        <v/>
      </c>
      <c r="J67" s="551"/>
      <c r="K67" s="516"/>
      <c r="L67" s="516"/>
      <c r="M67" s="516"/>
      <c r="N67" s="516"/>
      <c r="O67" s="518" t="str">
        <f>IF($A67="","",'[2]Aanvraag inhuur'!$C$110)</f>
        <v/>
      </c>
      <c r="P67" s="518" t="str">
        <f>IF($A67="","",CONCATENATE('[2]Aanvraag inhuur'!$C$18," ",'[2]Aanvraag inhuur'!$C$22))</f>
        <v/>
      </c>
      <c r="Q67" s="551"/>
      <c r="R67" s="518" t="str">
        <f>IF($A67="","",VLOOKUP(CONCATENATE('[2]Overzicht inhuurdesk'!$C$9,'[2]Overzicht inhuurdesk'!$C$10,$Q67),[2]Leveranciersnamen!A:K,11,FALSE))</f>
        <v/>
      </c>
      <c r="S67" s="551"/>
      <c r="T67" s="553" t="str">
        <f t="shared" si="13"/>
        <v/>
      </c>
      <c r="U67" s="553" t="str">
        <f t="shared" si="14"/>
        <v/>
      </c>
      <c r="V67" s="553" t="str">
        <f t="shared" si="15"/>
        <v/>
      </c>
      <c r="W67" s="553" t="str">
        <f t="shared" si="16"/>
        <v/>
      </c>
      <c r="X67" s="552" t="str">
        <f>IF($A67="","",'[2]Overzicht inhuurdesk'!$T$12)</f>
        <v/>
      </c>
      <c r="Y67" s="516" t="str">
        <f t="shared" si="17"/>
        <v/>
      </c>
      <c r="Z67" s="518" t="str">
        <f>IF($A67="","",'[2]Aanvraag inhuur'!$G$93)</f>
        <v/>
      </c>
      <c r="AA67" s="518" t="str">
        <f>IF($A67="","",'[2]Aanvraag inhuur'!$C$95)</f>
        <v/>
      </c>
      <c r="AB67" s="518" t="str">
        <f>IF($A67="","",'[2]Aanvraag inhuur'!$C$97)</f>
        <v/>
      </c>
      <c r="AC67" s="518" t="str">
        <f>IF($A67="","",'[2]Aanvraag inhuur'!$C$98)</f>
        <v/>
      </c>
      <c r="AD67" s="517" t="s">
        <v>1267</v>
      </c>
      <c r="AE67" s="551"/>
      <c r="AF67" s="518" t="str">
        <f t="shared" si="10"/>
        <v/>
      </c>
      <c r="AG67" s="518" t="str">
        <f>IF($A67="","",'[2]Overzicht inhuurdesk'!$I$12)</f>
        <v/>
      </c>
      <c r="AH67" s="550">
        <v>63</v>
      </c>
    </row>
    <row r="68" spans="1:34">
      <c r="A68" s="518" t="str">
        <f>IF(AND('[2]Overzicht inhuurdesk'!$I$1&gt;AH68,J68&lt;&gt;0),CONCATENATE(LEFT(A67,7),IF(RIGHT(A67,3)+1&lt;10,CONCATENATE("00",RIGHT(A67,3)+1),IF(RIGHT(A67,3)+1&lt;100,CONCATENATE("0",RIGHT(A67,3)+1),RIGHT(A67,3)+1))),"")</f>
        <v/>
      </c>
      <c r="B68" s="518" t="str">
        <f>IF(A68="","",VLOOKUP('[2]Overzicht inhuurdesk'!$C$9,'[2]Brongegevens tbv nokgenerator'!H$2:I$27,2,FALSE))</f>
        <v/>
      </c>
      <c r="C68" s="518" t="str">
        <f>IF(A68="","",VLOOKUP('[2]Overzicht inhuurdesk'!$C$10,'[2]Brongegevens tbv nokgenerator'!K$2:L$301,2,FALSE))</f>
        <v/>
      </c>
      <c r="D68" s="518" t="str">
        <f>IF($A68="","",VLOOKUP('[2]Overzicht inhuurdesk'!$C$7,'[2]Brongegevens tbv nokgenerator'!E$2:F$18,2,FALSE))</f>
        <v/>
      </c>
      <c r="E68" s="518" t="str">
        <f>IF($A68="","",VLOOKUP('[2]Overzicht inhuurdesk'!$C$6,'[2]Brongegevens tbv nokgenerator'!$C$2:$D$4,2,FALSE))</f>
        <v/>
      </c>
      <c r="F68" s="518" t="str">
        <f t="shared" si="11"/>
        <v/>
      </c>
      <c r="G68" s="552" t="str">
        <f t="shared" ref="G68:G91" si="18">IF($A68="","",IF($D68="NVWA","","Concept"))</f>
        <v/>
      </c>
      <c r="H68" s="552" t="str">
        <f>IF($A68="","",TRUNC('[2]Overzicht inhuurdesk'!$T$8))</f>
        <v/>
      </c>
      <c r="I68" s="515" t="str">
        <f t="shared" si="12"/>
        <v/>
      </c>
      <c r="J68" s="551"/>
      <c r="K68" s="516"/>
      <c r="L68" s="516"/>
      <c r="M68" s="516"/>
      <c r="N68" s="516"/>
      <c r="O68" s="518" t="str">
        <f>IF($A68="","",'[2]Aanvraag inhuur'!$C$110)</f>
        <v/>
      </c>
      <c r="P68" s="518" t="str">
        <f>IF($A68="","",CONCATENATE('[2]Aanvraag inhuur'!$C$18," ",'[2]Aanvraag inhuur'!$C$22))</f>
        <v/>
      </c>
      <c r="Q68" s="551"/>
      <c r="R68" s="518" t="str">
        <f>IF($A68="","",VLOOKUP(CONCATENATE('[2]Overzicht inhuurdesk'!$C$9,'[2]Overzicht inhuurdesk'!$C$10,$Q68),[2]Leveranciersnamen!A:K,11,FALSE))</f>
        <v/>
      </c>
      <c r="S68" s="551"/>
      <c r="T68" s="553" t="str">
        <f t="shared" si="13"/>
        <v/>
      </c>
      <c r="U68" s="553" t="str">
        <f t="shared" si="14"/>
        <v/>
      </c>
      <c r="V68" s="553" t="str">
        <f t="shared" si="15"/>
        <v/>
      </c>
      <c r="W68" s="553" t="str">
        <f t="shared" si="16"/>
        <v/>
      </c>
      <c r="X68" s="552" t="str">
        <f>IF($A68="","",'[2]Overzicht inhuurdesk'!$T$12)</f>
        <v/>
      </c>
      <c r="Y68" s="516" t="str">
        <f t="shared" si="17"/>
        <v/>
      </c>
      <c r="Z68" s="518" t="str">
        <f>IF($A68="","",'[2]Aanvraag inhuur'!$G$93)</f>
        <v/>
      </c>
      <c r="AA68" s="518" t="str">
        <f>IF($A68="","",'[2]Aanvraag inhuur'!$C$95)</f>
        <v/>
      </c>
      <c r="AB68" s="518" t="str">
        <f>IF($A68="","",'[2]Aanvraag inhuur'!$C$97)</f>
        <v/>
      </c>
      <c r="AC68" s="518" t="str">
        <f>IF($A68="","",'[2]Aanvraag inhuur'!$C$98)</f>
        <v/>
      </c>
      <c r="AD68" s="517" t="s">
        <v>1267</v>
      </c>
      <c r="AE68" s="551"/>
      <c r="AF68" s="518" t="str">
        <f t="shared" ref="AF68:AF91" si="19">IF($A68="","","NOK")</f>
        <v/>
      </c>
      <c r="AG68" s="518" t="str">
        <f>IF($A68="","",'[2]Overzicht inhuurdesk'!$I$12)</f>
        <v/>
      </c>
      <c r="AH68" s="550">
        <v>64</v>
      </c>
    </row>
    <row r="69" spans="1:34">
      <c r="A69" s="518" t="str">
        <f>IF(AND('[2]Overzicht inhuurdesk'!$I$1&gt;AH69,J69&lt;&gt;0),CONCATENATE(LEFT(A68,7),IF(RIGHT(A68,3)+1&lt;10,CONCATENATE("00",RIGHT(A68,3)+1),IF(RIGHT(A68,3)+1&lt;100,CONCATENATE("0",RIGHT(A68,3)+1),RIGHT(A68,3)+1))),"")</f>
        <v/>
      </c>
      <c r="B69" s="518" t="str">
        <f>IF(A69="","",VLOOKUP('[2]Overzicht inhuurdesk'!$C$9,'[2]Brongegevens tbv nokgenerator'!H$2:I$27,2,FALSE))</f>
        <v/>
      </c>
      <c r="C69" s="518" t="str">
        <f>IF(A69="","",VLOOKUP('[2]Overzicht inhuurdesk'!$C$10,'[2]Brongegevens tbv nokgenerator'!K$2:L$301,2,FALSE))</f>
        <v/>
      </c>
      <c r="D69" s="518" t="str">
        <f>IF($A69="","",VLOOKUP('[2]Overzicht inhuurdesk'!$C$7,'[2]Brongegevens tbv nokgenerator'!E$2:F$18,2,FALSE))</f>
        <v/>
      </c>
      <c r="E69" s="518" t="str">
        <f>IF($A69="","",VLOOKUP('[2]Overzicht inhuurdesk'!$C$6,'[2]Brongegevens tbv nokgenerator'!$C$2:$D$4,2,FALSE))</f>
        <v/>
      </c>
      <c r="F69" s="518" t="str">
        <f t="shared" ref="F69:F91" si="20">IF($A69="","",$F68)</f>
        <v/>
      </c>
      <c r="G69" s="552" t="str">
        <f t="shared" si="18"/>
        <v/>
      </c>
      <c r="H69" s="552" t="str">
        <f>IF($A69="","",TRUNC('[2]Overzicht inhuurdesk'!$T$8))</f>
        <v/>
      </c>
      <c r="I69" s="515" t="str">
        <f t="shared" ref="I69:I91" si="21">IF($A69="","",IF($I68="","",I68))</f>
        <v/>
      </c>
      <c r="J69" s="551"/>
      <c r="K69" s="516"/>
      <c r="L69" s="516"/>
      <c r="M69" s="516"/>
      <c r="N69" s="516"/>
      <c r="O69" s="518" t="str">
        <f>IF($A69="","",'[2]Aanvraag inhuur'!$C$110)</f>
        <v/>
      </c>
      <c r="P69" s="518" t="str">
        <f>IF($A69="","",CONCATENATE('[2]Aanvraag inhuur'!$C$18," ",'[2]Aanvraag inhuur'!$C$22))</f>
        <v/>
      </c>
      <c r="Q69" s="551"/>
      <c r="R69" s="518" t="str">
        <f>IF($A69="","",VLOOKUP(CONCATENATE('[2]Overzicht inhuurdesk'!$C$9,'[2]Overzicht inhuurdesk'!$C$10,$Q69),[2]Leveranciersnamen!A:K,11,FALSE))</f>
        <v/>
      </c>
      <c r="S69" s="551"/>
      <c r="T69" s="553" t="str">
        <f t="shared" ref="T69:T91" si="22">IF($A69="","",T68)</f>
        <v/>
      </c>
      <c r="U69" s="553" t="str">
        <f t="shared" ref="U69:U91" si="23">IF($A69="","",U68)</f>
        <v/>
      </c>
      <c r="V69" s="553" t="str">
        <f t="shared" ref="V69:V91" si="24">IF($A69="","",V68)</f>
        <v/>
      </c>
      <c r="W69" s="553" t="str">
        <f t="shared" ref="W69:W91" si="25">IF($A69="","",W68)</f>
        <v/>
      </c>
      <c r="X69" s="552" t="str">
        <f>IF($A69="","",'[2]Overzicht inhuurdesk'!$T$12)</f>
        <v/>
      </c>
      <c r="Y69" s="516" t="str">
        <f t="shared" ref="Y69:Y91" si="26">IF($A69="","",IF(Y68="","",Y68))</f>
        <v/>
      </c>
      <c r="Z69" s="518" t="str">
        <f>IF($A69="","",'[2]Aanvraag inhuur'!$G$93)</f>
        <v/>
      </c>
      <c r="AA69" s="518" t="str">
        <f>IF($A69="","",'[2]Aanvraag inhuur'!$C$95)</f>
        <v/>
      </c>
      <c r="AB69" s="518" t="str">
        <f>IF($A69="","",'[2]Aanvraag inhuur'!$C$97)</f>
        <v/>
      </c>
      <c r="AC69" s="518" t="str">
        <f>IF($A69="","",'[2]Aanvraag inhuur'!$C$98)</f>
        <v/>
      </c>
      <c r="AD69" s="517" t="s">
        <v>1267</v>
      </c>
      <c r="AE69" s="551"/>
      <c r="AF69" s="518" t="str">
        <f t="shared" si="19"/>
        <v/>
      </c>
      <c r="AG69" s="518" t="str">
        <f>IF($A69="","",'[2]Overzicht inhuurdesk'!$I$12)</f>
        <v/>
      </c>
      <c r="AH69" s="550">
        <v>65</v>
      </c>
    </row>
    <row r="70" spans="1:34">
      <c r="A70" s="518" t="str">
        <f>IF(AND('[2]Overzicht inhuurdesk'!$I$1&gt;AH70,J70&lt;&gt;0),CONCATENATE(LEFT(A69,7),IF(RIGHT(A69,3)+1&lt;10,CONCATENATE("00",RIGHT(A69,3)+1),IF(RIGHT(A69,3)+1&lt;100,CONCATENATE("0",RIGHT(A69,3)+1),RIGHT(A69,3)+1))),"")</f>
        <v/>
      </c>
      <c r="B70" s="518" t="str">
        <f>IF(A70="","",VLOOKUP('[2]Overzicht inhuurdesk'!$C$9,'[2]Brongegevens tbv nokgenerator'!H$2:I$27,2,FALSE))</f>
        <v/>
      </c>
      <c r="C70" s="518" t="str">
        <f>IF(A70="","",VLOOKUP('[2]Overzicht inhuurdesk'!$C$10,'[2]Brongegevens tbv nokgenerator'!K$2:L$301,2,FALSE))</f>
        <v/>
      </c>
      <c r="D70" s="518" t="str">
        <f>IF($A70="","",VLOOKUP('[2]Overzicht inhuurdesk'!$C$7,'[2]Brongegevens tbv nokgenerator'!E$2:F$18,2,FALSE))</f>
        <v/>
      </c>
      <c r="E70" s="518" t="str">
        <f>IF($A70="","",VLOOKUP('[2]Overzicht inhuurdesk'!$C$6,'[2]Brongegevens tbv nokgenerator'!$C$2:$D$4,2,FALSE))</f>
        <v/>
      </c>
      <c r="F70" s="518" t="str">
        <f t="shared" si="20"/>
        <v/>
      </c>
      <c r="G70" s="552" t="str">
        <f t="shared" si="18"/>
        <v/>
      </c>
      <c r="H70" s="552" t="str">
        <f>IF($A70="","",TRUNC('[2]Overzicht inhuurdesk'!$T$8))</f>
        <v/>
      </c>
      <c r="I70" s="515" t="str">
        <f t="shared" si="21"/>
        <v/>
      </c>
      <c r="J70" s="551"/>
      <c r="K70" s="516"/>
      <c r="L70" s="516"/>
      <c r="M70" s="516"/>
      <c r="N70" s="516"/>
      <c r="O70" s="518" t="str">
        <f>IF($A70="","",'[2]Aanvraag inhuur'!$C$110)</f>
        <v/>
      </c>
      <c r="P70" s="518" t="str">
        <f>IF($A70="","",CONCATENATE('[2]Aanvraag inhuur'!$C$18," ",'[2]Aanvraag inhuur'!$C$22))</f>
        <v/>
      </c>
      <c r="Q70" s="551"/>
      <c r="R70" s="518" t="str">
        <f>IF($A70="","",VLOOKUP(CONCATENATE('[2]Overzicht inhuurdesk'!$C$9,'[2]Overzicht inhuurdesk'!$C$10,$Q70),[2]Leveranciersnamen!A:K,11,FALSE))</f>
        <v/>
      </c>
      <c r="S70" s="551"/>
      <c r="T70" s="553" t="str">
        <f t="shared" si="22"/>
        <v/>
      </c>
      <c r="U70" s="553" t="str">
        <f t="shared" si="23"/>
        <v/>
      </c>
      <c r="V70" s="553" t="str">
        <f t="shared" si="24"/>
        <v/>
      </c>
      <c r="W70" s="553" t="str">
        <f t="shared" si="25"/>
        <v/>
      </c>
      <c r="X70" s="552" t="str">
        <f>IF($A70="","",'[2]Overzicht inhuurdesk'!$T$12)</f>
        <v/>
      </c>
      <c r="Y70" s="516" t="str">
        <f t="shared" si="26"/>
        <v/>
      </c>
      <c r="Z70" s="518" t="str">
        <f>IF($A70="","",'[2]Aanvraag inhuur'!$G$93)</f>
        <v/>
      </c>
      <c r="AA70" s="518" t="str">
        <f>IF($A70="","",'[2]Aanvraag inhuur'!$C$95)</f>
        <v/>
      </c>
      <c r="AB70" s="518" t="str">
        <f>IF($A70="","",'[2]Aanvraag inhuur'!$C$97)</f>
        <v/>
      </c>
      <c r="AC70" s="518" t="str">
        <f>IF($A70="","",'[2]Aanvraag inhuur'!$C$98)</f>
        <v/>
      </c>
      <c r="AD70" s="517" t="s">
        <v>1267</v>
      </c>
      <c r="AE70" s="551"/>
      <c r="AF70" s="518" t="str">
        <f t="shared" si="19"/>
        <v/>
      </c>
      <c r="AG70" s="518" t="str">
        <f>IF($A70="","",'[2]Overzicht inhuurdesk'!$I$12)</f>
        <v/>
      </c>
      <c r="AH70" s="550">
        <v>66</v>
      </c>
    </row>
    <row r="71" spans="1:34">
      <c r="A71" s="518" t="str">
        <f>IF(AND('[2]Overzicht inhuurdesk'!$I$1&gt;AH71,J71&lt;&gt;0),CONCATENATE(LEFT(A70,7),IF(RIGHT(A70,3)+1&lt;10,CONCATENATE("00",RIGHT(A70,3)+1),IF(RIGHT(A70,3)+1&lt;100,CONCATENATE("0",RIGHT(A70,3)+1),RIGHT(A70,3)+1))),"")</f>
        <v/>
      </c>
      <c r="B71" s="518" t="str">
        <f>IF(A71="","",VLOOKUP('[2]Overzicht inhuurdesk'!$C$9,'[2]Brongegevens tbv nokgenerator'!H$2:I$27,2,FALSE))</f>
        <v/>
      </c>
      <c r="C71" s="518" t="str">
        <f>IF(A71="","",VLOOKUP('[2]Overzicht inhuurdesk'!$C$10,'[2]Brongegevens tbv nokgenerator'!K$2:L$301,2,FALSE))</f>
        <v/>
      </c>
      <c r="D71" s="518" t="str">
        <f>IF($A71="","",VLOOKUP('[2]Overzicht inhuurdesk'!$C$7,'[2]Brongegevens tbv nokgenerator'!E$2:F$18,2,FALSE))</f>
        <v/>
      </c>
      <c r="E71" s="518" t="str">
        <f>IF($A71="","",VLOOKUP('[2]Overzicht inhuurdesk'!$C$6,'[2]Brongegevens tbv nokgenerator'!$C$2:$D$4,2,FALSE))</f>
        <v/>
      </c>
      <c r="F71" s="518" t="str">
        <f t="shared" si="20"/>
        <v/>
      </c>
      <c r="G71" s="552" t="str">
        <f t="shared" si="18"/>
        <v/>
      </c>
      <c r="H71" s="552" t="str">
        <f>IF($A71="","",TRUNC('[2]Overzicht inhuurdesk'!$T$8))</f>
        <v/>
      </c>
      <c r="I71" s="515" t="str">
        <f t="shared" si="21"/>
        <v/>
      </c>
      <c r="J71" s="551"/>
      <c r="K71" s="516"/>
      <c r="L71" s="516"/>
      <c r="M71" s="516"/>
      <c r="N71" s="516"/>
      <c r="O71" s="518" t="str">
        <f>IF($A71="","",'[2]Aanvraag inhuur'!$C$110)</f>
        <v/>
      </c>
      <c r="P71" s="518" t="str">
        <f>IF($A71="","",CONCATENATE('[2]Aanvraag inhuur'!$C$18," ",'[2]Aanvraag inhuur'!$C$22))</f>
        <v/>
      </c>
      <c r="Q71" s="551"/>
      <c r="R71" s="518" t="str">
        <f>IF($A71="","",VLOOKUP(CONCATENATE('[2]Overzicht inhuurdesk'!$C$9,'[2]Overzicht inhuurdesk'!$C$10,$Q71),[2]Leveranciersnamen!A:K,11,FALSE))</f>
        <v/>
      </c>
      <c r="S71" s="551"/>
      <c r="T71" s="553" t="str">
        <f t="shared" si="22"/>
        <v/>
      </c>
      <c r="U71" s="553" t="str">
        <f t="shared" si="23"/>
        <v/>
      </c>
      <c r="V71" s="553" t="str">
        <f t="shared" si="24"/>
        <v/>
      </c>
      <c r="W71" s="553" t="str">
        <f t="shared" si="25"/>
        <v/>
      </c>
      <c r="X71" s="552" t="str">
        <f>IF($A71="","",'[2]Overzicht inhuurdesk'!$T$12)</f>
        <v/>
      </c>
      <c r="Y71" s="516" t="str">
        <f t="shared" si="26"/>
        <v/>
      </c>
      <c r="Z71" s="518" t="str">
        <f>IF($A71="","",'[2]Aanvraag inhuur'!$G$93)</f>
        <v/>
      </c>
      <c r="AA71" s="518" t="str">
        <f>IF($A71="","",'[2]Aanvraag inhuur'!$C$95)</f>
        <v/>
      </c>
      <c r="AB71" s="518" t="str">
        <f>IF($A71="","",'[2]Aanvraag inhuur'!$C$97)</f>
        <v/>
      </c>
      <c r="AC71" s="518" t="str">
        <f>IF($A71="","",'[2]Aanvraag inhuur'!$C$98)</f>
        <v/>
      </c>
      <c r="AD71" s="517" t="s">
        <v>1267</v>
      </c>
      <c r="AE71" s="551"/>
      <c r="AF71" s="518" t="str">
        <f t="shared" si="19"/>
        <v/>
      </c>
      <c r="AG71" s="518" t="str">
        <f>IF($A71="","",'[2]Overzicht inhuurdesk'!$I$12)</f>
        <v/>
      </c>
      <c r="AH71" s="550">
        <v>67</v>
      </c>
    </row>
    <row r="72" spans="1:34">
      <c r="A72" s="518" t="str">
        <f>IF(AND('[2]Overzicht inhuurdesk'!$I$1&gt;AH72,J72&lt;&gt;0),CONCATENATE(LEFT(A71,7),IF(RIGHT(A71,3)+1&lt;10,CONCATENATE("00",RIGHT(A71,3)+1),IF(RIGHT(A71,3)+1&lt;100,CONCATENATE("0",RIGHT(A71,3)+1),RIGHT(A71,3)+1))),"")</f>
        <v/>
      </c>
      <c r="B72" s="518" t="str">
        <f>IF(A72="","",VLOOKUP('[2]Overzicht inhuurdesk'!$C$9,'[2]Brongegevens tbv nokgenerator'!H$2:I$27,2,FALSE))</f>
        <v/>
      </c>
      <c r="C72" s="518" t="str">
        <f>IF(A72="","",VLOOKUP('[2]Overzicht inhuurdesk'!$C$10,'[2]Brongegevens tbv nokgenerator'!K$2:L$301,2,FALSE))</f>
        <v/>
      </c>
      <c r="D72" s="518" t="str">
        <f>IF($A72="","",VLOOKUP('[2]Overzicht inhuurdesk'!$C$7,'[2]Brongegevens tbv nokgenerator'!E$2:F$18,2,FALSE))</f>
        <v/>
      </c>
      <c r="E72" s="518" t="str">
        <f>IF($A72="","",VLOOKUP('[2]Overzicht inhuurdesk'!$C$6,'[2]Brongegevens tbv nokgenerator'!$C$2:$D$4,2,FALSE))</f>
        <v/>
      </c>
      <c r="F72" s="518" t="str">
        <f t="shared" si="20"/>
        <v/>
      </c>
      <c r="G72" s="552" t="str">
        <f t="shared" si="18"/>
        <v/>
      </c>
      <c r="H72" s="552" t="str">
        <f>IF($A72="","",TRUNC('[2]Overzicht inhuurdesk'!$T$8))</f>
        <v/>
      </c>
      <c r="I72" s="515" t="str">
        <f t="shared" si="21"/>
        <v/>
      </c>
      <c r="J72" s="551"/>
      <c r="K72" s="516"/>
      <c r="L72" s="516"/>
      <c r="M72" s="516"/>
      <c r="N72" s="516"/>
      <c r="O72" s="518" t="str">
        <f>IF($A72="","",'[2]Aanvraag inhuur'!$C$110)</f>
        <v/>
      </c>
      <c r="P72" s="518" t="str">
        <f>IF($A72="","",CONCATENATE('[2]Aanvraag inhuur'!$C$18," ",'[2]Aanvraag inhuur'!$C$22))</f>
        <v/>
      </c>
      <c r="Q72" s="551"/>
      <c r="R72" s="518" t="str">
        <f>IF($A72="","",VLOOKUP(CONCATENATE('[2]Overzicht inhuurdesk'!$C$9,'[2]Overzicht inhuurdesk'!$C$10,$Q72),[2]Leveranciersnamen!A:K,11,FALSE))</f>
        <v/>
      </c>
      <c r="S72" s="551"/>
      <c r="T72" s="553" t="str">
        <f t="shared" si="22"/>
        <v/>
      </c>
      <c r="U72" s="553" t="str">
        <f t="shared" si="23"/>
        <v/>
      </c>
      <c r="V72" s="553" t="str">
        <f t="shared" si="24"/>
        <v/>
      </c>
      <c r="W72" s="553" t="str">
        <f t="shared" si="25"/>
        <v/>
      </c>
      <c r="X72" s="552" t="str">
        <f>IF($A72="","",'[2]Overzicht inhuurdesk'!$T$12)</f>
        <v/>
      </c>
      <c r="Y72" s="516" t="str">
        <f t="shared" si="26"/>
        <v/>
      </c>
      <c r="Z72" s="518" t="str">
        <f>IF($A72="","",'[2]Aanvraag inhuur'!$G$93)</f>
        <v/>
      </c>
      <c r="AA72" s="518" t="str">
        <f>IF($A72="","",'[2]Aanvraag inhuur'!$C$95)</f>
        <v/>
      </c>
      <c r="AB72" s="518" t="str">
        <f>IF($A72="","",'[2]Aanvraag inhuur'!$C$97)</f>
        <v/>
      </c>
      <c r="AC72" s="518" t="str">
        <f>IF($A72="","",'[2]Aanvraag inhuur'!$C$98)</f>
        <v/>
      </c>
      <c r="AD72" s="517" t="s">
        <v>1267</v>
      </c>
      <c r="AE72" s="551"/>
      <c r="AF72" s="518" t="str">
        <f t="shared" si="19"/>
        <v/>
      </c>
      <c r="AG72" s="518" t="str">
        <f>IF($A72="","",'[2]Overzicht inhuurdesk'!$I$12)</f>
        <v/>
      </c>
      <c r="AH72" s="550">
        <v>68</v>
      </c>
    </row>
    <row r="73" spans="1:34">
      <c r="A73" s="518" t="str">
        <f>IF(AND('[2]Overzicht inhuurdesk'!$I$1&gt;AH73,J73&lt;&gt;0),CONCATENATE(LEFT(A72,7),IF(RIGHT(A72,3)+1&lt;10,CONCATENATE("00",RIGHT(A72,3)+1),IF(RIGHT(A72,3)+1&lt;100,CONCATENATE("0",RIGHT(A72,3)+1),RIGHT(A72,3)+1))),"")</f>
        <v/>
      </c>
      <c r="B73" s="518" t="str">
        <f>IF(A73="","",VLOOKUP('[2]Overzicht inhuurdesk'!$C$9,'[2]Brongegevens tbv nokgenerator'!H$2:I$27,2,FALSE))</f>
        <v/>
      </c>
      <c r="C73" s="518" t="str">
        <f>IF(A73="","",VLOOKUP('[2]Overzicht inhuurdesk'!$C$10,'[2]Brongegevens tbv nokgenerator'!K$2:L$301,2,FALSE))</f>
        <v/>
      </c>
      <c r="D73" s="518" t="str">
        <f>IF($A73="","",VLOOKUP('[2]Overzicht inhuurdesk'!$C$7,'[2]Brongegevens tbv nokgenerator'!E$2:F$18,2,FALSE))</f>
        <v/>
      </c>
      <c r="E73" s="518" t="str">
        <f>IF($A73="","",VLOOKUP('[2]Overzicht inhuurdesk'!$C$6,'[2]Brongegevens tbv nokgenerator'!$C$2:$D$4,2,FALSE))</f>
        <v/>
      </c>
      <c r="F73" s="518" t="str">
        <f t="shared" si="20"/>
        <v/>
      </c>
      <c r="G73" s="552" t="str">
        <f t="shared" si="18"/>
        <v/>
      </c>
      <c r="H73" s="552" t="str">
        <f>IF($A73="","",TRUNC('[2]Overzicht inhuurdesk'!$T$8))</f>
        <v/>
      </c>
      <c r="I73" s="515" t="str">
        <f t="shared" si="21"/>
        <v/>
      </c>
      <c r="J73" s="551"/>
      <c r="K73" s="516"/>
      <c r="L73" s="516"/>
      <c r="M73" s="516"/>
      <c r="N73" s="516"/>
      <c r="O73" s="518" t="str">
        <f>IF($A73="","",'[2]Aanvraag inhuur'!$C$110)</f>
        <v/>
      </c>
      <c r="P73" s="518" t="str">
        <f>IF($A73="","",CONCATENATE('[2]Aanvraag inhuur'!$C$18," ",'[2]Aanvraag inhuur'!$C$22))</f>
        <v/>
      </c>
      <c r="Q73" s="551"/>
      <c r="R73" s="518" t="str">
        <f>IF($A73="","",VLOOKUP(CONCATENATE('[2]Overzicht inhuurdesk'!$C$9,'[2]Overzicht inhuurdesk'!$C$10,$Q73),[2]Leveranciersnamen!A:K,11,FALSE))</f>
        <v/>
      </c>
      <c r="S73" s="551"/>
      <c r="T73" s="553" t="str">
        <f t="shared" si="22"/>
        <v/>
      </c>
      <c r="U73" s="553" t="str">
        <f t="shared" si="23"/>
        <v/>
      </c>
      <c r="V73" s="553" t="str">
        <f t="shared" si="24"/>
        <v/>
      </c>
      <c r="W73" s="553" t="str">
        <f t="shared" si="25"/>
        <v/>
      </c>
      <c r="X73" s="552" t="str">
        <f>IF($A73="","",'[2]Overzicht inhuurdesk'!$T$12)</f>
        <v/>
      </c>
      <c r="Y73" s="516" t="str">
        <f t="shared" si="26"/>
        <v/>
      </c>
      <c r="Z73" s="518" t="str">
        <f>IF($A73="","",'[2]Aanvraag inhuur'!$G$93)</f>
        <v/>
      </c>
      <c r="AA73" s="518" t="str">
        <f>IF($A73="","",'[2]Aanvraag inhuur'!$C$95)</f>
        <v/>
      </c>
      <c r="AB73" s="518" t="str">
        <f>IF($A73="","",'[2]Aanvraag inhuur'!$C$97)</f>
        <v/>
      </c>
      <c r="AC73" s="518" t="str">
        <f>IF($A73="","",'[2]Aanvraag inhuur'!$C$98)</f>
        <v/>
      </c>
      <c r="AD73" s="517" t="s">
        <v>1267</v>
      </c>
      <c r="AE73" s="551"/>
      <c r="AF73" s="518" t="str">
        <f t="shared" si="19"/>
        <v/>
      </c>
      <c r="AG73" s="518" t="str">
        <f>IF($A73="","",'[2]Overzicht inhuurdesk'!$I$12)</f>
        <v/>
      </c>
      <c r="AH73" s="550">
        <v>69</v>
      </c>
    </row>
    <row r="74" spans="1:34">
      <c r="A74" s="518" t="str">
        <f>IF(AND('[2]Overzicht inhuurdesk'!$I$1&gt;AH74,J74&lt;&gt;0),CONCATENATE(LEFT(A73,7),IF(RIGHT(A73,3)+1&lt;10,CONCATENATE("00",RIGHT(A73,3)+1),IF(RIGHT(A73,3)+1&lt;100,CONCATENATE("0",RIGHT(A73,3)+1),RIGHT(A73,3)+1))),"")</f>
        <v/>
      </c>
      <c r="B74" s="518" t="str">
        <f>IF(A74="","",VLOOKUP('[2]Overzicht inhuurdesk'!$C$9,'[2]Brongegevens tbv nokgenerator'!H$2:I$27,2,FALSE))</f>
        <v/>
      </c>
      <c r="C74" s="518" t="str">
        <f>IF(A74="","",VLOOKUP('[2]Overzicht inhuurdesk'!$C$10,'[2]Brongegevens tbv nokgenerator'!K$2:L$301,2,FALSE))</f>
        <v/>
      </c>
      <c r="D74" s="518" t="str">
        <f>IF($A74="","",VLOOKUP('[2]Overzicht inhuurdesk'!$C$7,'[2]Brongegevens tbv nokgenerator'!E$2:F$18,2,FALSE))</f>
        <v/>
      </c>
      <c r="E74" s="518" t="str">
        <f>IF($A74="","",VLOOKUP('[2]Overzicht inhuurdesk'!$C$6,'[2]Brongegevens tbv nokgenerator'!$C$2:$D$4,2,FALSE))</f>
        <v/>
      </c>
      <c r="F74" s="518" t="str">
        <f t="shared" si="20"/>
        <v/>
      </c>
      <c r="G74" s="552" t="str">
        <f t="shared" si="18"/>
        <v/>
      </c>
      <c r="H74" s="552" t="str">
        <f>IF($A74="","",TRUNC('[2]Overzicht inhuurdesk'!$T$8))</f>
        <v/>
      </c>
      <c r="I74" s="515" t="str">
        <f t="shared" si="21"/>
        <v/>
      </c>
      <c r="J74" s="551"/>
      <c r="K74" s="516"/>
      <c r="L74" s="516"/>
      <c r="M74" s="516"/>
      <c r="N74" s="516"/>
      <c r="O74" s="518" t="str">
        <f>IF($A74="","",'[2]Aanvraag inhuur'!$C$110)</f>
        <v/>
      </c>
      <c r="P74" s="518" t="str">
        <f>IF($A74="","",CONCATENATE('[2]Aanvraag inhuur'!$C$18," ",'[2]Aanvraag inhuur'!$C$22))</f>
        <v/>
      </c>
      <c r="Q74" s="551"/>
      <c r="R74" s="518" t="str">
        <f>IF($A74="","",VLOOKUP(CONCATENATE('[2]Overzicht inhuurdesk'!$C$9,'[2]Overzicht inhuurdesk'!$C$10,$Q74),[2]Leveranciersnamen!A:K,11,FALSE))</f>
        <v/>
      </c>
      <c r="S74" s="551"/>
      <c r="T74" s="553" t="str">
        <f t="shared" si="22"/>
        <v/>
      </c>
      <c r="U74" s="553" t="str">
        <f t="shared" si="23"/>
        <v/>
      </c>
      <c r="V74" s="553" t="str">
        <f t="shared" si="24"/>
        <v/>
      </c>
      <c r="W74" s="553" t="str">
        <f t="shared" si="25"/>
        <v/>
      </c>
      <c r="X74" s="552" t="str">
        <f>IF($A74="","",'[2]Overzicht inhuurdesk'!$T$12)</f>
        <v/>
      </c>
      <c r="Y74" s="516" t="str">
        <f t="shared" si="26"/>
        <v/>
      </c>
      <c r="Z74" s="518" t="str">
        <f>IF($A74="","",'[2]Aanvraag inhuur'!$G$93)</f>
        <v/>
      </c>
      <c r="AA74" s="518" t="str">
        <f>IF($A74="","",'[2]Aanvraag inhuur'!$C$95)</f>
        <v/>
      </c>
      <c r="AB74" s="518" t="str">
        <f>IF($A74="","",'[2]Aanvraag inhuur'!$C$97)</f>
        <v/>
      </c>
      <c r="AC74" s="518" t="str">
        <f>IF($A74="","",'[2]Aanvraag inhuur'!$C$98)</f>
        <v/>
      </c>
      <c r="AD74" s="517" t="s">
        <v>1267</v>
      </c>
      <c r="AE74" s="551"/>
      <c r="AF74" s="518" t="str">
        <f t="shared" si="19"/>
        <v/>
      </c>
      <c r="AG74" s="518" t="str">
        <f>IF($A74="","",'[2]Overzicht inhuurdesk'!$I$12)</f>
        <v/>
      </c>
      <c r="AH74" s="550">
        <v>70</v>
      </c>
    </row>
    <row r="75" spans="1:34">
      <c r="A75" s="518" t="str">
        <f>IF(AND('[2]Overzicht inhuurdesk'!$I$1&gt;AH75,J75&lt;&gt;0),CONCATENATE(LEFT(A74,7),IF(RIGHT(A74,3)+1&lt;10,CONCATENATE("00",RIGHT(A74,3)+1),IF(RIGHT(A74,3)+1&lt;100,CONCATENATE("0",RIGHT(A74,3)+1),RIGHT(A74,3)+1))),"")</f>
        <v/>
      </c>
      <c r="B75" s="518" t="str">
        <f>IF(A75="","",VLOOKUP('[2]Overzicht inhuurdesk'!$C$9,'[2]Brongegevens tbv nokgenerator'!H$2:I$27,2,FALSE))</f>
        <v/>
      </c>
      <c r="C75" s="518" t="str">
        <f>IF(A75="","",VLOOKUP('[2]Overzicht inhuurdesk'!$C$10,'[2]Brongegevens tbv nokgenerator'!K$2:L$301,2,FALSE))</f>
        <v/>
      </c>
      <c r="D75" s="518" t="str">
        <f>IF($A75="","",VLOOKUP('[2]Overzicht inhuurdesk'!$C$7,'[2]Brongegevens tbv nokgenerator'!E$2:F$18,2,FALSE))</f>
        <v/>
      </c>
      <c r="E75" s="518" t="str">
        <f>IF($A75="","",VLOOKUP('[2]Overzicht inhuurdesk'!$C$6,'[2]Brongegevens tbv nokgenerator'!$C$2:$D$4,2,FALSE))</f>
        <v/>
      </c>
      <c r="F75" s="518" t="str">
        <f t="shared" si="20"/>
        <v/>
      </c>
      <c r="G75" s="552" t="str">
        <f t="shared" si="18"/>
        <v/>
      </c>
      <c r="H75" s="552" t="str">
        <f>IF($A75="","",TRUNC('[2]Overzicht inhuurdesk'!$T$8))</f>
        <v/>
      </c>
      <c r="I75" s="515" t="str">
        <f t="shared" si="21"/>
        <v/>
      </c>
      <c r="J75" s="551"/>
      <c r="K75" s="516"/>
      <c r="L75" s="516"/>
      <c r="M75" s="516"/>
      <c r="N75" s="516"/>
      <c r="O75" s="518" t="str">
        <f>IF($A75="","",'[2]Aanvraag inhuur'!$C$110)</f>
        <v/>
      </c>
      <c r="P75" s="518" t="str">
        <f>IF($A75="","",CONCATENATE('[2]Aanvraag inhuur'!$C$18," ",'[2]Aanvraag inhuur'!$C$22))</f>
        <v/>
      </c>
      <c r="Q75" s="551"/>
      <c r="R75" s="518" t="str">
        <f>IF($A75="","",VLOOKUP(CONCATENATE('[2]Overzicht inhuurdesk'!$C$9,'[2]Overzicht inhuurdesk'!$C$10,$Q75),[2]Leveranciersnamen!A:K,11,FALSE))</f>
        <v/>
      </c>
      <c r="S75" s="551"/>
      <c r="T75" s="553" t="str">
        <f t="shared" si="22"/>
        <v/>
      </c>
      <c r="U75" s="553" t="str">
        <f t="shared" si="23"/>
        <v/>
      </c>
      <c r="V75" s="553" t="str">
        <f t="shared" si="24"/>
        <v/>
      </c>
      <c r="W75" s="553" t="str">
        <f t="shared" si="25"/>
        <v/>
      </c>
      <c r="X75" s="552" t="str">
        <f>IF($A75="","",'[2]Overzicht inhuurdesk'!$T$12)</f>
        <v/>
      </c>
      <c r="Y75" s="516" t="str">
        <f t="shared" si="26"/>
        <v/>
      </c>
      <c r="Z75" s="518" t="str">
        <f>IF($A75="","",'[2]Aanvraag inhuur'!$G$93)</f>
        <v/>
      </c>
      <c r="AA75" s="518" t="str">
        <f>IF($A75="","",'[2]Aanvraag inhuur'!$C$95)</f>
        <v/>
      </c>
      <c r="AB75" s="518" t="str">
        <f>IF($A75="","",'[2]Aanvraag inhuur'!$C$97)</f>
        <v/>
      </c>
      <c r="AC75" s="518" t="str">
        <f>IF($A75="","",'[2]Aanvraag inhuur'!$C$98)</f>
        <v/>
      </c>
      <c r="AD75" s="517" t="s">
        <v>1267</v>
      </c>
      <c r="AE75" s="551"/>
      <c r="AF75" s="518" t="str">
        <f t="shared" si="19"/>
        <v/>
      </c>
      <c r="AG75" s="518" t="str">
        <f>IF($A75="","",'[2]Overzicht inhuurdesk'!$I$12)</f>
        <v/>
      </c>
      <c r="AH75" s="550">
        <v>71</v>
      </c>
    </row>
    <row r="76" spans="1:34">
      <c r="A76" s="518" t="str">
        <f>IF(AND('[2]Overzicht inhuurdesk'!$I$1&gt;AH76,J76&lt;&gt;0),CONCATENATE(LEFT(A75,7),IF(RIGHT(A75,3)+1&lt;10,CONCATENATE("00",RIGHT(A75,3)+1),IF(RIGHT(A75,3)+1&lt;100,CONCATENATE("0",RIGHT(A75,3)+1),RIGHT(A75,3)+1))),"")</f>
        <v/>
      </c>
      <c r="B76" s="518" t="str">
        <f>IF(A76="","",VLOOKUP('[2]Overzicht inhuurdesk'!$C$9,'[2]Brongegevens tbv nokgenerator'!H$2:I$27,2,FALSE))</f>
        <v/>
      </c>
      <c r="C76" s="518" t="str">
        <f>IF(A76="","",VLOOKUP('[2]Overzicht inhuurdesk'!$C$10,'[2]Brongegevens tbv nokgenerator'!K$2:L$301,2,FALSE))</f>
        <v/>
      </c>
      <c r="D76" s="518" t="str">
        <f>IF($A76="","",VLOOKUP('[2]Overzicht inhuurdesk'!$C$7,'[2]Brongegevens tbv nokgenerator'!E$2:F$18,2,FALSE))</f>
        <v/>
      </c>
      <c r="E76" s="518" t="str">
        <f>IF($A76="","",VLOOKUP('[2]Overzicht inhuurdesk'!$C$6,'[2]Brongegevens tbv nokgenerator'!$C$2:$D$4,2,FALSE))</f>
        <v/>
      </c>
      <c r="F76" s="518" t="str">
        <f t="shared" si="20"/>
        <v/>
      </c>
      <c r="G76" s="552" t="str">
        <f t="shared" si="18"/>
        <v/>
      </c>
      <c r="H76" s="552" t="str">
        <f>IF($A76="","",TRUNC('[2]Overzicht inhuurdesk'!$T$8))</f>
        <v/>
      </c>
      <c r="I76" s="515" t="str">
        <f t="shared" si="21"/>
        <v/>
      </c>
      <c r="J76" s="551"/>
      <c r="K76" s="516"/>
      <c r="L76" s="516"/>
      <c r="M76" s="516"/>
      <c r="N76" s="516"/>
      <c r="O76" s="518" t="str">
        <f>IF($A76="","",'[2]Aanvraag inhuur'!$C$110)</f>
        <v/>
      </c>
      <c r="P76" s="518" t="str">
        <f>IF($A76="","",CONCATENATE('[2]Aanvraag inhuur'!$C$18," ",'[2]Aanvraag inhuur'!$C$22))</f>
        <v/>
      </c>
      <c r="Q76" s="551"/>
      <c r="R76" s="518" t="str">
        <f>IF($A76="","",VLOOKUP(CONCATENATE('[2]Overzicht inhuurdesk'!$C$9,'[2]Overzicht inhuurdesk'!$C$10,$Q76),[2]Leveranciersnamen!A:K,11,FALSE))</f>
        <v/>
      </c>
      <c r="S76" s="551"/>
      <c r="T76" s="553" t="str">
        <f t="shared" si="22"/>
        <v/>
      </c>
      <c r="U76" s="553" t="str">
        <f t="shared" si="23"/>
        <v/>
      </c>
      <c r="V76" s="553" t="str">
        <f t="shared" si="24"/>
        <v/>
      </c>
      <c r="W76" s="553" t="str">
        <f t="shared" si="25"/>
        <v/>
      </c>
      <c r="X76" s="552" t="str">
        <f>IF($A76="","",'[2]Overzicht inhuurdesk'!$T$12)</f>
        <v/>
      </c>
      <c r="Y76" s="516" t="str">
        <f t="shared" si="26"/>
        <v/>
      </c>
      <c r="Z76" s="518" t="str">
        <f>IF($A76="","",'[2]Aanvraag inhuur'!$G$93)</f>
        <v/>
      </c>
      <c r="AA76" s="518" t="str">
        <f>IF($A76="","",'[2]Aanvraag inhuur'!$C$95)</f>
        <v/>
      </c>
      <c r="AB76" s="518" t="str">
        <f>IF($A76="","",'[2]Aanvraag inhuur'!$C$97)</f>
        <v/>
      </c>
      <c r="AC76" s="518" t="str">
        <f>IF($A76="","",'[2]Aanvraag inhuur'!$C$98)</f>
        <v/>
      </c>
      <c r="AD76" s="517" t="s">
        <v>1267</v>
      </c>
      <c r="AE76" s="551"/>
      <c r="AF76" s="518" t="str">
        <f t="shared" si="19"/>
        <v/>
      </c>
      <c r="AG76" s="518" t="str">
        <f>IF($A76="","",'[2]Overzicht inhuurdesk'!$I$12)</f>
        <v/>
      </c>
      <c r="AH76" s="550">
        <v>72</v>
      </c>
    </row>
    <row r="77" spans="1:34">
      <c r="A77" s="518" t="str">
        <f>IF(AND('[2]Overzicht inhuurdesk'!$I$1&gt;AH77,J77&lt;&gt;0),CONCATENATE(LEFT(A76,7),IF(RIGHT(A76,3)+1&lt;10,CONCATENATE("00",RIGHT(A76,3)+1),IF(RIGHT(A76,3)+1&lt;100,CONCATENATE("0",RIGHT(A76,3)+1),RIGHT(A76,3)+1))),"")</f>
        <v/>
      </c>
      <c r="B77" s="518" t="str">
        <f>IF(A77="","",VLOOKUP('[2]Overzicht inhuurdesk'!$C$9,'[2]Brongegevens tbv nokgenerator'!H$2:I$27,2,FALSE))</f>
        <v/>
      </c>
      <c r="C77" s="518" t="str">
        <f>IF(A77="","",VLOOKUP('[2]Overzicht inhuurdesk'!$C$10,'[2]Brongegevens tbv nokgenerator'!K$2:L$301,2,FALSE))</f>
        <v/>
      </c>
      <c r="D77" s="518" t="str">
        <f>IF($A77="","",VLOOKUP('[2]Overzicht inhuurdesk'!$C$7,'[2]Brongegevens tbv nokgenerator'!E$2:F$18,2,FALSE))</f>
        <v/>
      </c>
      <c r="E77" s="518" t="str">
        <f>IF($A77="","",VLOOKUP('[2]Overzicht inhuurdesk'!$C$6,'[2]Brongegevens tbv nokgenerator'!$C$2:$D$4,2,FALSE))</f>
        <v/>
      </c>
      <c r="F77" s="518" t="str">
        <f t="shared" si="20"/>
        <v/>
      </c>
      <c r="G77" s="552" t="str">
        <f t="shared" si="18"/>
        <v/>
      </c>
      <c r="H77" s="552" t="str">
        <f>IF($A77="","",TRUNC('[2]Overzicht inhuurdesk'!$T$8))</f>
        <v/>
      </c>
      <c r="I77" s="515" t="str">
        <f t="shared" si="21"/>
        <v/>
      </c>
      <c r="J77" s="551"/>
      <c r="K77" s="516"/>
      <c r="L77" s="516"/>
      <c r="M77" s="516"/>
      <c r="N77" s="516"/>
      <c r="O77" s="518" t="str">
        <f>IF($A77="","",'[2]Aanvraag inhuur'!$C$110)</f>
        <v/>
      </c>
      <c r="P77" s="518" t="str">
        <f>IF($A77="","",CONCATENATE('[2]Aanvraag inhuur'!$C$18," ",'[2]Aanvraag inhuur'!$C$22))</f>
        <v/>
      </c>
      <c r="Q77" s="551"/>
      <c r="R77" s="518" t="str">
        <f>IF($A77="","",VLOOKUP(CONCATENATE('[2]Overzicht inhuurdesk'!$C$9,'[2]Overzicht inhuurdesk'!$C$10,$Q77),[2]Leveranciersnamen!A:K,11,FALSE))</f>
        <v/>
      </c>
      <c r="S77" s="551"/>
      <c r="T77" s="553" t="str">
        <f t="shared" si="22"/>
        <v/>
      </c>
      <c r="U77" s="553" t="str">
        <f t="shared" si="23"/>
        <v/>
      </c>
      <c r="V77" s="553" t="str">
        <f t="shared" si="24"/>
        <v/>
      </c>
      <c r="W77" s="553" t="str">
        <f t="shared" si="25"/>
        <v/>
      </c>
      <c r="X77" s="552" t="str">
        <f>IF($A77="","",'[2]Overzicht inhuurdesk'!$T$12)</f>
        <v/>
      </c>
      <c r="Y77" s="516" t="str">
        <f t="shared" si="26"/>
        <v/>
      </c>
      <c r="Z77" s="518" t="str">
        <f>IF($A77="","",'[2]Aanvraag inhuur'!$G$93)</f>
        <v/>
      </c>
      <c r="AA77" s="518" t="str">
        <f>IF($A77="","",'[2]Aanvraag inhuur'!$C$95)</f>
        <v/>
      </c>
      <c r="AB77" s="518" t="str">
        <f>IF($A77="","",'[2]Aanvraag inhuur'!$C$97)</f>
        <v/>
      </c>
      <c r="AC77" s="518" t="str">
        <f>IF($A77="","",'[2]Aanvraag inhuur'!$C$98)</f>
        <v/>
      </c>
      <c r="AD77" s="517" t="s">
        <v>1267</v>
      </c>
      <c r="AE77" s="551"/>
      <c r="AF77" s="518" t="str">
        <f t="shared" si="19"/>
        <v/>
      </c>
      <c r="AG77" s="518" t="str">
        <f>IF($A77="","",'[2]Overzicht inhuurdesk'!$I$12)</f>
        <v/>
      </c>
      <c r="AH77" s="550">
        <v>73</v>
      </c>
    </row>
    <row r="78" spans="1:34">
      <c r="A78" s="518" t="str">
        <f>IF(AND('[2]Overzicht inhuurdesk'!$I$1&gt;AH78,J78&lt;&gt;0),CONCATENATE(LEFT(A77,7),IF(RIGHT(A77,3)+1&lt;10,CONCATENATE("00",RIGHT(A77,3)+1),IF(RIGHT(A77,3)+1&lt;100,CONCATENATE("0",RIGHT(A77,3)+1),RIGHT(A77,3)+1))),"")</f>
        <v/>
      </c>
      <c r="B78" s="518" t="str">
        <f>IF(A78="","",VLOOKUP('[2]Overzicht inhuurdesk'!$C$9,'[2]Brongegevens tbv nokgenerator'!H$2:I$27,2,FALSE))</f>
        <v/>
      </c>
      <c r="C78" s="518" t="str">
        <f>IF(A78="","",VLOOKUP('[2]Overzicht inhuurdesk'!$C$10,'[2]Brongegevens tbv nokgenerator'!K$2:L$301,2,FALSE))</f>
        <v/>
      </c>
      <c r="D78" s="518" t="str">
        <f>IF($A78="","",VLOOKUP('[2]Overzicht inhuurdesk'!$C$7,'[2]Brongegevens tbv nokgenerator'!E$2:F$18,2,FALSE))</f>
        <v/>
      </c>
      <c r="E78" s="518" t="str">
        <f>IF($A78="","",VLOOKUP('[2]Overzicht inhuurdesk'!$C$6,'[2]Brongegevens tbv nokgenerator'!$C$2:$D$4,2,FALSE))</f>
        <v/>
      </c>
      <c r="F78" s="518" t="str">
        <f t="shared" si="20"/>
        <v/>
      </c>
      <c r="G78" s="552" t="str">
        <f t="shared" si="18"/>
        <v/>
      </c>
      <c r="H78" s="552" t="str">
        <f>IF($A78="","",TRUNC('[2]Overzicht inhuurdesk'!$T$8))</f>
        <v/>
      </c>
      <c r="I78" s="515" t="str">
        <f t="shared" si="21"/>
        <v/>
      </c>
      <c r="J78" s="551"/>
      <c r="K78" s="516"/>
      <c r="L78" s="516"/>
      <c r="M78" s="516"/>
      <c r="N78" s="516"/>
      <c r="O78" s="518" t="str">
        <f>IF($A78="","",'[2]Aanvraag inhuur'!$C$110)</f>
        <v/>
      </c>
      <c r="P78" s="518" t="str">
        <f>IF($A78="","",CONCATENATE('[2]Aanvraag inhuur'!$C$18," ",'[2]Aanvraag inhuur'!$C$22))</f>
        <v/>
      </c>
      <c r="Q78" s="551"/>
      <c r="R78" s="518" t="str">
        <f>IF($A78="","",VLOOKUP(CONCATENATE('[2]Overzicht inhuurdesk'!$C$9,'[2]Overzicht inhuurdesk'!$C$10,$Q78),[2]Leveranciersnamen!A:K,11,FALSE))</f>
        <v/>
      </c>
      <c r="S78" s="551"/>
      <c r="T78" s="553" t="str">
        <f t="shared" si="22"/>
        <v/>
      </c>
      <c r="U78" s="553" t="str">
        <f t="shared" si="23"/>
        <v/>
      </c>
      <c r="V78" s="553" t="str">
        <f t="shared" si="24"/>
        <v/>
      </c>
      <c r="W78" s="553" t="str">
        <f t="shared" si="25"/>
        <v/>
      </c>
      <c r="X78" s="552" t="str">
        <f>IF($A78="","",'[2]Overzicht inhuurdesk'!$T$12)</f>
        <v/>
      </c>
      <c r="Y78" s="516" t="str">
        <f t="shared" si="26"/>
        <v/>
      </c>
      <c r="Z78" s="518" t="str">
        <f>IF($A78="","",'[2]Aanvraag inhuur'!$G$93)</f>
        <v/>
      </c>
      <c r="AA78" s="518" t="str">
        <f>IF($A78="","",'[2]Aanvraag inhuur'!$C$95)</f>
        <v/>
      </c>
      <c r="AB78" s="518" t="str">
        <f>IF($A78="","",'[2]Aanvraag inhuur'!$C$97)</f>
        <v/>
      </c>
      <c r="AC78" s="518" t="str">
        <f>IF($A78="","",'[2]Aanvraag inhuur'!$C$98)</f>
        <v/>
      </c>
      <c r="AD78" s="517" t="s">
        <v>1267</v>
      </c>
      <c r="AE78" s="551"/>
      <c r="AF78" s="518" t="str">
        <f t="shared" si="19"/>
        <v/>
      </c>
      <c r="AG78" s="518" t="str">
        <f>IF($A78="","",'[2]Overzicht inhuurdesk'!$I$12)</f>
        <v/>
      </c>
      <c r="AH78" s="550">
        <v>74</v>
      </c>
    </row>
    <row r="79" spans="1:34">
      <c r="A79" s="518" t="str">
        <f>IF(AND('[2]Overzicht inhuurdesk'!$I$1&gt;AH79,J79&lt;&gt;0),CONCATENATE(LEFT(A78,7),IF(RIGHT(A78,3)+1&lt;10,CONCATENATE("00",RIGHT(A78,3)+1),IF(RIGHT(A78,3)+1&lt;100,CONCATENATE("0",RIGHT(A78,3)+1),RIGHT(A78,3)+1))),"")</f>
        <v/>
      </c>
      <c r="B79" s="518" t="str">
        <f>IF(A79="","",VLOOKUP('[2]Overzicht inhuurdesk'!$C$9,'[2]Brongegevens tbv nokgenerator'!H$2:I$27,2,FALSE))</f>
        <v/>
      </c>
      <c r="C79" s="518" t="str">
        <f>IF(A79="","",VLOOKUP('[2]Overzicht inhuurdesk'!$C$10,'[2]Brongegevens tbv nokgenerator'!K$2:L$301,2,FALSE))</f>
        <v/>
      </c>
      <c r="D79" s="518" t="str">
        <f>IF($A79="","",VLOOKUP('[2]Overzicht inhuurdesk'!$C$7,'[2]Brongegevens tbv nokgenerator'!E$2:F$18,2,FALSE))</f>
        <v/>
      </c>
      <c r="E79" s="518" t="str">
        <f>IF($A79="","",VLOOKUP('[2]Overzicht inhuurdesk'!$C$6,'[2]Brongegevens tbv nokgenerator'!$C$2:$D$4,2,FALSE))</f>
        <v/>
      </c>
      <c r="F79" s="518" t="str">
        <f t="shared" si="20"/>
        <v/>
      </c>
      <c r="G79" s="552" t="str">
        <f t="shared" si="18"/>
        <v/>
      </c>
      <c r="H79" s="552" t="str">
        <f>IF($A79="","",TRUNC('[2]Overzicht inhuurdesk'!$T$8))</f>
        <v/>
      </c>
      <c r="I79" s="515" t="str">
        <f t="shared" si="21"/>
        <v/>
      </c>
      <c r="J79" s="551"/>
      <c r="K79" s="516"/>
      <c r="L79" s="516"/>
      <c r="M79" s="516"/>
      <c r="N79" s="516"/>
      <c r="O79" s="518" t="str">
        <f>IF($A79="","",'[2]Aanvraag inhuur'!$C$110)</f>
        <v/>
      </c>
      <c r="P79" s="518" t="str">
        <f>IF($A79="","",CONCATENATE('[2]Aanvraag inhuur'!$C$18," ",'[2]Aanvraag inhuur'!$C$22))</f>
        <v/>
      </c>
      <c r="Q79" s="551"/>
      <c r="R79" s="518" t="str">
        <f>IF($A79="","",VLOOKUP(CONCATENATE('[2]Overzicht inhuurdesk'!$C$9,'[2]Overzicht inhuurdesk'!$C$10,$Q79),[2]Leveranciersnamen!A:K,11,FALSE))</f>
        <v/>
      </c>
      <c r="S79" s="551"/>
      <c r="T79" s="553" t="str">
        <f t="shared" si="22"/>
        <v/>
      </c>
      <c r="U79" s="553" t="str">
        <f t="shared" si="23"/>
        <v/>
      </c>
      <c r="V79" s="553" t="str">
        <f t="shared" si="24"/>
        <v/>
      </c>
      <c r="W79" s="553" t="str">
        <f t="shared" si="25"/>
        <v/>
      </c>
      <c r="X79" s="552" t="str">
        <f>IF($A79="","",'[2]Overzicht inhuurdesk'!$T$12)</f>
        <v/>
      </c>
      <c r="Y79" s="516" t="str">
        <f t="shared" si="26"/>
        <v/>
      </c>
      <c r="Z79" s="518" t="str">
        <f>IF($A79="","",'[2]Aanvraag inhuur'!$G$93)</f>
        <v/>
      </c>
      <c r="AA79" s="518" t="str">
        <f>IF($A79="","",'[2]Aanvraag inhuur'!$C$95)</f>
        <v/>
      </c>
      <c r="AB79" s="518" t="str">
        <f>IF($A79="","",'[2]Aanvraag inhuur'!$C$97)</f>
        <v/>
      </c>
      <c r="AC79" s="518" t="str">
        <f>IF($A79="","",'[2]Aanvraag inhuur'!$C$98)</f>
        <v/>
      </c>
      <c r="AD79" s="517" t="s">
        <v>1267</v>
      </c>
      <c r="AE79" s="551"/>
      <c r="AF79" s="518" t="str">
        <f t="shared" si="19"/>
        <v/>
      </c>
      <c r="AG79" s="518" t="str">
        <f>IF($A79="","",'[2]Overzicht inhuurdesk'!$I$12)</f>
        <v/>
      </c>
      <c r="AH79" s="550">
        <v>75</v>
      </c>
    </row>
    <row r="80" spans="1:34">
      <c r="A80" s="518" t="str">
        <f>IF(AND('[2]Overzicht inhuurdesk'!$I$1&gt;AH80,J80&lt;&gt;0),CONCATENATE(LEFT(A79,7),IF(RIGHT(A79,3)+1&lt;10,CONCATENATE("00",RIGHT(A79,3)+1),IF(RIGHT(A79,3)+1&lt;100,CONCATENATE("0",RIGHT(A79,3)+1),RIGHT(A79,3)+1))),"")</f>
        <v/>
      </c>
      <c r="B80" s="518" t="str">
        <f>IF(A80="","",VLOOKUP('[2]Overzicht inhuurdesk'!$C$9,'[2]Brongegevens tbv nokgenerator'!H$2:I$27,2,FALSE))</f>
        <v/>
      </c>
      <c r="C80" s="518" t="str">
        <f>IF(A80="","",VLOOKUP('[2]Overzicht inhuurdesk'!$C$10,'[2]Brongegevens tbv nokgenerator'!K$2:L$301,2,FALSE))</f>
        <v/>
      </c>
      <c r="D80" s="518" t="str">
        <f>IF($A80="","",VLOOKUP('[2]Overzicht inhuurdesk'!$C$7,'[2]Brongegevens tbv nokgenerator'!E$2:F$18,2,FALSE))</f>
        <v/>
      </c>
      <c r="E80" s="518" t="str">
        <f>IF($A80="","",VLOOKUP('[2]Overzicht inhuurdesk'!$C$6,'[2]Brongegevens tbv nokgenerator'!$C$2:$D$4,2,FALSE))</f>
        <v/>
      </c>
      <c r="F80" s="518" t="str">
        <f t="shared" si="20"/>
        <v/>
      </c>
      <c r="G80" s="552" t="str">
        <f t="shared" si="18"/>
        <v/>
      </c>
      <c r="H80" s="552" t="str">
        <f>IF($A80="","",TRUNC('[2]Overzicht inhuurdesk'!$T$8))</f>
        <v/>
      </c>
      <c r="I80" s="515" t="str">
        <f t="shared" si="21"/>
        <v/>
      </c>
      <c r="J80" s="551"/>
      <c r="K80" s="516"/>
      <c r="L80" s="516"/>
      <c r="M80" s="516"/>
      <c r="N80" s="516"/>
      <c r="O80" s="518" t="str">
        <f>IF($A80="","",'[2]Aanvraag inhuur'!$C$110)</f>
        <v/>
      </c>
      <c r="P80" s="518" t="str">
        <f>IF($A80="","",CONCATENATE('[2]Aanvraag inhuur'!$C$18," ",'[2]Aanvraag inhuur'!$C$22))</f>
        <v/>
      </c>
      <c r="Q80" s="551"/>
      <c r="R80" s="518" t="str">
        <f>IF($A80="","",VLOOKUP(CONCATENATE('[2]Overzicht inhuurdesk'!$C$9,'[2]Overzicht inhuurdesk'!$C$10,$Q80),[2]Leveranciersnamen!A:K,11,FALSE))</f>
        <v/>
      </c>
      <c r="S80" s="551"/>
      <c r="T80" s="553" t="str">
        <f t="shared" si="22"/>
        <v/>
      </c>
      <c r="U80" s="553" t="str">
        <f t="shared" si="23"/>
        <v/>
      </c>
      <c r="V80" s="553" t="str">
        <f t="shared" si="24"/>
        <v/>
      </c>
      <c r="W80" s="553" t="str">
        <f t="shared" si="25"/>
        <v/>
      </c>
      <c r="X80" s="552" t="str">
        <f>IF($A80="","",'[2]Overzicht inhuurdesk'!$T$12)</f>
        <v/>
      </c>
      <c r="Y80" s="516" t="str">
        <f t="shared" si="26"/>
        <v/>
      </c>
      <c r="Z80" s="518" t="str">
        <f>IF($A80="","",'[2]Aanvraag inhuur'!$G$93)</f>
        <v/>
      </c>
      <c r="AA80" s="518" t="str">
        <f>IF($A80="","",'[2]Aanvraag inhuur'!$C$95)</f>
        <v/>
      </c>
      <c r="AB80" s="518" t="str">
        <f>IF($A80="","",'[2]Aanvraag inhuur'!$C$97)</f>
        <v/>
      </c>
      <c r="AC80" s="518" t="str">
        <f>IF($A80="","",'[2]Aanvraag inhuur'!$C$98)</f>
        <v/>
      </c>
      <c r="AD80" s="517" t="s">
        <v>1267</v>
      </c>
      <c r="AE80" s="551"/>
      <c r="AF80" s="518" t="str">
        <f t="shared" si="19"/>
        <v/>
      </c>
      <c r="AG80" s="518" t="str">
        <f>IF($A80="","",'[2]Overzicht inhuurdesk'!$I$12)</f>
        <v/>
      </c>
      <c r="AH80" s="550">
        <v>76</v>
      </c>
    </row>
    <row r="81" spans="1:34">
      <c r="A81" s="518" t="str">
        <f>IF(AND('[2]Overzicht inhuurdesk'!$I$1&gt;AH81,J81&lt;&gt;0),CONCATENATE(LEFT(A80,7),IF(RIGHT(A80,3)+1&lt;10,CONCATENATE("00",RIGHT(A80,3)+1),IF(RIGHT(A80,3)+1&lt;100,CONCATENATE("0",RIGHT(A80,3)+1),RIGHT(A80,3)+1))),"")</f>
        <v/>
      </c>
      <c r="B81" s="518" t="str">
        <f>IF(A81="","",VLOOKUP('[2]Overzicht inhuurdesk'!$C$9,'[2]Brongegevens tbv nokgenerator'!H$2:I$27,2,FALSE))</f>
        <v/>
      </c>
      <c r="C81" s="518" t="str">
        <f>IF(A81="","",VLOOKUP('[2]Overzicht inhuurdesk'!$C$10,'[2]Brongegevens tbv nokgenerator'!K$2:L$301,2,FALSE))</f>
        <v/>
      </c>
      <c r="D81" s="518" t="str">
        <f>IF($A81="","",VLOOKUP('[2]Overzicht inhuurdesk'!$C$7,'[2]Brongegevens tbv nokgenerator'!E$2:F$18,2,FALSE))</f>
        <v/>
      </c>
      <c r="E81" s="518" t="str">
        <f>IF($A81="","",VLOOKUP('[2]Overzicht inhuurdesk'!$C$6,'[2]Brongegevens tbv nokgenerator'!$C$2:$D$4,2,FALSE))</f>
        <v/>
      </c>
      <c r="F81" s="518" t="str">
        <f t="shared" si="20"/>
        <v/>
      </c>
      <c r="G81" s="552" t="str">
        <f t="shared" si="18"/>
        <v/>
      </c>
      <c r="H81" s="552" t="str">
        <f>IF($A81="","",TRUNC('[2]Overzicht inhuurdesk'!$T$8))</f>
        <v/>
      </c>
      <c r="I81" s="515" t="str">
        <f t="shared" si="21"/>
        <v/>
      </c>
      <c r="J81" s="551"/>
      <c r="K81" s="516"/>
      <c r="L81" s="516"/>
      <c r="M81" s="516"/>
      <c r="N81" s="516"/>
      <c r="O81" s="518" t="str">
        <f>IF($A81="","",'[2]Aanvraag inhuur'!$C$110)</f>
        <v/>
      </c>
      <c r="P81" s="518" t="str">
        <f>IF($A81="","",CONCATENATE('[2]Aanvraag inhuur'!$C$18," ",'[2]Aanvraag inhuur'!$C$22))</f>
        <v/>
      </c>
      <c r="Q81" s="551"/>
      <c r="R81" s="518" t="str">
        <f>IF($A81="","",VLOOKUP(CONCATENATE('[2]Overzicht inhuurdesk'!$C$9,'[2]Overzicht inhuurdesk'!$C$10,$Q81),[2]Leveranciersnamen!A:K,11,FALSE))</f>
        <v/>
      </c>
      <c r="S81" s="551"/>
      <c r="T81" s="553" t="str">
        <f t="shared" si="22"/>
        <v/>
      </c>
      <c r="U81" s="553" t="str">
        <f t="shared" si="23"/>
        <v/>
      </c>
      <c r="V81" s="553" t="str">
        <f t="shared" si="24"/>
        <v/>
      </c>
      <c r="W81" s="553" t="str">
        <f t="shared" si="25"/>
        <v/>
      </c>
      <c r="X81" s="552" t="str">
        <f>IF($A81="","",'[2]Overzicht inhuurdesk'!$T$12)</f>
        <v/>
      </c>
      <c r="Y81" s="516" t="str">
        <f t="shared" si="26"/>
        <v/>
      </c>
      <c r="Z81" s="518" t="str">
        <f>IF($A81="","",'[2]Aanvraag inhuur'!$G$93)</f>
        <v/>
      </c>
      <c r="AA81" s="518" t="str">
        <f>IF($A81="","",'[2]Aanvraag inhuur'!$C$95)</f>
        <v/>
      </c>
      <c r="AB81" s="518" t="str">
        <f>IF($A81="","",'[2]Aanvraag inhuur'!$C$97)</f>
        <v/>
      </c>
      <c r="AC81" s="518" t="str">
        <f>IF($A81="","",'[2]Aanvraag inhuur'!$C$98)</f>
        <v/>
      </c>
      <c r="AD81" s="517" t="s">
        <v>1267</v>
      </c>
      <c r="AE81" s="551"/>
      <c r="AF81" s="518" t="str">
        <f t="shared" si="19"/>
        <v/>
      </c>
      <c r="AG81" s="518" t="str">
        <f>IF($A81="","",'[2]Overzicht inhuurdesk'!$I$12)</f>
        <v/>
      </c>
      <c r="AH81" s="550">
        <v>77</v>
      </c>
    </row>
    <row r="82" spans="1:34">
      <c r="A82" s="518" t="str">
        <f>IF(AND('[2]Overzicht inhuurdesk'!$I$1&gt;AH82,J82&lt;&gt;0),CONCATENATE(LEFT(A81,7),IF(RIGHT(A81,3)+1&lt;10,CONCATENATE("00",RIGHT(A81,3)+1),IF(RIGHT(A81,3)+1&lt;100,CONCATENATE("0",RIGHT(A81,3)+1),RIGHT(A81,3)+1))),"")</f>
        <v/>
      </c>
      <c r="B82" s="518" t="str">
        <f>IF(A82="","",VLOOKUP('[2]Overzicht inhuurdesk'!$C$9,'[2]Brongegevens tbv nokgenerator'!H$2:I$27,2,FALSE))</f>
        <v/>
      </c>
      <c r="C82" s="518" t="str">
        <f>IF(A82="","",VLOOKUP('[2]Overzicht inhuurdesk'!$C$10,'[2]Brongegevens tbv nokgenerator'!K$2:L$301,2,FALSE))</f>
        <v/>
      </c>
      <c r="D82" s="518" t="str">
        <f>IF($A82="","",VLOOKUP('[2]Overzicht inhuurdesk'!$C$7,'[2]Brongegevens tbv nokgenerator'!E$2:F$18,2,FALSE))</f>
        <v/>
      </c>
      <c r="E82" s="518" t="str">
        <f>IF($A82="","",VLOOKUP('[2]Overzicht inhuurdesk'!$C$6,'[2]Brongegevens tbv nokgenerator'!$C$2:$D$4,2,FALSE))</f>
        <v/>
      </c>
      <c r="F82" s="518" t="str">
        <f t="shared" si="20"/>
        <v/>
      </c>
      <c r="G82" s="552" t="str">
        <f t="shared" si="18"/>
        <v/>
      </c>
      <c r="H82" s="552" t="str">
        <f>IF($A82="","",TRUNC('[2]Overzicht inhuurdesk'!$T$8))</f>
        <v/>
      </c>
      <c r="I82" s="515" t="str">
        <f t="shared" si="21"/>
        <v/>
      </c>
      <c r="J82" s="551"/>
      <c r="K82" s="516"/>
      <c r="L82" s="516"/>
      <c r="M82" s="516"/>
      <c r="N82" s="516"/>
      <c r="O82" s="518" t="str">
        <f>IF($A82="","",'[2]Aanvraag inhuur'!$C$110)</f>
        <v/>
      </c>
      <c r="P82" s="518" t="str">
        <f>IF($A82="","",CONCATENATE('[2]Aanvraag inhuur'!$C$18," ",'[2]Aanvraag inhuur'!$C$22))</f>
        <v/>
      </c>
      <c r="Q82" s="551"/>
      <c r="R82" s="518" t="str">
        <f>IF($A82="","",VLOOKUP(CONCATENATE('[2]Overzicht inhuurdesk'!$C$9,'[2]Overzicht inhuurdesk'!$C$10,$Q82),[2]Leveranciersnamen!A:K,11,FALSE))</f>
        <v/>
      </c>
      <c r="S82" s="551"/>
      <c r="T82" s="553" t="str">
        <f t="shared" si="22"/>
        <v/>
      </c>
      <c r="U82" s="553" t="str">
        <f t="shared" si="23"/>
        <v/>
      </c>
      <c r="V82" s="553" t="str">
        <f t="shared" si="24"/>
        <v/>
      </c>
      <c r="W82" s="553" t="str">
        <f t="shared" si="25"/>
        <v/>
      </c>
      <c r="X82" s="552" t="str">
        <f>IF($A82="","",'[2]Overzicht inhuurdesk'!$T$12)</f>
        <v/>
      </c>
      <c r="Y82" s="516" t="str">
        <f t="shared" si="26"/>
        <v/>
      </c>
      <c r="Z82" s="518" t="str">
        <f>IF($A82="","",'[2]Aanvraag inhuur'!$G$93)</f>
        <v/>
      </c>
      <c r="AA82" s="518" t="str">
        <f>IF($A82="","",'[2]Aanvraag inhuur'!$C$95)</f>
        <v/>
      </c>
      <c r="AB82" s="518" t="str">
        <f>IF($A82="","",'[2]Aanvraag inhuur'!$C$97)</f>
        <v/>
      </c>
      <c r="AC82" s="518" t="str">
        <f>IF($A82="","",'[2]Aanvraag inhuur'!$C$98)</f>
        <v/>
      </c>
      <c r="AD82" s="517" t="s">
        <v>1267</v>
      </c>
      <c r="AE82" s="551"/>
      <c r="AF82" s="518" t="str">
        <f t="shared" si="19"/>
        <v/>
      </c>
      <c r="AG82" s="518" t="str">
        <f>IF($A82="","",'[2]Overzicht inhuurdesk'!$I$12)</f>
        <v/>
      </c>
      <c r="AH82" s="550">
        <v>78</v>
      </c>
    </row>
    <row r="83" spans="1:34">
      <c r="A83" s="518" t="str">
        <f>IF(AND('[2]Overzicht inhuurdesk'!$I$1&gt;AH83,J83&lt;&gt;0),CONCATENATE(LEFT(A82,7),IF(RIGHT(A82,3)+1&lt;10,CONCATENATE("00",RIGHT(A82,3)+1),IF(RIGHT(A82,3)+1&lt;100,CONCATENATE("0",RIGHT(A82,3)+1),RIGHT(A82,3)+1))),"")</f>
        <v/>
      </c>
      <c r="B83" s="518" t="str">
        <f>IF(A83="","",VLOOKUP('[2]Overzicht inhuurdesk'!$C$9,'[2]Brongegevens tbv nokgenerator'!H$2:I$27,2,FALSE))</f>
        <v/>
      </c>
      <c r="C83" s="518" t="str">
        <f>IF(A83="","",VLOOKUP('[2]Overzicht inhuurdesk'!$C$10,'[2]Brongegevens tbv nokgenerator'!K$2:L$301,2,FALSE))</f>
        <v/>
      </c>
      <c r="D83" s="518" t="str">
        <f>IF($A83="","",VLOOKUP('[2]Overzicht inhuurdesk'!$C$7,'[2]Brongegevens tbv nokgenerator'!E$2:F$18,2,FALSE))</f>
        <v/>
      </c>
      <c r="E83" s="518" t="str">
        <f>IF($A83="","",VLOOKUP('[2]Overzicht inhuurdesk'!$C$6,'[2]Brongegevens tbv nokgenerator'!$C$2:$D$4,2,FALSE))</f>
        <v/>
      </c>
      <c r="F83" s="518" t="str">
        <f t="shared" si="20"/>
        <v/>
      </c>
      <c r="G83" s="552" t="str">
        <f t="shared" si="18"/>
        <v/>
      </c>
      <c r="H83" s="552" t="str">
        <f>IF($A83="","",TRUNC('[2]Overzicht inhuurdesk'!$T$8))</f>
        <v/>
      </c>
      <c r="I83" s="515" t="str">
        <f t="shared" si="21"/>
        <v/>
      </c>
      <c r="J83" s="551"/>
      <c r="K83" s="516"/>
      <c r="L83" s="516"/>
      <c r="M83" s="516"/>
      <c r="N83" s="516"/>
      <c r="O83" s="518" t="str">
        <f>IF($A83="","",'[2]Aanvraag inhuur'!$C$110)</f>
        <v/>
      </c>
      <c r="P83" s="518" t="str">
        <f>IF($A83="","",CONCATENATE('[2]Aanvraag inhuur'!$C$18," ",'[2]Aanvraag inhuur'!$C$22))</f>
        <v/>
      </c>
      <c r="Q83" s="551"/>
      <c r="R83" s="518" t="str">
        <f>IF($A83="","",VLOOKUP(CONCATENATE('[2]Overzicht inhuurdesk'!$C$9,'[2]Overzicht inhuurdesk'!$C$10,$Q83),[2]Leveranciersnamen!A:K,11,FALSE))</f>
        <v/>
      </c>
      <c r="S83" s="551"/>
      <c r="T83" s="553" t="str">
        <f t="shared" si="22"/>
        <v/>
      </c>
      <c r="U83" s="553" t="str">
        <f t="shared" si="23"/>
        <v/>
      </c>
      <c r="V83" s="553" t="str">
        <f t="shared" si="24"/>
        <v/>
      </c>
      <c r="W83" s="553" t="str">
        <f t="shared" si="25"/>
        <v/>
      </c>
      <c r="X83" s="552" t="str">
        <f>IF($A83="","",'[2]Overzicht inhuurdesk'!$T$12)</f>
        <v/>
      </c>
      <c r="Y83" s="516" t="str">
        <f t="shared" si="26"/>
        <v/>
      </c>
      <c r="Z83" s="518" t="str">
        <f>IF($A83="","",'[2]Aanvraag inhuur'!$G$93)</f>
        <v/>
      </c>
      <c r="AA83" s="518" t="str">
        <f>IF($A83="","",'[2]Aanvraag inhuur'!$C$95)</f>
        <v/>
      </c>
      <c r="AB83" s="518" t="str">
        <f>IF($A83="","",'[2]Aanvraag inhuur'!$C$97)</f>
        <v/>
      </c>
      <c r="AC83" s="518" t="str">
        <f>IF($A83="","",'[2]Aanvraag inhuur'!$C$98)</f>
        <v/>
      </c>
      <c r="AD83" s="517" t="s">
        <v>1267</v>
      </c>
      <c r="AE83" s="551"/>
      <c r="AF83" s="518" t="str">
        <f t="shared" si="19"/>
        <v/>
      </c>
      <c r="AG83" s="518" t="str">
        <f>IF($A83="","",'[2]Overzicht inhuurdesk'!$I$12)</f>
        <v/>
      </c>
      <c r="AH83" s="550">
        <v>79</v>
      </c>
    </row>
    <row r="84" spans="1:34">
      <c r="A84" s="518" t="str">
        <f>IF(AND('[2]Overzicht inhuurdesk'!$I$1&gt;AH84,J84&lt;&gt;0),CONCATENATE(LEFT(A83,7),IF(RIGHT(A83,3)+1&lt;10,CONCATENATE("00",RIGHT(A83,3)+1),IF(RIGHT(A83,3)+1&lt;100,CONCATENATE("0",RIGHT(A83,3)+1),RIGHT(A83,3)+1))),"")</f>
        <v/>
      </c>
      <c r="B84" s="518" t="str">
        <f>IF(A84="","",VLOOKUP('[2]Overzicht inhuurdesk'!$C$9,'[2]Brongegevens tbv nokgenerator'!H$2:I$27,2,FALSE))</f>
        <v/>
      </c>
      <c r="C84" s="518" t="str">
        <f>IF(A84="","",VLOOKUP('[2]Overzicht inhuurdesk'!$C$10,'[2]Brongegevens tbv nokgenerator'!K$2:L$301,2,FALSE))</f>
        <v/>
      </c>
      <c r="D84" s="518" t="str">
        <f>IF($A84="","",VLOOKUP('[2]Overzicht inhuurdesk'!$C$7,'[2]Brongegevens tbv nokgenerator'!E$2:F$18,2,FALSE))</f>
        <v/>
      </c>
      <c r="E84" s="518" t="str">
        <f>IF($A84="","",VLOOKUP('[2]Overzicht inhuurdesk'!$C$6,'[2]Brongegevens tbv nokgenerator'!$C$2:$D$4,2,FALSE))</f>
        <v/>
      </c>
      <c r="F84" s="518" t="str">
        <f t="shared" si="20"/>
        <v/>
      </c>
      <c r="G84" s="552" t="str">
        <f t="shared" si="18"/>
        <v/>
      </c>
      <c r="H84" s="552" t="str">
        <f>IF($A84="","",TRUNC('[2]Overzicht inhuurdesk'!$T$8))</f>
        <v/>
      </c>
      <c r="I84" s="515" t="str">
        <f t="shared" si="21"/>
        <v/>
      </c>
      <c r="J84" s="551"/>
      <c r="K84" s="516"/>
      <c r="L84" s="516"/>
      <c r="M84" s="516"/>
      <c r="N84" s="516"/>
      <c r="O84" s="518" t="str">
        <f>IF($A84="","",'[2]Aanvraag inhuur'!$C$110)</f>
        <v/>
      </c>
      <c r="P84" s="518" t="str">
        <f>IF($A84="","",CONCATENATE('[2]Aanvraag inhuur'!$C$18," ",'[2]Aanvraag inhuur'!$C$22))</f>
        <v/>
      </c>
      <c r="Q84" s="551"/>
      <c r="R84" s="518" t="str">
        <f>IF($A84="","",VLOOKUP(CONCATENATE('[2]Overzicht inhuurdesk'!$C$9,'[2]Overzicht inhuurdesk'!$C$10,$Q84),[2]Leveranciersnamen!A:K,11,FALSE))</f>
        <v/>
      </c>
      <c r="S84" s="551"/>
      <c r="T84" s="553" t="str">
        <f t="shared" si="22"/>
        <v/>
      </c>
      <c r="U84" s="553" t="str">
        <f t="shared" si="23"/>
        <v/>
      </c>
      <c r="V84" s="553" t="str">
        <f t="shared" si="24"/>
        <v/>
      </c>
      <c r="W84" s="553" t="str">
        <f t="shared" si="25"/>
        <v/>
      </c>
      <c r="X84" s="552" t="str">
        <f>IF($A84="","",'[2]Overzicht inhuurdesk'!$T$12)</f>
        <v/>
      </c>
      <c r="Y84" s="516" t="str">
        <f t="shared" si="26"/>
        <v/>
      </c>
      <c r="Z84" s="518" t="str">
        <f>IF($A84="","",'[2]Aanvraag inhuur'!$G$93)</f>
        <v/>
      </c>
      <c r="AA84" s="518" t="str">
        <f>IF($A84="","",'[2]Aanvraag inhuur'!$C$95)</f>
        <v/>
      </c>
      <c r="AB84" s="518" t="str">
        <f>IF($A84="","",'[2]Aanvraag inhuur'!$C$97)</f>
        <v/>
      </c>
      <c r="AC84" s="518" t="str">
        <f>IF($A84="","",'[2]Aanvraag inhuur'!$C$98)</f>
        <v/>
      </c>
      <c r="AD84" s="517" t="s">
        <v>1267</v>
      </c>
      <c r="AE84" s="551"/>
      <c r="AF84" s="518" t="str">
        <f t="shared" si="19"/>
        <v/>
      </c>
      <c r="AG84" s="518" t="str">
        <f>IF($A84="","",'[2]Overzicht inhuurdesk'!$I$12)</f>
        <v/>
      </c>
      <c r="AH84" s="550">
        <v>80</v>
      </c>
    </row>
    <row r="85" spans="1:34">
      <c r="A85" s="518" t="str">
        <f>IF(AND('[2]Overzicht inhuurdesk'!$I$1&gt;AH85,J85&lt;&gt;0),CONCATENATE(LEFT(A84,7),IF(RIGHT(A84,3)+1&lt;10,CONCATENATE("00",RIGHT(A84,3)+1),IF(RIGHT(A84,3)+1&lt;100,CONCATENATE("0",RIGHT(A84,3)+1),RIGHT(A84,3)+1))),"")</f>
        <v/>
      </c>
      <c r="B85" s="518" t="str">
        <f>IF(A85="","",VLOOKUP('[2]Overzicht inhuurdesk'!$C$9,'[2]Brongegevens tbv nokgenerator'!H$2:I$27,2,FALSE))</f>
        <v/>
      </c>
      <c r="C85" s="518" t="str">
        <f>IF(A85="","",VLOOKUP('[2]Overzicht inhuurdesk'!$C$10,'[2]Brongegevens tbv nokgenerator'!K$2:L$301,2,FALSE))</f>
        <v/>
      </c>
      <c r="D85" s="518" t="str">
        <f>IF($A85="","",VLOOKUP('[2]Overzicht inhuurdesk'!$C$7,'[2]Brongegevens tbv nokgenerator'!E$2:F$18,2,FALSE))</f>
        <v/>
      </c>
      <c r="E85" s="518" t="str">
        <f>IF($A85="","",VLOOKUP('[2]Overzicht inhuurdesk'!$C$6,'[2]Brongegevens tbv nokgenerator'!$C$2:$D$4,2,FALSE))</f>
        <v/>
      </c>
      <c r="F85" s="518" t="str">
        <f t="shared" si="20"/>
        <v/>
      </c>
      <c r="G85" s="552" t="str">
        <f t="shared" si="18"/>
        <v/>
      </c>
      <c r="H85" s="552" t="str">
        <f>IF($A85="","",TRUNC('[2]Overzicht inhuurdesk'!$T$8))</f>
        <v/>
      </c>
      <c r="I85" s="515" t="str">
        <f t="shared" si="21"/>
        <v/>
      </c>
      <c r="J85" s="551"/>
      <c r="K85" s="516"/>
      <c r="L85" s="516"/>
      <c r="M85" s="516"/>
      <c r="N85" s="516"/>
      <c r="O85" s="518" t="str">
        <f>IF($A85="","",'[2]Aanvraag inhuur'!$C$110)</f>
        <v/>
      </c>
      <c r="P85" s="518" t="str">
        <f>IF($A85="","",CONCATENATE('[2]Aanvraag inhuur'!$C$18," ",'[2]Aanvraag inhuur'!$C$22))</f>
        <v/>
      </c>
      <c r="Q85" s="551"/>
      <c r="R85" s="518" t="str">
        <f>IF($A85="","",VLOOKUP(CONCATENATE('[2]Overzicht inhuurdesk'!$C$9,'[2]Overzicht inhuurdesk'!$C$10,$Q85),[2]Leveranciersnamen!A:K,11,FALSE))</f>
        <v/>
      </c>
      <c r="S85" s="551"/>
      <c r="T85" s="553" t="str">
        <f t="shared" si="22"/>
        <v/>
      </c>
      <c r="U85" s="553" t="str">
        <f t="shared" si="23"/>
        <v/>
      </c>
      <c r="V85" s="553" t="str">
        <f t="shared" si="24"/>
        <v/>
      </c>
      <c r="W85" s="553" t="str">
        <f t="shared" si="25"/>
        <v/>
      </c>
      <c r="X85" s="552" t="str">
        <f>IF($A85="","",'[2]Overzicht inhuurdesk'!$T$12)</f>
        <v/>
      </c>
      <c r="Y85" s="516" t="str">
        <f t="shared" si="26"/>
        <v/>
      </c>
      <c r="Z85" s="518" t="str">
        <f>IF($A85="","",'[2]Aanvraag inhuur'!$G$93)</f>
        <v/>
      </c>
      <c r="AA85" s="518" t="str">
        <f>IF($A85="","",'[2]Aanvraag inhuur'!$C$95)</f>
        <v/>
      </c>
      <c r="AB85" s="518" t="str">
        <f>IF($A85="","",'[2]Aanvraag inhuur'!$C$97)</f>
        <v/>
      </c>
      <c r="AC85" s="518" t="str">
        <f>IF($A85="","",'[2]Aanvraag inhuur'!$C$98)</f>
        <v/>
      </c>
      <c r="AD85" s="517" t="s">
        <v>1267</v>
      </c>
      <c r="AE85" s="551"/>
      <c r="AF85" s="518" t="str">
        <f t="shared" si="19"/>
        <v/>
      </c>
      <c r="AG85" s="518" t="str">
        <f>IF($A85="","",'[2]Overzicht inhuurdesk'!$I$12)</f>
        <v/>
      </c>
      <c r="AH85" s="550">
        <v>81</v>
      </c>
    </row>
    <row r="86" spans="1:34">
      <c r="A86" s="518" t="str">
        <f>IF(AND('[2]Overzicht inhuurdesk'!$I$1&gt;AH86,J86&lt;&gt;0),CONCATENATE(LEFT(A85,7),IF(RIGHT(A85,3)+1&lt;10,CONCATENATE("00",RIGHT(A85,3)+1),IF(RIGHT(A85,3)+1&lt;100,CONCATENATE("0",RIGHT(A85,3)+1),RIGHT(A85,3)+1))),"")</f>
        <v/>
      </c>
      <c r="B86" s="518" t="str">
        <f>IF(A86="","",VLOOKUP('[2]Overzicht inhuurdesk'!$C$9,'[2]Brongegevens tbv nokgenerator'!H$2:I$27,2,FALSE))</f>
        <v/>
      </c>
      <c r="C86" s="518" t="str">
        <f>IF(A86="","",VLOOKUP('[2]Overzicht inhuurdesk'!$C$10,'[2]Brongegevens tbv nokgenerator'!K$2:L$301,2,FALSE))</f>
        <v/>
      </c>
      <c r="D86" s="518" t="str">
        <f>IF($A86="","",VLOOKUP('[2]Overzicht inhuurdesk'!$C$7,'[2]Brongegevens tbv nokgenerator'!E$2:F$18,2,FALSE))</f>
        <v/>
      </c>
      <c r="E86" s="518" t="str">
        <f>IF($A86="","",VLOOKUP('[2]Overzicht inhuurdesk'!$C$6,'[2]Brongegevens tbv nokgenerator'!$C$2:$D$4,2,FALSE))</f>
        <v/>
      </c>
      <c r="F86" s="518" t="str">
        <f t="shared" si="20"/>
        <v/>
      </c>
      <c r="G86" s="552" t="str">
        <f t="shared" si="18"/>
        <v/>
      </c>
      <c r="H86" s="552" t="str">
        <f>IF($A86="","",TRUNC('[2]Overzicht inhuurdesk'!$T$8))</f>
        <v/>
      </c>
      <c r="I86" s="515" t="str">
        <f t="shared" si="21"/>
        <v/>
      </c>
      <c r="J86" s="551"/>
      <c r="K86" s="516"/>
      <c r="L86" s="516"/>
      <c r="M86" s="516"/>
      <c r="N86" s="516"/>
      <c r="O86" s="518" t="str">
        <f>IF($A86="","",'[2]Aanvraag inhuur'!$C$110)</f>
        <v/>
      </c>
      <c r="P86" s="518" t="str">
        <f>IF($A86="","",CONCATENATE('[2]Aanvraag inhuur'!$C$18," ",'[2]Aanvraag inhuur'!$C$22))</f>
        <v/>
      </c>
      <c r="Q86" s="551"/>
      <c r="R86" s="518" t="str">
        <f>IF($A86="","",VLOOKUP(CONCATENATE('[2]Overzicht inhuurdesk'!$C$9,'[2]Overzicht inhuurdesk'!$C$10,$Q86),[2]Leveranciersnamen!A:K,11,FALSE))</f>
        <v/>
      </c>
      <c r="S86" s="551"/>
      <c r="T86" s="553" t="str">
        <f t="shared" si="22"/>
        <v/>
      </c>
      <c r="U86" s="553" t="str">
        <f t="shared" si="23"/>
        <v/>
      </c>
      <c r="V86" s="553" t="str">
        <f t="shared" si="24"/>
        <v/>
      </c>
      <c r="W86" s="553" t="str">
        <f t="shared" si="25"/>
        <v/>
      </c>
      <c r="X86" s="552" t="str">
        <f>IF($A86="","",'[2]Overzicht inhuurdesk'!$T$12)</f>
        <v/>
      </c>
      <c r="Y86" s="516" t="str">
        <f t="shared" si="26"/>
        <v/>
      </c>
      <c r="Z86" s="518" t="str">
        <f>IF($A86="","",'[2]Aanvraag inhuur'!$G$93)</f>
        <v/>
      </c>
      <c r="AA86" s="518" t="str">
        <f>IF($A86="","",'[2]Aanvraag inhuur'!$C$95)</f>
        <v/>
      </c>
      <c r="AB86" s="518" t="str">
        <f>IF($A86="","",'[2]Aanvraag inhuur'!$C$97)</f>
        <v/>
      </c>
      <c r="AC86" s="518" t="str">
        <f>IF($A86="","",'[2]Aanvraag inhuur'!$C$98)</f>
        <v/>
      </c>
      <c r="AD86" s="517" t="s">
        <v>1267</v>
      </c>
      <c r="AE86" s="551"/>
      <c r="AF86" s="518" t="str">
        <f t="shared" si="19"/>
        <v/>
      </c>
      <c r="AG86" s="518" t="str">
        <f>IF($A86="","",'[2]Overzicht inhuurdesk'!$I$12)</f>
        <v/>
      </c>
      <c r="AH86" s="550">
        <v>82</v>
      </c>
    </row>
    <row r="87" spans="1:34">
      <c r="A87" s="518" t="str">
        <f>IF(AND('[2]Overzicht inhuurdesk'!$I$1&gt;AH87,J87&lt;&gt;0),CONCATENATE(LEFT(A86,7),IF(RIGHT(A86,3)+1&lt;10,CONCATENATE("00",RIGHT(A86,3)+1),IF(RIGHT(A86,3)+1&lt;100,CONCATENATE("0",RIGHT(A86,3)+1),RIGHT(A86,3)+1))),"")</f>
        <v/>
      </c>
      <c r="B87" s="518" t="str">
        <f>IF(A87="","",VLOOKUP('[2]Overzicht inhuurdesk'!$C$9,'[2]Brongegevens tbv nokgenerator'!H$2:I$27,2,FALSE))</f>
        <v/>
      </c>
      <c r="C87" s="518" t="str">
        <f>IF(A87="","",VLOOKUP('[2]Overzicht inhuurdesk'!$C$10,'[2]Brongegevens tbv nokgenerator'!K$2:L$301,2,FALSE))</f>
        <v/>
      </c>
      <c r="D87" s="518" t="str">
        <f>IF($A87="","",VLOOKUP('[2]Overzicht inhuurdesk'!$C$7,'[2]Brongegevens tbv nokgenerator'!E$2:F$18,2,FALSE))</f>
        <v/>
      </c>
      <c r="E87" s="518" t="str">
        <f>IF($A87="","",VLOOKUP('[2]Overzicht inhuurdesk'!$C$6,'[2]Brongegevens tbv nokgenerator'!$C$2:$D$4,2,FALSE))</f>
        <v/>
      </c>
      <c r="F87" s="518" t="str">
        <f t="shared" si="20"/>
        <v/>
      </c>
      <c r="G87" s="552" t="str">
        <f t="shared" si="18"/>
        <v/>
      </c>
      <c r="H87" s="552" t="str">
        <f>IF($A87="","",TRUNC('[2]Overzicht inhuurdesk'!$T$8))</f>
        <v/>
      </c>
      <c r="I87" s="515" t="str">
        <f t="shared" si="21"/>
        <v/>
      </c>
      <c r="J87" s="551"/>
      <c r="K87" s="516"/>
      <c r="L87" s="516"/>
      <c r="M87" s="516"/>
      <c r="N87" s="516"/>
      <c r="O87" s="518" t="str">
        <f>IF($A87="","",'[2]Aanvraag inhuur'!$C$110)</f>
        <v/>
      </c>
      <c r="P87" s="518" t="str">
        <f>IF($A87="","",CONCATENATE('[2]Aanvraag inhuur'!$C$18," ",'[2]Aanvraag inhuur'!$C$22))</f>
        <v/>
      </c>
      <c r="Q87" s="551"/>
      <c r="R87" s="518" t="str">
        <f>IF($A87="","",VLOOKUP(CONCATENATE('[2]Overzicht inhuurdesk'!$C$9,'[2]Overzicht inhuurdesk'!$C$10,$Q87),[2]Leveranciersnamen!A:K,11,FALSE))</f>
        <v/>
      </c>
      <c r="S87" s="551"/>
      <c r="T87" s="553" t="str">
        <f t="shared" si="22"/>
        <v/>
      </c>
      <c r="U87" s="553" t="str">
        <f t="shared" si="23"/>
        <v/>
      </c>
      <c r="V87" s="553" t="str">
        <f t="shared" si="24"/>
        <v/>
      </c>
      <c r="W87" s="553" t="str">
        <f t="shared" si="25"/>
        <v/>
      </c>
      <c r="X87" s="552" t="str">
        <f>IF($A87="","",'[2]Overzicht inhuurdesk'!$T$12)</f>
        <v/>
      </c>
      <c r="Y87" s="516" t="str">
        <f t="shared" si="26"/>
        <v/>
      </c>
      <c r="Z87" s="518" t="str">
        <f>IF($A87="","",'[2]Aanvraag inhuur'!$G$93)</f>
        <v/>
      </c>
      <c r="AA87" s="518" t="str">
        <f>IF($A87="","",'[2]Aanvraag inhuur'!$C$95)</f>
        <v/>
      </c>
      <c r="AB87" s="518" t="str">
        <f>IF($A87="","",'[2]Aanvraag inhuur'!$C$97)</f>
        <v/>
      </c>
      <c r="AC87" s="518" t="str">
        <f>IF($A87="","",'[2]Aanvraag inhuur'!$C$98)</f>
        <v/>
      </c>
      <c r="AD87" s="517" t="s">
        <v>1267</v>
      </c>
      <c r="AE87" s="551"/>
      <c r="AF87" s="518" t="str">
        <f t="shared" si="19"/>
        <v/>
      </c>
      <c r="AG87" s="518" t="str">
        <f>IF($A87="","",'[2]Overzicht inhuurdesk'!$I$12)</f>
        <v/>
      </c>
      <c r="AH87" s="550">
        <v>83</v>
      </c>
    </row>
    <row r="88" spans="1:34">
      <c r="A88" s="518" t="str">
        <f>IF(AND('[2]Overzicht inhuurdesk'!$I$1&gt;AH88,J88&lt;&gt;0),CONCATENATE(LEFT(A87,7),IF(RIGHT(A87,3)+1&lt;10,CONCATENATE("00",RIGHT(A87,3)+1),IF(RIGHT(A87,3)+1&lt;100,CONCATENATE("0",RIGHT(A87,3)+1),RIGHT(A87,3)+1))),"")</f>
        <v/>
      </c>
      <c r="B88" s="518" t="str">
        <f>IF(A88="","",VLOOKUP('[2]Overzicht inhuurdesk'!$C$9,'[2]Brongegevens tbv nokgenerator'!H$2:I$27,2,FALSE))</f>
        <v/>
      </c>
      <c r="C88" s="518" t="str">
        <f>IF(A88="","",VLOOKUP('[2]Overzicht inhuurdesk'!$C$10,'[2]Brongegevens tbv nokgenerator'!K$2:L$301,2,FALSE))</f>
        <v/>
      </c>
      <c r="D88" s="518" t="str">
        <f>IF($A88="","",VLOOKUP('[2]Overzicht inhuurdesk'!$C$7,'[2]Brongegevens tbv nokgenerator'!E$2:F$18,2,FALSE))</f>
        <v/>
      </c>
      <c r="E88" s="518" t="str">
        <f>IF($A88="","",VLOOKUP('[2]Overzicht inhuurdesk'!$C$6,'[2]Brongegevens tbv nokgenerator'!$C$2:$D$4,2,FALSE))</f>
        <v/>
      </c>
      <c r="F88" s="518" t="str">
        <f t="shared" si="20"/>
        <v/>
      </c>
      <c r="G88" s="552" t="str">
        <f t="shared" si="18"/>
        <v/>
      </c>
      <c r="H88" s="552" t="str">
        <f>IF($A88="","",TRUNC('[2]Overzicht inhuurdesk'!$T$8))</f>
        <v/>
      </c>
      <c r="I88" s="515" t="str">
        <f t="shared" si="21"/>
        <v/>
      </c>
      <c r="J88" s="551"/>
      <c r="K88" s="516"/>
      <c r="L88" s="516"/>
      <c r="M88" s="516"/>
      <c r="N88" s="516"/>
      <c r="O88" s="518" t="str">
        <f>IF($A88="","",'[2]Aanvraag inhuur'!$C$110)</f>
        <v/>
      </c>
      <c r="P88" s="518" t="str">
        <f>IF($A88="","",CONCATENATE('[2]Aanvraag inhuur'!$C$18," ",'[2]Aanvraag inhuur'!$C$22))</f>
        <v/>
      </c>
      <c r="Q88" s="551"/>
      <c r="R88" s="518" t="str">
        <f>IF($A88="","",VLOOKUP(CONCATENATE('[2]Overzicht inhuurdesk'!$C$9,'[2]Overzicht inhuurdesk'!$C$10,$Q88),[2]Leveranciersnamen!A:K,11,FALSE))</f>
        <v/>
      </c>
      <c r="S88" s="551"/>
      <c r="T88" s="553" t="str">
        <f t="shared" si="22"/>
        <v/>
      </c>
      <c r="U88" s="553" t="str">
        <f t="shared" si="23"/>
        <v/>
      </c>
      <c r="V88" s="553" t="str">
        <f t="shared" si="24"/>
        <v/>
      </c>
      <c r="W88" s="553" t="str">
        <f t="shared" si="25"/>
        <v/>
      </c>
      <c r="X88" s="552" t="str">
        <f>IF($A88="","",'[2]Overzicht inhuurdesk'!$T$12)</f>
        <v/>
      </c>
      <c r="Y88" s="516" t="str">
        <f t="shared" si="26"/>
        <v/>
      </c>
      <c r="Z88" s="518" t="str">
        <f>IF($A88="","",'[2]Aanvraag inhuur'!$G$93)</f>
        <v/>
      </c>
      <c r="AA88" s="518" t="str">
        <f>IF($A88="","",'[2]Aanvraag inhuur'!$C$95)</f>
        <v/>
      </c>
      <c r="AB88" s="518" t="str">
        <f>IF($A88="","",'[2]Aanvraag inhuur'!$C$97)</f>
        <v/>
      </c>
      <c r="AC88" s="518" t="str">
        <f>IF($A88="","",'[2]Aanvraag inhuur'!$C$98)</f>
        <v/>
      </c>
      <c r="AD88" s="517" t="s">
        <v>1267</v>
      </c>
      <c r="AE88" s="551"/>
      <c r="AF88" s="518" t="str">
        <f t="shared" si="19"/>
        <v/>
      </c>
      <c r="AG88" s="518" t="str">
        <f>IF($A88="","",'[2]Overzicht inhuurdesk'!$I$12)</f>
        <v/>
      </c>
      <c r="AH88" s="550">
        <v>84</v>
      </c>
    </row>
    <row r="89" spans="1:34">
      <c r="A89" s="518" t="str">
        <f>IF(AND('[2]Overzicht inhuurdesk'!$I$1&gt;AH89,J89&lt;&gt;0),CONCATENATE(LEFT(A88,7),IF(RIGHT(A88,3)+1&lt;10,CONCATENATE("00",RIGHT(A88,3)+1),IF(RIGHT(A88,3)+1&lt;100,CONCATENATE("0",RIGHT(A88,3)+1),RIGHT(A88,3)+1))),"")</f>
        <v/>
      </c>
      <c r="B89" s="518" t="str">
        <f>IF(A89="","",VLOOKUP('[2]Overzicht inhuurdesk'!$C$9,'[2]Brongegevens tbv nokgenerator'!H$2:I$27,2,FALSE))</f>
        <v/>
      </c>
      <c r="C89" s="518" t="str">
        <f>IF(A89="","",VLOOKUP('[2]Overzicht inhuurdesk'!$C$10,'[2]Brongegevens tbv nokgenerator'!K$2:L$301,2,FALSE))</f>
        <v/>
      </c>
      <c r="D89" s="518" t="str">
        <f>IF($A89="","",VLOOKUP('[2]Overzicht inhuurdesk'!$C$7,'[2]Brongegevens tbv nokgenerator'!E$2:F$18,2,FALSE))</f>
        <v/>
      </c>
      <c r="E89" s="518" t="str">
        <f>IF($A89="","",VLOOKUP('[2]Overzicht inhuurdesk'!$C$6,'[2]Brongegevens tbv nokgenerator'!$C$2:$D$4,2,FALSE))</f>
        <v/>
      </c>
      <c r="F89" s="518" t="str">
        <f t="shared" si="20"/>
        <v/>
      </c>
      <c r="G89" s="552" t="str">
        <f t="shared" si="18"/>
        <v/>
      </c>
      <c r="H89" s="552" t="str">
        <f>IF($A89="","",TRUNC('[2]Overzicht inhuurdesk'!$T$8))</f>
        <v/>
      </c>
      <c r="I89" s="515" t="str">
        <f t="shared" si="21"/>
        <v/>
      </c>
      <c r="J89" s="551"/>
      <c r="K89" s="516"/>
      <c r="L89" s="516"/>
      <c r="M89" s="516"/>
      <c r="N89" s="516"/>
      <c r="O89" s="518" t="str">
        <f>IF($A89="","",'[2]Aanvraag inhuur'!$C$110)</f>
        <v/>
      </c>
      <c r="P89" s="518" t="str">
        <f>IF($A89="","",CONCATENATE('[2]Aanvraag inhuur'!$C$18," ",'[2]Aanvraag inhuur'!$C$22))</f>
        <v/>
      </c>
      <c r="Q89" s="551"/>
      <c r="R89" s="518" t="str">
        <f>IF($A89="","",VLOOKUP(CONCATENATE('[2]Overzicht inhuurdesk'!$C$9,'[2]Overzicht inhuurdesk'!$C$10,$Q89),[2]Leveranciersnamen!A:K,11,FALSE))</f>
        <v/>
      </c>
      <c r="S89" s="551"/>
      <c r="T89" s="553" t="str">
        <f t="shared" si="22"/>
        <v/>
      </c>
      <c r="U89" s="553" t="str">
        <f t="shared" si="23"/>
        <v/>
      </c>
      <c r="V89" s="553" t="str">
        <f t="shared" si="24"/>
        <v/>
      </c>
      <c r="W89" s="553" t="str">
        <f t="shared" si="25"/>
        <v/>
      </c>
      <c r="X89" s="552" t="str">
        <f>IF($A89="","",'[2]Overzicht inhuurdesk'!$T$12)</f>
        <v/>
      </c>
      <c r="Y89" s="516" t="str">
        <f t="shared" si="26"/>
        <v/>
      </c>
      <c r="Z89" s="518" t="str">
        <f>IF($A89="","",'[2]Aanvraag inhuur'!$G$93)</f>
        <v/>
      </c>
      <c r="AA89" s="518" t="str">
        <f>IF($A89="","",'[2]Aanvraag inhuur'!$C$95)</f>
        <v/>
      </c>
      <c r="AB89" s="518" t="str">
        <f>IF($A89="","",'[2]Aanvraag inhuur'!$C$97)</f>
        <v/>
      </c>
      <c r="AC89" s="518" t="str">
        <f>IF($A89="","",'[2]Aanvraag inhuur'!$C$98)</f>
        <v/>
      </c>
      <c r="AD89" s="517" t="s">
        <v>1267</v>
      </c>
      <c r="AE89" s="551"/>
      <c r="AF89" s="518" t="str">
        <f t="shared" si="19"/>
        <v/>
      </c>
      <c r="AG89" s="518" t="str">
        <f>IF($A89="","",'[2]Overzicht inhuurdesk'!$I$12)</f>
        <v/>
      </c>
      <c r="AH89" s="550">
        <v>85</v>
      </c>
    </row>
    <row r="90" spans="1:34">
      <c r="A90" s="518" t="str">
        <f>IF(AND('[2]Overzicht inhuurdesk'!$I$1&gt;AH90,J90&lt;&gt;0),CONCATENATE(LEFT(A89,7),IF(RIGHT(A89,3)+1&lt;10,CONCATENATE("00",RIGHT(A89,3)+1),IF(RIGHT(A89,3)+1&lt;100,CONCATENATE("0",RIGHT(A89,3)+1),RIGHT(A89,3)+1))),"")</f>
        <v/>
      </c>
      <c r="B90" s="518" t="str">
        <f>IF(A90="","",VLOOKUP('[2]Overzicht inhuurdesk'!$C$9,'[2]Brongegevens tbv nokgenerator'!H$2:I$27,2,FALSE))</f>
        <v/>
      </c>
      <c r="C90" s="518" t="str">
        <f>IF(A90="","",VLOOKUP('[2]Overzicht inhuurdesk'!$C$10,'[2]Brongegevens tbv nokgenerator'!K$2:L$301,2,FALSE))</f>
        <v/>
      </c>
      <c r="D90" s="518" t="str">
        <f>IF($A90="","",VLOOKUP('[2]Overzicht inhuurdesk'!$C$7,'[2]Brongegevens tbv nokgenerator'!E$2:F$18,2,FALSE))</f>
        <v/>
      </c>
      <c r="E90" s="518" t="str">
        <f>IF($A90="","",VLOOKUP('[2]Overzicht inhuurdesk'!$C$6,'[2]Brongegevens tbv nokgenerator'!$C$2:$D$4,2,FALSE))</f>
        <v/>
      </c>
      <c r="F90" s="518" t="str">
        <f t="shared" si="20"/>
        <v/>
      </c>
      <c r="G90" s="552" t="str">
        <f t="shared" si="18"/>
        <v/>
      </c>
      <c r="H90" s="552" t="str">
        <f>IF($A90="","",TRUNC('[2]Overzicht inhuurdesk'!$T$8))</f>
        <v/>
      </c>
      <c r="I90" s="515" t="str">
        <f t="shared" si="21"/>
        <v/>
      </c>
      <c r="J90" s="551"/>
      <c r="K90" s="516"/>
      <c r="L90" s="516"/>
      <c r="M90" s="516"/>
      <c r="N90" s="516"/>
      <c r="O90" s="518" t="str">
        <f>IF($A90="","",'[2]Aanvraag inhuur'!$C$110)</f>
        <v/>
      </c>
      <c r="P90" s="518" t="str">
        <f>IF($A90="","",CONCATENATE('[2]Aanvraag inhuur'!$C$18," ",'[2]Aanvraag inhuur'!$C$22))</f>
        <v/>
      </c>
      <c r="Q90" s="551"/>
      <c r="R90" s="518" t="str">
        <f>IF($A90="","",VLOOKUP(CONCATENATE('[2]Overzicht inhuurdesk'!$C$9,'[2]Overzicht inhuurdesk'!$C$10,$Q90),[2]Leveranciersnamen!A:K,11,FALSE))</f>
        <v/>
      </c>
      <c r="S90" s="551"/>
      <c r="T90" s="553" t="str">
        <f t="shared" si="22"/>
        <v/>
      </c>
      <c r="U90" s="553" t="str">
        <f t="shared" si="23"/>
        <v/>
      </c>
      <c r="V90" s="553" t="str">
        <f t="shared" si="24"/>
        <v/>
      </c>
      <c r="W90" s="553" t="str">
        <f t="shared" si="25"/>
        <v/>
      </c>
      <c r="X90" s="552" t="str">
        <f>IF($A90="","",'[2]Overzicht inhuurdesk'!$T$12)</f>
        <v/>
      </c>
      <c r="Y90" s="516" t="str">
        <f t="shared" si="26"/>
        <v/>
      </c>
      <c r="Z90" s="518" t="str">
        <f>IF($A90="","",'[2]Aanvraag inhuur'!$G$93)</f>
        <v/>
      </c>
      <c r="AA90" s="518" t="str">
        <f>IF($A90="","",'[2]Aanvraag inhuur'!$C$95)</f>
        <v/>
      </c>
      <c r="AB90" s="518" t="str">
        <f>IF($A90="","",'[2]Aanvraag inhuur'!$C$97)</f>
        <v/>
      </c>
      <c r="AC90" s="518" t="str">
        <f>IF($A90="","",'[2]Aanvraag inhuur'!$C$98)</f>
        <v/>
      </c>
      <c r="AD90" s="517" t="s">
        <v>1267</v>
      </c>
      <c r="AE90" s="551"/>
      <c r="AF90" s="518" t="str">
        <f t="shared" si="19"/>
        <v/>
      </c>
      <c r="AG90" s="518" t="str">
        <f>IF($A90="","",'[2]Overzicht inhuurdesk'!$I$12)</f>
        <v/>
      </c>
      <c r="AH90" s="550">
        <v>86</v>
      </c>
    </row>
    <row r="91" spans="1:34">
      <c r="A91" s="518" t="str">
        <f>IF(AND('[2]Overzicht inhuurdesk'!$I$1&gt;AH91,J91&lt;&gt;0),CONCATENATE(LEFT(A90,7),IF(RIGHT(A90,3)+1&lt;10,CONCATENATE("00",RIGHT(A90,3)+1),IF(RIGHT(A90,3)+1&lt;100,CONCATENATE("0",RIGHT(A90,3)+1),RIGHT(A90,3)+1))),"")</f>
        <v/>
      </c>
      <c r="B91" s="518" t="str">
        <f>IF(A91="","",VLOOKUP('[2]Overzicht inhuurdesk'!$C$9,'[2]Brongegevens tbv nokgenerator'!H$2:I$27,2,FALSE))</f>
        <v/>
      </c>
      <c r="C91" s="518" t="str">
        <f>IF(A91="","",VLOOKUP('[2]Overzicht inhuurdesk'!$C$10,'[2]Brongegevens tbv nokgenerator'!K$2:L$301,2,FALSE))</f>
        <v/>
      </c>
      <c r="D91" s="518" t="str">
        <f>IF($A91="","",VLOOKUP('[2]Overzicht inhuurdesk'!$C$7,'[2]Brongegevens tbv nokgenerator'!E$2:F$18,2,FALSE))</f>
        <v/>
      </c>
      <c r="E91" s="518" t="str">
        <f>IF($A91="","",VLOOKUP('[2]Overzicht inhuurdesk'!$C$6,'[2]Brongegevens tbv nokgenerator'!$C$2:$D$4,2,FALSE))</f>
        <v/>
      </c>
      <c r="F91" s="518" t="str">
        <f t="shared" si="20"/>
        <v/>
      </c>
      <c r="G91" s="552" t="str">
        <f t="shared" si="18"/>
        <v/>
      </c>
      <c r="H91" s="552" t="str">
        <f>IF($A91="","",TRUNC('[2]Overzicht inhuurdesk'!$T$8))</f>
        <v/>
      </c>
      <c r="I91" s="515" t="str">
        <f t="shared" si="21"/>
        <v/>
      </c>
      <c r="J91" s="551"/>
      <c r="K91" s="516"/>
      <c r="L91" s="516"/>
      <c r="M91" s="516"/>
      <c r="N91" s="516"/>
      <c r="O91" s="518" t="str">
        <f>IF($A91="","",'[2]Aanvraag inhuur'!$C$110)</f>
        <v/>
      </c>
      <c r="P91" s="518" t="str">
        <f>IF($A91="","",CONCATENATE('[2]Aanvraag inhuur'!$C$18," ",'[2]Aanvraag inhuur'!$C$22))</f>
        <v/>
      </c>
      <c r="Q91" s="551"/>
      <c r="R91" s="518" t="str">
        <f>IF($A91="","",VLOOKUP(CONCATENATE('[2]Overzicht inhuurdesk'!$C$9,'[2]Overzicht inhuurdesk'!$C$10,$Q91),[2]Leveranciersnamen!A:K,11,FALSE))</f>
        <v/>
      </c>
      <c r="S91" s="551"/>
      <c r="T91" s="553" t="str">
        <f t="shared" si="22"/>
        <v/>
      </c>
      <c r="U91" s="553" t="str">
        <f t="shared" si="23"/>
        <v/>
      </c>
      <c r="V91" s="553" t="str">
        <f t="shared" si="24"/>
        <v/>
      </c>
      <c r="W91" s="553" t="str">
        <f t="shared" si="25"/>
        <v/>
      </c>
      <c r="X91" s="552" t="str">
        <f>IF($A91="","",'[2]Overzicht inhuurdesk'!$T$12)</f>
        <v/>
      </c>
      <c r="Y91" s="516" t="str">
        <f t="shared" si="26"/>
        <v/>
      </c>
      <c r="Z91" s="518" t="str">
        <f>IF($A91="","",'[2]Aanvraag inhuur'!$G$93)</f>
        <v/>
      </c>
      <c r="AA91" s="518" t="str">
        <f>IF($A91="","",'[2]Aanvraag inhuur'!$C$95)</f>
        <v/>
      </c>
      <c r="AB91" s="518" t="str">
        <f>IF($A91="","",'[2]Aanvraag inhuur'!$C$97)</f>
        <v/>
      </c>
      <c r="AC91" s="518" t="str">
        <f>IF($A91="","",'[2]Aanvraag inhuur'!$C$98)</f>
        <v/>
      </c>
      <c r="AD91" s="517" t="s">
        <v>1267</v>
      </c>
      <c r="AE91" s="551"/>
      <c r="AF91" s="518" t="str">
        <f t="shared" si="19"/>
        <v/>
      </c>
      <c r="AG91" s="518" t="str">
        <f>IF($A91="","",'[2]Overzicht inhuurdesk'!$I$12)</f>
        <v/>
      </c>
      <c r="AH91" s="550">
        <v>87</v>
      </c>
    </row>
    <row r="92" spans="1:34">
      <c r="A92" s="549"/>
      <c r="B92" s="549"/>
      <c r="C92" s="549"/>
      <c r="D92" s="549"/>
      <c r="E92" s="549"/>
      <c r="F92" s="549"/>
      <c r="G92" s="549"/>
      <c r="H92" s="549"/>
      <c r="I92" s="549"/>
      <c r="J92" s="549"/>
      <c r="K92" s="549"/>
      <c r="L92" s="549"/>
      <c r="M92" s="549"/>
      <c r="N92" s="549"/>
      <c r="O92" s="549"/>
      <c r="P92" s="549"/>
      <c r="Q92" s="549"/>
      <c r="R92" s="549"/>
      <c r="S92" s="549"/>
      <c r="T92" s="549"/>
      <c r="U92" s="549"/>
      <c r="V92" s="549"/>
      <c r="W92" s="549"/>
      <c r="X92" s="549"/>
      <c r="Y92" s="549"/>
      <c r="Z92" s="549"/>
      <c r="AA92" s="549"/>
      <c r="AB92" s="549"/>
      <c r="AC92" s="549"/>
      <c r="AD92" s="549"/>
      <c r="AE92" s="549"/>
      <c r="AF92" s="549"/>
      <c r="AG92" s="549"/>
    </row>
    <row r="93" spans="1:34">
      <c r="H93" s="546"/>
    </row>
    <row r="94" spans="1:34">
      <c r="H94" s="546"/>
    </row>
    <row r="95" spans="1:34">
      <c r="H95" s="546"/>
    </row>
    <row r="96" spans="1:34">
      <c r="H96" s="546"/>
    </row>
    <row r="97" spans="8:8">
      <c r="H97" s="546"/>
    </row>
    <row r="98" spans="8:8">
      <c r="H98" s="546"/>
    </row>
    <row r="99" spans="8:8">
      <c r="H99" s="546"/>
    </row>
    <row r="100" spans="8:8">
      <c r="H100" s="546"/>
    </row>
    <row r="101" spans="8:8">
      <c r="H101" s="546"/>
    </row>
    <row r="102" spans="8:8">
      <c r="H102" s="546"/>
    </row>
    <row r="103" spans="8:8">
      <c r="H103" s="546"/>
    </row>
    <row r="104" spans="8:8">
      <c r="H104" s="546"/>
    </row>
    <row r="105" spans="8:8">
      <c r="H105" s="546"/>
    </row>
    <row r="106" spans="8:8">
      <c r="H106" s="546"/>
    </row>
    <row r="107" spans="8:8">
      <c r="H107" s="546"/>
    </row>
    <row r="108" spans="8:8">
      <c r="H108" s="546"/>
    </row>
  </sheetData>
  <sheetProtection sheet="1" formatColumns="0"/>
  <conditionalFormatting sqref="F4:F91">
    <cfRule type="expression" dxfId="0" priority="1">
      <formula>NOT(EXACT(SEARCH("/",F4),0))</formula>
    </cfRule>
  </conditionalFormatting>
  <dataValidations count="2">
    <dataValidation type="list" allowBlank="1" showInputMessage="1" showErrorMessage="1" sqref="N4:N91" xr:uid="{6EC7FB8D-DBF3-4117-8743-2DA14B7ACB49}">
      <formula1>Lijst1</formula1>
    </dataValidation>
    <dataValidation type="list" allowBlank="1" showInputMessage="1" showErrorMessage="1" sqref="F4:F91" xr:uid="{E5B049DD-0F7D-4826-8E02-6BD601E1BE24}">
      <formula1>INDIRECT(SUBSTITUTE(D4," ",""))</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EJ49"/>
  <sheetViews>
    <sheetView topLeftCell="X1" workbookViewId="0">
      <selection activeCell="AC15" sqref="AC15"/>
    </sheetView>
  </sheetViews>
  <sheetFormatPr defaultColWidth="10.83203125" defaultRowHeight="18" customHeight="1"/>
  <cols>
    <col min="1" max="1" width="55.25" style="1" bestFit="1" customWidth="1"/>
    <col min="2" max="2" width="15.58203125" style="1" bestFit="1" customWidth="1"/>
    <col min="3" max="3" width="34.75" style="1" customWidth="1"/>
    <col min="4" max="4" width="20.08203125" style="1" bestFit="1" customWidth="1"/>
    <col min="5" max="5" width="24.5" style="1" bestFit="1" customWidth="1"/>
    <col min="6" max="6" width="18.75" style="1" bestFit="1" customWidth="1"/>
    <col min="7" max="8" width="68" style="1" customWidth="1"/>
    <col min="9" max="9" width="5.58203125" style="2" bestFit="1" customWidth="1"/>
    <col min="10" max="18" width="21.33203125" style="1" customWidth="1"/>
    <col min="19" max="19" width="43.08203125" style="1" bestFit="1" customWidth="1"/>
    <col min="20" max="20" width="43.08203125" style="1" customWidth="1"/>
    <col min="21" max="21" width="27.75" style="1" bestFit="1" customWidth="1"/>
    <col min="22" max="22" width="35.33203125" style="1" bestFit="1" customWidth="1"/>
    <col min="23" max="24" width="35.33203125" style="1" customWidth="1"/>
    <col min="25" max="25" width="63.83203125" style="1" bestFit="1" customWidth="1"/>
    <col min="26" max="26" width="39.25" style="1" bestFit="1" customWidth="1"/>
    <col min="27" max="27" width="32.83203125" style="1" bestFit="1" customWidth="1"/>
    <col min="28" max="28" width="31.08203125" style="1" bestFit="1" customWidth="1"/>
    <col min="29" max="29" width="52.08203125" style="1" bestFit="1" customWidth="1"/>
    <col min="30" max="30" width="59" style="1" customWidth="1"/>
    <col min="31" max="31" width="25.5" style="1" bestFit="1" customWidth="1"/>
    <col min="32" max="34" width="58" style="1" customWidth="1"/>
    <col min="35" max="35" width="82.33203125" style="1" customWidth="1"/>
    <col min="36" max="37" width="58" style="1" customWidth="1"/>
    <col min="38" max="38" width="40" style="1" bestFit="1" customWidth="1"/>
    <col min="39" max="39" width="10.83203125" style="1"/>
    <col min="40" max="40" width="38.5" style="1" customWidth="1"/>
    <col min="41" max="41" width="109.75" style="1" customWidth="1"/>
    <col min="42" max="57" width="10.83203125" style="1"/>
    <col min="58" max="58" width="12.5" style="1" customWidth="1"/>
    <col min="59" max="60" width="10.83203125" style="1"/>
    <col min="61" max="61" width="66.58203125" style="1" bestFit="1" customWidth="1"/>
    <col min="62" max="66" width="25.58203125" style="1" bestFit="1" customWidth="1"/>
    <col min="67" max="67" width="29.5" style="1" bestFit="1" customWidth="1"/>
    <col min="68" max="72" width="20.25" style="1" bestFit="1" customWidth="1"/>
    <col min="73" max="73" width="24" style="1" bestFit="1" customWidth="1"/>
    <col min="74" max="78" width="39.5" style="1" bestFit="1" customWidth="1"/>
    <col min="79" max="79" width="43.33203125" style="1" bestFit="1" customWidth="1"/>
    <col min="80" max="84" width="39.5" style="1" bestFit="1" customWidth="1"/>
    <col min="85" max="85" width="43.33203125" style="1" bestFit="1" customWidth="1"/>
    <col min="86" max="90" width="39.5" style="1" bestFit="1" customWidth="1"/>
    <col min="91" max="91" width="43.33203125" style="1" bestFit="1" customWidth="1"/>
    <col min="92" max="96" width="33" style="1" bestFit="1" customWidth="1"/>
    <col min="97" max="97" width="36.75" style="1" bestFit="1" customWidth="1"/>
    <col min="98" max="102" width="59.33203125" style="1" bestFit="1" customWidth="1"/>
    <col min="103" max="103" width="63.25" style="1" bestFit="1" customWidth="1"/>
    <col min="104" max="108" width="17.25" style="1" bestFit="1" customWidth="1"/>
    <col min="109" max="109" width="21" style="1" bestFit="1" customWidth="1"/>
    <col min="110" max="114" width="35.75" style="1" bestFit="1" customWidth="1"/>
    <col min="115" max="115" width="39.5" style="1" bestFit="1" customWidth="1"/>
    <col min="116" max="120" width="37.5" style="1" bestFit="1" customWidth="1"/>
    <col min="121" max="121" width="41.25" style="1" bestFit="1" customWidth="1"/>
    <col min="122" max="126" width="61.83203125" style="1" bestFit="1" customWidth="1"/>
    <col min="127" max="127" width="65.58203125" style="1" bestFit="1" customWidth="1"/>
    <col min="128" max="132" width="16.58203125" style="1" bestFit="1" customWidth="1"/>
    <col min="133" max="133" width="20.33203125" style="1" bestFit="1" customWidth="1"/>
    <col min="134" max="138" width="40.5" style="1" bestFit="1" customWidth="1"/>
    <col min="139" max="139" width="44.25" style="1" bestFit="1" customWidth="1"/>
    <col min="140" max="140" width="9.08203125" style="1" bestFit="1" customWidth="1"/>
    <col min="141" max="16384" width="10.83203125" style="1"/>
  </cols>
  <sheetData>
    <row r="1" spans="1:140" ht="25.5" customHeight="1" thickBot="1">
      <c r="A1" s="776" t="s">
        <v>13</v>
      </c>
      <c r="B1" s="776"/>
      <c r="C1" s="776" t="s">
        <v>23</v>
      </c>
      <c r="D1" s="776"/>
      <c r="E1" s="776"/>
      <c r="F1" s="403"/>
      <c r="G1" s="403"/>
      <c r="H1" s="403"/>
      <c r="I1" s="778" t="s">
        <v>24</v>
      </c>
      <c r="J1" s="779"/>
      <c r="K1" s="779"/>
      <c r="L1" s="779"/>
      <c r="M1" s="779"/>
      <c r="N1" s="779"/>
      <c r="O1" s="779"/>
      <c r="P1" s="779"/>
      <c r="Q1" s="779"/>
      <c r="R1" s="780"/>
      <c r="S1" s="775" t="s">
        <v>93</v>
      </c>
      <c r="T1" s="776"/>
      <c r="U1" s="776"/>
      <c r="V1" s="776"/>
      <c r="W1" s="776"/>
      <c r="X1" s="776"/>
      <c r="Y1" s="776"/>
      <c r="Z1" s="776"/>
      <c r="AA1" s="776"/>
      <c r="AB1" s="776"/>
      <c r="AC1" s="776"/>
      <c r="AD1" s="776"/>
      <c r="AE1" s="776"/>
      <c r="AF1" s="776"/>
      <c r="AG1" s="403"/>
      <c r="AH1" s="403"/>
      <c r="AI1" s="403"/>
      <c r="AJ1" s="403"/>
      <c r="AK1" s="403"/>
      <c r="AL1" s="775" t="s">
        <v>127</v>
      </c>
      <c r="AM1" s="777"/>
      <c r="AN1" s="775" t="s">
        <v>131</v>
      </c>
      <c r="AO1" s="776"/>
      <c r="AP1" s="776"/>
      <c r="AQ1" s="776"/>
      <c r="AR1" s="776"/>
      <c r="AS1" s="776"/>
      <c r="AT1" s="776"/>
      <c r="AU1" s="776"/>
      <c r="AV1" s="776"/>
      <c r="AW1" s="776"/>
      <c r="AX1" s="776"/>
      <c r="AY1" s="776"/>
      <c r="AZ1" s="776"/>
      <c r="BA1" s="776"/>
      <c r="BB1" s="776"/>
      <c r="BC1" s="776"/>
      <c r="BD1" s="776"/>
      <c r="BE1" s="776"/>
      <c r="BF1" s="776"/>
      <c r="BG1" s="776"/>
      <c r="BI1" s="1" t="s">
        <v>363</v>
      </c>
      <c r="BL1" s="1" t="s">
        <v>454</v>
      </c>
      <c r="BN1" s="1" t="s">
        <v>726</v>
      </c>
    </row>
    <row r="2" spans="1:140" s="3" customFormat="1" ht="27" customHeight="1" thickBot="1">
      <c r="A2" s="15"/>
      <c r="B2" s="7"/>
      <c r="C2" s="395" t="s">
        <v>0</v>
      </c>
      <c r="D2" s="396" t="s">
        <v>1</v>
      </c>
      <c r="E2" s="396" t="s">
        <v>59</v>
      </c>
      <c r="F2" s="396" t="s">
        <v>53</v>
      </c>
      <c r="G2" s="396" t="s">
        <v>66</v>
      </c>
      <c r="H2" s="396" t="s">
        <v>354</v>
      </c>
      <c r="I2" s="397" t="s">
        <v>26</v>
      </c>
      <c r="J2" s="398" t="s">
        <v>25</v>
      </c>
      <c r="K2" s="398" t="s">
        <v>27</v>
      </c>
      <c r="L2" s="398" t="s">
        <v>21</v>
      </c>
      <c r="M2" s="398" t="s">
        <v>37</v>
      </c>
      <c r="N2" s="398" t="s">
        <v>28</v>
      </c>
      <c r="O2" s="398" t="s">
        <v>29</v>
      </c>
      <c r="P2" s="398" t="s">
        <v>30</v>
      </c>
      <c r="Q2" s="398" t="s">
        <v>31</v>
      </c>
      <c r="R2" s="399" t="s">
        <v>22</v>
      </c>
      <c r="S2" s="400" t="s">
        <v>92</v>
      </c>
      <c r="T2" s="401" t="s">
        <v>235</v>
      </c>
      <c r="U2" s="401" t="s">
        <v>91</v>
      </c>
      <c r="V2" s="401" t="s">
        <v>111</v>
      </c>
      <c r="W2" s="401" t="s">
        <v>147</v>
      </c>
      <c r="X2" s="401" t="s">
        <v>820</v>
      </c>
      <c r="Y2" s="401" t="s">
        <v>533</v>
      </c>
      <c r="Z2" s="398" t="s">
        <v>506</v>
      </c>
      <c r="AA2" s="398" t="s">
        <v>784</v>
      </c>
      <c r="AB2" s="398" t="s">
        <v>113</v>
      </c>
      <c r="AC2" s="398" t="s">
        <v>90</v>
      </c>
      <c r="AD2" s="398" t="s">
        <v>959</v>
      </c>
      <c r="AE2" s="398" t="s">
        <v>483</v>
      </c>
      <c r="AF2" s="398" t="s">
        <v>895</v>
      </c>
      <c r="AG2" s="398" t="s">
        <v>433</v>
      </c>
      <c r="AH2" s="398" t="s">
        <v>554</v>
      </c>
      <c r="AI2" s="398" t="s">
        <v>768</v>
      </c>
      <c r="AJ2" s="398" t="s">
        <v>517</v>
      </c>
      <c r="AK2" s="398" t="s">
        <v>323</v>
      </c>
      <c r="AL2" s="400" t="s">
        <v>92</v>
      </c>
      <c r="AM2" s="542" t="s">
        <v>128</v>
      </c>
      <c r="AN2" s="400" t="s">
        <v>92</v>
      </c>
      <c r="AO2" s="402" t="s">
        <v>126</v>
      </c>
      <c r="AP2" s="400" t="s">
        <v>92</v>
      </c>
      <c r="AQ2" s="402" t="s">
        <v>138</v>
      </c>
      <c r="AR2" s="545" t="s">
        <v>92</v>
      </c>
      <c r="AS2" s="538" t="s">
        <v>139</v>
      </c>
      <c r="AT2" s="400" t="s">
        <v>92</v>
      </c>
      <c r="AU2" s="402" t="s">
        <v>140</v>
      </c>
      <c r="AV2" s="400" t="s">
        <v>92</v>
      </c>
      <c r="AW2" s="402" t="s">
        <v>141</v>
      </c>
      <c r="AX2" s="400" t="s">
        <v>92</v>
      </c>
      <c r="AY2" s="402" t="s">
        <v>227</v>
      </c>
      <c r="AZ2" s="400" t="s">
        <v>92</v>
      </c>
      <c r="BA2" s="402" t="s">
        <v>228</v>
      </c>
      <c r="BB2" s="400" t="s">
        <v>92</v>
      </c>
      <c r="BC2" s="402" t="s">
        <v>229</v>
      </c>
      <c r="BD2" s="400" t="s">
        <v>92</v>
      </c>
      <c r="BE2" s="402" t="s">
        <v>230</v>
      </c>
      <c r="BF2" s="400" t="s">
        <v>92</v>
      </c>
      <c r="BG2" s="402" t="s">
        <v>231</v>
      </c>
      <c r="BI2" s="1" t="s">
        <v>364</v>
      </c>
      <c r="BJ2" s="3" t="s">
        <v>381</v>
      </c>
      <c r="BL2" s="484" t="s">
        <v>794</v>
      </c>
      <c r="BN2" s="12" t="s">
        <v>84</v>
      </c>
      <c r="BO2" s="12" t="s">
        <v>847</v>
      </c>
      <c r="BP2" s="12" t="s">
        <v>74</v>
      </c>
    </row>
    <row r="3" spans="1:140" ht="18" customHeight="1" thickBot="1">
      <c r="A3" s="16"/>
      <c r="B3" s="8"/>
      <c r="C3" s="38" t="s">
        <v>1237</v>
      </c>
      <c r="D3" s="12" t="s">
        <v>84</v>
      </c>
      <c r="E3" s="27" t="s">
        <v>77</v>
      </c>
      <c r="F3" s="37" t="s">
        <v>65</v>
      </c>
      <c r="G3" s="42" t="s">
        <v>1161</v>
      </c>
      <c r="H3" s="12"/>
      <c r="I3" s="408">
        <v>2016</v>
      </c>
      <c r="J3" s="22">
        <f>FIXED(("4/"&amp;I3)/7+MOD(MOD(I3,19)*19-7,30)*14%,0)*7-6</f>
        <v>42456</v>
      </c>
      <c r="K3" s="21">
        <f>J3+1</f>
        <v>42457</v>
      </c>
      <c r="L3" s="21">
        <f>J3+39</f>
        <v>42495</v>
      </c>
      <c r="M3" s="21">
        <v>42487</v>
      </c>
      <c r="N3" s="21">
        <f>J3+49</f>
        <v>42505</v>
      </c>
      <c r="O3" s="21">
        <f>J3+50</f>
        <v>42506</v>
      </c>
      <c r="P3" s="21">
        <f>DATE(I3,12,25)</f>
        <v>42729</v>
      </c>
      <c r="Q3" s="21">
        <f>DATE(I3,12,26)</f>
        <v>42730</v>
      </c>
      <c r="R3" s="17">
        <f>DATE(I3,1,1)</f>
        <v>42370</v>
      </c>
      <c r="S3" s="45" t="s">
        <v>91</v>
      </c>
      <c r="T3" s="46"/>
      <c r="U3" s="46" t="s">
        <v>795</v>
      </c>
      <c r="V3" s="46" t="s">
        <v>115</v>
      </c>
      <c r="W3" s="46" t="s">
        <v>148</v>
      </c>
      <c r="X3" s="46" t="s">
        <v>823</v>
      </c>
      <c r="Y3" s="46" t="s">
        <v>534</v>
      </c>
      <c r="Z3" s="46" t="s">
        <v>507</v>
      </c>
      <c r="AA3" s="46" t="s">
        <v>785</v>
      </c>
      <c r="AB3" s="46" t="s">
        <v>411</v>
      </c>
      <c r="AC3" s="46" t="s">
        <v>741</v>
      </c>
      <c r="AD3" s="1" t="s">
        <v>971</v>
      </c>
      <c r="AE3" s="487" t="s">
        <v>848</v>
      </c>
      <c r="AF3" s="47" t="s">
        <v>896</v>
      </c>
      <c r="AG3" s="46" t="s">
        <v>434</v>
      </c>
      <c r="AH3" s="46" t="s">
        <v>547</v>
      </c>
      <c r="AI3" s="487" t="s">
        <v>783</v>
      </c>
      <c r="AJ3" s="484" t="s">
        <v>449</v>
      </c>
      <c r="AK3" s="46" t="s">
        <v>241</v>
      </c>
      <c r="AL3" s="539" t="s">
        <v>91</v>
      </c>
      <c r="AM3" s="539" t="s">
        <v>129</v>
      </c>
      <c r="AN3" s="539" t="s">
        <v>91</v>
      </c>
      <c r="AO3" s="543" t="s">
        <v>135</v>
      </c>
      <c r="AP3" s="45" t="s">
        <v>91</v>
      </c>
      <c r="AQ3" s="47" t="s">
        <v>136</v>
      </c>
      <c r="AR3" s="45" t="s">
        <v>91</v>
      </c>
      <c r="AS3" s="47" t="s">
        <v>137</v>
      </c>
      <c r="AT3" s="46" t="s">
        <v>91</v>
      </c>
      <c r="AU3" s="47" t="s">
        <v>63</v>
      </c>
      <c r="AV3" s="46" t="s">
        <v>91</v>
      </c>
      <c r="AW3" s="46" t="s">
        <v>63</v>
      </c>
      <c r="AX3" s="45" t="s">
        <v>91</v>
      </c>
      <c r="AY3" s="47" t="s">
        <v>63</v>
      </c>
      <c r="AZ3" s="45" t="s">
        <v>91</v>
      </c>
      <c r="BA3" s="47" t="s">
        <v>63</v>
      </c>
      <c r="BB3" s="45" t="s">
        <v>91</v>
      </c>
      <c r="BC3" s="47" t="s">
        <v>63</v>
      </c>
      <c r="BD3" s="45" t="s">
        <v>91</v>
      </c>
      <c r="BE3" s="47" t="s">
        <v>63</v>
      </c>
      <c r="BF3" s="45" t="s">
        <v>91</v>
      </c>
      <c r="BG3" s="47" t="s">
        <v>63</v>
      </c>
      <c r="BI3" t="s">
        <v>375</v>
      </c>
      <c r="BJ3" s="441">
        <v>0</v>
      </c>
      <c r="BK3"/>
      <c r="BL3" s="484" t="s">
        <v>456</v>
      </c>
      <c r="BM3"/>
      <c r="BN3" s="484" t="s">
        <v>727</v>
      </c>
      <c r="BO3" s="484" t="s">
        <v>730</v>
      </c>
      <c r="BP3" t="s">
        <v>734</v>
      </c>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row>
    <row r="4" spans="1:140" ht="18" customHeight="1" thickBot="1">
      <c r="A4" s="16"/>
      <c r="B4" s="6"/>
      <c r="C4" s="38" t="s">
        <v>1238</v>
      </c>
      <c r="D4" s="12" t="s">
        <v>73</v>
      </c>
      <c r="E4" s="10"/>
      <c r="F4" s="11"/>
      <c r="G4" s="42" t="s">
        <v>83</v>
      </c>
      <c r="H4" s="512" t="s">
        <v>735</v>
      </c>
      <c r="I4" s="409">
        <v>2017</v>
      </c>
      <c r="J4" s="23">
        <f t="shared" ref="J4:J22" si="0">FIXED(("4/"&amp;I4)/7+MOD(MOD(I4,19)*19-7,30)*14%,0)*7-6</f>
        <v>42841</v>
      </c>
      <c r="K4" s="19">
        <f t="shared" ref="K4:K22" si="1">J4+1</f>
        <v>42842</v>
      </c>
      <c r="L4" s="19">
        <f t="shared" ref="L4:L16" si="2">J4+39</f>
        <v>42880</v>
      </c>
      <c r="M4" s="19">
        <v>42852</v>
      </c>
      <c r="N4" s="19">
        <f t="shared" ref="N4:N16" si="3">J4+49</f>
        <v>42890</v>
      </c>
      <c r="O4" s="19">
        <f t="shared" ref="O4:O16" si="4">J4+50</f>
        <v>42891</v>
      </c>
      <c r="P4" s="19">
        <f t="shared" ref="P4:P16" si="5">DATE(I4,12,25)</f>
        <v>43094</v>
      </c>
      <c r="Q4" s="19">
        <f t="shared" ref="Q4:Q16" si="6">DATE(I4,12,26)</f>
        <v>43095</v>
      </c>
      <c r="R4" s="18">
        <f t="shared" ref="R4:R16" si="7">DATE(I4,1,1)</f>
        <v>42736</v>
      </c>
      <c r="S4" s="1" t="s">
        <v>1080</v>
      </c>
      <c r="U4" s="1" t="s">
        <v>806</v>
      </c>
      <c r="AB4" s="1" t="s">
        <v>415</v>
      </c>
      <c r="AC4" s="1" t="s">
        <v>743</v>
      </c>
      <c r="AD4" s="1" t="s">
        <v>972</v>
      </c>
      <c r="AF4" s="33" t="s">
        <v>345</v>
      </c>
      <c r="AG4" s="1" t="s">
        <v>435</v>
      </c>
      <c r="AH4" s="1" t="s">
        <v>548</v>
      </c>
      <c r="AJ4" s="1" t="s">
        <v>532</v>
      </c>
      <c r="AK4" s="1" t="s">
        <v>1103</v>
      </c>
      <c r="AL4" s="1" t="s">
        <v>1080</v>
      </c>
      <c r="AM4" s="539" t="s">
        <v>129</v>
      </c>
      <c r="AN4" s="1" t="s">
        <v>1080</v>
      </c>
      <c r="AO4" s="543" t="s">
        <v>135</v>
      </c>
      <c r="AP4" s="1" t="s">
        <v>1080</v>
      </c>
      <c r="AQ4" s="47" t="s">
        <v>136</v>
      </c>
      <c r="AR4" s="1" t="s">
        <v>1080</v>
      </c>
      <c r="AS4" s="47" t="s">
        <v>137</v>
      </c>
      <c r="AT4" s="1" t="s">
        <v>1080</v>
      </c>
      <c r="AU4" s="47" t="s">
        <v>63</v>
      </c>
      <c r="AV4" s="1" t="s">
        <v>1080</v>
      </c>
      <c r="AW4" s="46" t="s">
        <v>63</v>
      </c>
      <c r="AX4" s="1" t="s">
        <v>1080</v>
      </c>
      <c r="AY4" s="47" t="s">
        <v>63</v>
      </c>
      <c r="AZ4" s="1" t="s">
        <v>1080</v>
      </c>
      <c r="BA4" s="47" t="s">
        <v>63</v>
      </c>
      <c r="BB4" s="1" t="s">
        <v>1080</v>
      </c>
      <c r="BC4" s="47" t="s">
        <v>63</v>
      </c>
      <c r="BD4" s="1" t="s">
        <v>1080</v>
      </c>
      <c r="BE4" s="47" t="s">
        <v>63</v>
      </c>
      <c r="BF4" s="1" t="s">
        <v>1080</v>
      </c>
      <c r="BG4" s="47" t="s">
        <v>63</v>
      </c>
      <c r="BI4" t="s">
        <v>376</v>
      </c>
      <c r="BJ4" s="441">
        <v>0.2</v>
      </c>
      <c r="BK4"/>
      <c r="BL4" s="484" t="s">
        <v>459</v>
      </c>
      <c r="BM4"/>
      <c r="BN4" s="484" t="s">
        <v>939</v>
      </c>
      <c r="BO4" s="487" t="s">
        <v>731</v>
      </c>
      <c r="BP4" t="s">
        <v>739</v>
      </c>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row>
    <row r="5" spans="1:140" ht="18" customHeight="1">
      <c r="A5" s="404" t="s">
        <v>2</v>
      </c>
      <c r="B5" s="405" t="s">
        <v>3</v>
      </c>
      <c r="C5" s="39" t="s">
        <v>1239</v>
      </c>
      <c r="D5" s="1" t="s">
        <v>406</v>
      </c>
      <c r="F5" s="11"/>
      <c r="G5" s="89" t="s">
        <v>1159</v>
      </c>
      <c r="H5" s="513" t="s">
        <v>733</v>
      </c>
      <c r="I5" s="409">
        <v>2018</v>
      </c>
      <c r="J5" s="23">
        <f t="shared" si="0"/>
        <v>43191</v>
      </c>
      <c r="K5" s="19">
        <f t="shared" si="1"/>
        <v>43192</v>
      </c>
      <c r="L5" s="19">
        <f t="shared" si="2"/>
        <v>43230</v>
      </c>
      <c r="M5" s="19">
        <v>43217</v>
      </c>
      <c r="N5" s="19">
        <f t="shared" si="3"/>
        <v>43240</v>
      </c>
      <c r="O5" s="19">
        <f t="shared" si="4"/>
        <v>43241</v>
      </c>
      <c r="P5" s="19">
        <f t="shared" si="5"/>
        <v>43459</v>
      </c>
      <c r="Q5" s="19">
        <f t="shared" si="6"/>
        <v>43460</v>
      </c>
      <c r="R5" s="18">
        <f t="shared" si="7"/>
        <v>43101</v>
      </c>
      <c r="S5" s="487" t="s">
        <v>517</v>
      </c>
      <c r="V5" s="48" t="s">
        <v>108</v>
      </c>
      <c r="W5" s="48" t="s">
        <v>108</v>
      </c>
      <c r="X5" s="48"/>
      <c r="Z5" s="48" t="s">
        <v>108</v>
      </c>
      <c r="AA5" s="48" t="s">
        <v>108</v>
      </c>
      <c r="AB5" s="1" t="s">
        <v>412</v>
      </c>
      <c r="AF5" s="33"/>
      <c r="AH5" s="1" t="s">
        <v>589</v>
      </c>
      <c r="AK5" s="1" t="s">
        <v>310</v>
      </c>
      <c r="AL5" s="540" t="s">
        <v>517</v>
      </c>
      <c r="AM5" s="540" t="s">
        <v>129</v>
      </c>
      <c r="AN5" s="540" t="s">
        <v>517</v>
      </c>
      <c r="AO5" s="513" t="s">
        <v>135</v>
      </c>
      <c r="AP5" s="30" t="s">
        <v>517</v>
      </c>
      <c r="AQ5" s="33" t="s">
        <v>136</v>
      </c>
      <c r="AR5" s="30" t="s">
        <v>517</v>
      </c>
      <c r="AS5" s="33" t="s">
        <v>137</v>
      </c>
      <c r="AT5" s="1" t="s">
        <v>517</v>
      </c>
      <c r="AU5" s="33" t="s">
        <v>63</v>
      </c>
      <c r="AV5" s="1" t="s">
        <v>517</v>
      </c>
      <c r="AW5" s="1" t="s">
        <v>63</v>
      </c>
      <c r="AX5" s="30" t="s">
        <v>517</v>
      </c>
      <c r="AY5" s="33" t="s">
        <v>63</v>
      </c>
      <c r="AZ5" s="30" t="s">
        <v>517</v>
      </c>
      <c r="BA5" s="33" t="s">
        <v>63</v>
      </c>
      <c r="BB5" s="30" t="s">
        <v>517</v>
      </c>
      <c r="BC5" s="33" t="s">
        <v>63</v>
      </c>
      <c r="BD5" s="30" t="s">
        <v>517</v>
      </c>
      <c r="BE5" s="33" t="s">
        <v>63</v>
      </c>
      <c r="BF5" s="30" t="s">
        <v>517</v>
      </c>
      <c r="BG5" s="33" t="s">
        <v>63</v>
      </c>
      <c r="BI5" t="s">
        <v>377</v>
      </c>
      <c r="BJ5" s="441">
        <v>0.4</v>
      </c>
      <c r="BK5"/>
      <c r="BL5" s="484" t="s">
        <v>455</v>
      </c>
      <c r="BM5"/>
      <c r="BN5" t="s">
        <v>739</v>
      </c>
      <c r="BO5"/>
      <c r="BP5" s="1" t="s">
        <v>728</v>
      </c>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row>
    <row r="6" spans="1:140" ht="18" customHeight="1">
      <c r="A6" s="4" t="s">
        <v>4</v>
      </c>
      <c r="B6" s="3" t="s">
        <v>4</v>
      </c>
      <c r="C6" s="39"/>
      <c r="D6" s="12" t="s">
        <v>1236</v>
      </c>
      <c r="E6" s="10"/>
      <c r="F6" s="11"/>
      <c r="G6" s="42" t="s">
        <v>1244</v>
      </c>
      <c r="H6" s="512" t="s">
        <v>734</v>
      </c>
      <c r="I6" s="409">
        <v>2019</v>
      </c>
      <c r="J6" s="23">
        <f t="shared" si="0"/>
        <v>43576</v>
      </c>
      <c r="K6" s="19">
        <f t="shared" si="1"/>
        <v>43577</v>
      </c>
      <c r="L6" s="19">
        <f t="shared" si="2"/>
        <v>43615</v>
      </c>
      <c r="M6" s="25"/>
      <c r="N6" s="19">
        <f t="shared" si="3"/>
        <v>43625</v>
      </c>
      <c r="O6" s="19">
        <f t="shared" si="4"/>
        <v>43626</v>
      </c>
      <c r="P6" s="19">
        <f t="shared" si="5"/>
        <v>43824</v>
      </c>
      <c r="Q6" s="19">
        <f t="shared" si="6"/>
        <v>43825</v>
      </c>
      <c r="R6" s="18">
        <f t="shared" si="7"/>
        <v>43466</v>
      </c>
      <c r="S6" s="30" t="s">
        <v>112</v>
      </c>
      <c r="V6" s="1" t="s">
        <v>94</v>
      </c>
      <c r="W6" s="1" t="s">
        <v>149</v>
      </c>
      <c r="X6" s="48" t="s">
        <v>108</v>
      </c>
      <c r="Z6" s="1" t="s">
        <v>502</v>
      </c>
      <c r="AA6" s="1" t="s">
        <v>503</v>
      </c>
      <c r="AB6" s="1" t="s">
        <v>414</v>
      </c>
      <c r="AE6" s="48" t="s">
        <v>108</v>
      </c>
      <c r="AF6" s="165" t="s">
        <v>800</v>
      </c>
      <c r="AG6" s="165" t="s">
        <v>439</v>
      </c>
      <c r="AH6" s="165"/>
      <c r="AI6" s="165" t="s">
        <v>108</v>
      </c>
      <c r="AJ6" s="165" t="s">
        <v>108</v>
      </c>
      <c r="AK6" s="1" t="s">
        <v>262</v>
      </c>
      <c r="AL6" s="540" t="s">
        <v>112</v>
      </c>
      <c r="AM6" s="540" t="s">
        <v>129</v>
      </c>
      <c r="AN6" s="540" t="s">
        <v>112</v>
      </c>
      <c r="AO6" s="1" t="s">
        <v>135</v>
      </c>
      <c r="AP6" s="30" t="s">
        <v>112</v>
      </c>
      <c r="AQ6" s="33" t="s">
        <v>136</v>
      </c>
      <c r="AR6" s="30" t="s">
        <v>112</v>
      </c>
      <c r="AS6" s="33" t="s">
        <v>137</v>
      </c>
      <c r="AT6" s="1" t="s">
        <v>112</v>
      </c>
      <c r="AU6" s="33" t="s">
        <v>63</v>
      </c>
      <c r="AV6" s="1" t="s">
        <v>112</v>
      </c>
      <c r="AW6" s="1" t="s">
        <v>63</v>
      </c>
      <c r="AX6" s="30" t="s">
        <v>112</v>
      </c>
      <c r="AY6" s="33" t="s">
        <v>63</v>
      </c>
      <c r="AZ6" s="30" t="s">
        <v>112</v>
      </c>
      <c r="BA6" s="33" t="s">
        <v>63</v>
      </c>
      <c r="BB6" s="30" t="s">
        <v>112</v>
      </c>
      <c r="BC6" s="33" t="s">
        <v>63</v>
      </c>
      <c r="BD6" s="30" t="s">
        <v>112</v>
      </c>
      <c r="BE6" s="33" t="s">
        <v>63</v>
      </c>
      <c r="BF6" s="30" t="s">
        <v>112</v>
      </c>
      <c r="BG6" s="33" t="s">
        <v>63</v>
      </c>
      <c r="BI6" s="1" t="s">
        <v>378</v>
      </c>
      <c r="BJ6" s="442">
        <v>0.6</v>
      </c>
      <c r="BL6" s="1" t="s">
        <v>948</v>
      </c>
      <c r="BN6" s="484" t="s">
        <v>728</v>
      </c>
    </row>
    <row r="7" spans="1:140" ht="18" customHeight="1">
      <c r="A7" s="4" t="s">
        <v>5</v>
      </c>
      <c r="B7" s="3" t="s">
        <v>5</v>
      </c>
      <c r="C7" s="39"/>
      <c r="D7" s="12" t="s">
        <v>1235</v>
      </c>
      <c r="E7" s="10"/>
      <c r="F7" s="11"/>
      <c r="G7" s="42" t="s">
        <v>1245</v>
      </c>
      <c r="H7" s="512" t="s">
        <v>734</v>
      </c>
      <c r="I7" s="409">
        <v>2020</v>
      </c>
      <c r="J7" s="23">
        <f t="shared" si="0"/>
        <v>43933</v>
      </c>
      <c r="K7" s="19">
        <f t="shared" si="1"/>
        <v>43934</v>
      </c>
      <c r="L7" s="19">
        <f t="shared" si="2"/>
        <v>43972</v>
      </c>
      <c r="M7" s="19">
        <v>43948</v>
      </c>
      <c r="N7" s="19">
        <f t="shared" si="3"/>
        <v>43982</v>
      </c>
      <c r="O7" s="19">
        <f t="shared" si="4"/>
        <v>43983</v>
      </c>
      <c r="P7" s="19">
        <f t="shared" si="5"/>
        <v>44190</v>
      </c>
      <c r="Q7" s="19">
        <f t="shared" si="6"/>
        <v>44191</v>
      </c>
      <c r="R7" s="18">
        <f t="shared" si="7"/>
        <v>43831</v>
      </c>
      <c r="S7" s="30" t="s">
        <v>147</v>
      </c>
      <c r="U7" s="48" t="s">
        <v>800</v>
      </c>
      <c r="V7" s="1" t="s">
        <v>95</v>
      </c>
      <c r="W7" s="1" t="s">
        <v>150</v>
      </c>
      <c r="X7" s="1" t="s">
        <v>826</v>
      </c>
      <c r="Z7" s="1" t="s">
        <v>503</v>
      </c>
      <c r="AA7" s="1" t="s">
        <v>786</v>
      </c>
      <c r="AC7" s="48" t="s">
        <v>108</v>
      </c>
      <c r="AD7" s="48" t="s">
        <v>108</v>
      </c>
      <c r="AE7" s="1" t="s">
        <v>104</v>
      </c>
      <c r="AF7" s="33" t="s">
        <v>105</v>
      </c>
      <c r="AG7" s="1" t="s">
        <v>440</v>
      </c>
      <c r="AI7" s="1" t="s">
        <v>766</v>
      </c>
      <c r="AJ7" s="33" t="s">
        <v>104</v>
      </c>
      <c r="AK7" s="1" t="s">
        <v>270</v>
      </c>
      <c r="AL7" s="540" t="s">
        <v>147</v>
      </c>
      <c r="AM7" s="540" t="s">
        <v>129</v>
      </c>
      <c r="AN7" s="540" t="s">
        <v>147</v>
      </c>
      <c r="AO7" s="1" t="s">
        <v>135</v>
      </c>
      <c r="AP7" s="30" t="s">
        <v>147</v>
      </c>
      <c r="AQ7" s="33" t="s">
        <v>136</v>
      </c>
      <c r="AR7" s="30" t="s">
        <v>147</v>
      </c>
      <c r="AS7" s="33" t="s">
        <v>137</v>
      </c>
      <c r="AT7" s="1" t="s">
        <v>147</v>
      </c>
      <c r="AU7" s="33" t="s">
        <v>63</v>
      </c>
      <c r="AV7" s="30" t="s">
        <v>147</v>
      </c>
      <c r="AW7" s="1" t="s">
        <v>63</v>
      </c>
      <c r="AX7" s="30" t="s">
        <v>147</v>
      </c>
      <c r="AY7" s="33" t="s">
        <v>63</v>
      </c>
      <c r="AZ7" s="30" t="s">
        <v>147</v>
      </c>
      <c r="BA7" s="33" t="s">
        <v>63</v>
      </c>
      <c r="BB7" s="30" t="s">
        <v>147</v>
      </c>
      <c r="BC7" s="33" t="s">
        <v>63</v>
      </c>
      <c r="BD7" s="30" t="s">
        <v>147</v>
      </c>
      <c r="BE7" s="33" t="s">
        <v>63</v>
      </c>
      <c r="BF7" s="30" t="s">
        <v>147</v>
      </c>
      <c r="BG7" s="33" t="s">
        <v>63</v>
      </c>
      <c r="BI7" s="1" t="s">
        <v>379</v>
      </c>
      <c r="BJ7" s="442">
        <v>0.8</v>
      </c>
      <c r="BL7" s="484" t="s">
        <v>480</v>
      </c>
      <c r="BN7" s="484" t="s">
        <v>729</v>
      </c>
    </row>
    <row r="8" spans="1:140" ht="18" customHeight="1" thickBot="1">
      <c r="A8" s="5"/>
      <c r="B8" s="6" t="s">
        <v>6</v>
      </c>
      <c r="D8" s="12" t="s">
        <v>1234</v>
      </c>
      <c r="F8" s="11"/>
      <c r="G8" s="1" t="s">
        <v>1246</v>
      </c>
      <c r="H8" s="512" t="s">
        <v>734</v>
      </c>
      <c r="I8" s="409">
        <v>2021</v>
      </c>
      <c r="J8" s="23">
        <f t="shared" si="0"/>
        <v>44290</v>
      </c>
      <c r="K8" s="19">
        <f t="shared" si="1"/>
        <v>44291</v>
      </c>
      <c r="L8" s="19">
        <f t="shared" si="2"/>
        <v>44329</v>
      </c>
      <c r="M8" s="19">
        <v>44313</v>
      </c>
      <c r="N8" s="19">
        <f t="shared" si="3"/>
        <v>44339</v>
      </c>
      <c r="O8" s="19">
        <f t="shared" si="4"/>
        <v>44340</v>
      </c>
      <c r="P8" s="19">
        <f t="shared" si="5"/>
        <v>44555</v>
      </c>
      <c r="Q8" s="19">
        <f t="shared" si="6"/>
        <v>44556</v>
      </c>
      <c r="R8" s="18">
        <f t="shared" si="7"/>
        <v>44197</v>
      </c>
      <c r="S8" s="30" t="s">
        <v>820</v>
      </c>
      <c r="U8" s="1" t="s">
        <v>796</v>
      </c>
      <c r="V8" s="1" t="s">
        <v>96</v>
      </c>
      <c r="W8" s="1" t="s">
        <v>151</v>
      </c>
      <c r="X8" s="1" t="s">
        <v>825</v>
      </c>
      <c r="Y8" s="48" t="s">
        <v>108</v>
      </c>
      <c r="Z8" s="1" t="s">
        <v>504</v>
      </c>
      <c r="AA8" s="1" t="s">
        <v>787</v>
      </c>
      <c r="AB8" s="48" t="s">
        <v>108</v>
      </c>
      <c r="AC8" s="1" t="s">
        <v>104</v>
      </c>
      <c r="AD8" s="1" t="s">
        <v>960</v>
      </c>
      <c r="AE8" s="1" t="s">
        <v>105</v>
      </c>
      <c r="AF8" s="33" t="s">
        <v>106</v>
      </c>
      <c r="AG8" s="1" t="s">
        <v>441</v>
      </c>
      <c r="AH8" s="165" t="s">
        <v>108</v>
      </c>
      <c r="AI8" s="1" t="s">
        <v>767</v>
      </c>
      <c r="AJ8" s="33" t="s">
        <v>105</v>
      </c>
      <c r="AK8" s="1" t="s">
        <v>821</v>
      </c>
      <c r="AL8" s="540" t="s">
        <v>820</v>
      </c>
      <c r="AM8" s="540" t="s">
        <v>129</v>
      </c>
      <c r="AN8" s="540" t="s">
        <v>820</v>
      </c>
      <c r="AO8" s="1" t="s">
        <v>135</v>
      </c>
      <c r="AP8" s="30" t="s">
        <v>820</v>
      </c>
      <c r="AQ8" s="33" t="s">
        <v>136</v>
      </c>
      <c r="AR8" s="30" t="s">
        <v>820</v>
      </c>
      <c r="AS8" s="33" t="s">
        <v>137</v>
      </c>
      <c r="AT8" s="1" t="s">
        <v>820</v>
      </c>
      <c r="AU8" s="33" t="s">
        <v>63</v>
      </c>
      <c r="AV8" s="30" t="s">
        <v>820</v>
      </c>
      <c r="AW8" s="1" t="s">
        <v>63</v>
      </c>
      <c r="AX8" s="30" t="s">
        <v>820</v>
      </c>
      <c r="AY8" s="33" t="s">
        <v>63</v>
      </c>
      <c r="AZ8" s="30" t="s">
        <v>820</v>
      </c>
      <c r="BA8" s="33" t="s">
        <v>63</v>
      </c>
      <c r="BB8" s="30" t="s">
        <v>820</v>
      </c>
      <c r="BC8" s="33" t="s">
        <v>63</v>
      </c>
      <c r="BD8" s="30" t="s">
        <v>820</v>
      </c>
      <c r="BE8" s="33" t="s">
        <v>63</v>
      </c>
      <c r="BF8" s="30" t="s">
        <v>820</v>
      </c>
      <c r="BG8" s="33" t="s">
        <v>63</v>
      </c>
      <c r="BI8" s="1" t="s">
        <v>380</v>
      </c>
      <c r="BJ8" s="442">
        <v>1</v>
      </c>
      <c r="BL8" s="484" t="s">
        <v>481</v>
      </c>
    </row>
    <row r="9" spans="1:140" ht="18" customHeight="1" thickBot="1">
      <c r="A9" s="404" t="s">
        <v>52</v>
      </c>
      <c r="B9" s="407"/>
      <c r="D9" s="1" t="s">
        <v>74</v>
      </c>
      <c r="F9"/>
      <c r="G9" s="13" t="s">
        <v>1247</v>
      </c>
      <c r="H9" s="12"/>
      <c r="I9" s="409">
        <v>2022</v>
      </c>
      <c r="J9" s="23">
        <f t="shared" si="0"/>
        <v>44668</v>
      </c>
      <c r="K9" s="19">
        <f t="shared" si="1"/>
        <v>44669</v>
      </c>
      <c r="L9" s="19">
        <f t="shared" si="2"/>
        <v>44707</v>
      </c>
      <c r="M9" s="19">
        <v>44678</v>
      </c>
      <c r="N9" s="19">
        <f t="shared" si="3"/>
        <v>44717</v>
      </c>
      <c r="O9" s="19">
        <f t="shared" si="4"/>
        <v>44718</v>
      </c>
      <c r="P9" s="19">
        <f t="shared" si="5"/>
        <v>44920</v>
      </c>
      <c r="Q9" s="19">
        <f t="shared" si="6"/>
        <v>44921</v>
      </c>
      <c r="R9" s="18">
        <f t="shared" si="7"/>
        <v>44562</v>
      </c>
      <c r="S9" s="30" t="s">
        <v>895</v>
      </c>
      <c r="T9" s="1" t="s">
        <v>236</v>
      </c>
      <c r="U9" s="1" t="s">
        <v>797</v>
      </c>
      <c r="V9" s="1" t="s">
        <v>97</v>
      </c>
      <c r="W9" s="1" t="s">
        <v>152</v>
      </c>
      <c r="X9" s="1" t="s">
        <v>824</v>
      </c>
      <c r="Y9" s="1" t="s">
        <v>535</v>
      </c>
      <c r="Z9" s="1" t="s">
        <v>505</v>
      </c>
      <c r="AB9" s="1" t="s">
        <v>109</v>
      </c>
      <c r="AC9" s="1" t="s">
        <v>105</v>
      </c>
      <c r="AD9" t="s">
        <v>962</v>
      </c>
      <c r="AE9" s="1" t="s">
        <v>106</v>
      </c>
      <c r="AH9" s="46" t="s">
        <v>547</v>
      </c>
      <c r="AJ9" s="33" t="s">
        <v>106</v>
      </c>
      <c r="AK9" s="1" t="s">
        <v>307</v>
      </c>
      <c r="AL9" s="540" t="s">
        <v>506</v>
      </c>
      <c r="AM9" s="540" t="s">
        <v>129</v>
      </c>
      <c r="AN9" s="540" t="s">
        <v>506</v>
      </c>
      <c r="AO9" s="513" t="s">
        <v>135</v>
      </c>
      <c r="AP9" s="30" t="s">
        <v>506</v>
      </c>
      <c r="AQ9" s="33" t="s">
        <v>136</v>
      </c>
      <c r="AR9" s="30" t="s">
        <v>506</v>
      </c>
      <c r="AS9" s="33" t="s">
        <v>137</v>
      </c>
      <c r="AT9" s="1" t="s">
        <v>506</v>
      </c>
      <c r="AU9" s="33" t="s">
        <v>63</v>
      </c>
      <c r="AV9" s="30" t="s">
        <v>506</v>
      </c>
      <c r="AW9" s="1" t="s">
        <v>63</v>
      </c>
      <c r="AX9" s="30" t="s">
        <v>506</v>
      </c>
      <c r="AY9" s="33" t="s">
        <v>63</v>
      </c>
      <c r="AZ9" s="30" t="s">
        <v>506</v>
      </c>
      <c r="BA9" s="33" t="s">
        <v>63</v>
      </c>
      <c r="BB9" s="30" t="s">
        <v>506</v>
      </c>
      <c r="BC9" s="33" t="s">
        <v>63</v>
      </c>
      <c r="BD9" s="30" t="s">
        <v>506</v>
      </c>
      <c r="BE9" s="33" t="s">
        <v>63</v>
      </c>
      <c r="BF9" s="30" t="s">
        <v>506</v>
      </c>
      <c r="BG9" s="33" t="s">
        <v>63</v>
      </c>
      <c r="BL9" s="484" t="s">
        <v>831</v>
      </c>
    </row>
    <row r="10" spans="1:140" ht="18" customHeight="1" thickBot="1">
      <c r="A10" s="353" t="s">
        <v>403</v>
      </c>
      <c r="B10" s="13"/>
      <c r="C10" s="39"/>
      <c r="D10" s="40" t="s">
        <v>75</v>
      </c>
      <c r="F10"/>
      <c r="G10" s="41" t="s">
        <v>76</v>
      </c>
      <c r="H10" s="40" t="s">
        <v>732</v>
      </c>
      <c r="I10" s="409">
        <v>2023</v>
      </c>
      <c r="J10" s="23">
        <f t="shared" si="0"/>
        <v>45025</v>
      </c>
      <c r="K10" s="19">
        <f t="shared" si="1"/>
        <v>45026</v>
      </c>
      <c r="L10" s="19">
        <f t="shared" si="2"/>
        <v>45064</v>
      </c>
      <c r="M10" s="19">
        <v>45043</v>
      </c>
      <c r="N10" s="19">
        <f t="shared" si="3"/>
        <v>45074</v>
      </c>
      <c r="O10" s="19">
        <f t="shared" si="4"/>
        <v>45075</v>
      </c>
      <c r="P10" s="19">
        <f t="shared" si="5"/>
        <v>45285</v>
      </c>
      <c r="Q10" s="19">
        <f t="shared" si="6"/>
        <v>45286</v>
      </c>
      <c r="R10" s="18">
        <f t="shared" si="7"/>
        <v>44927</v>
      </c>
      <c r="S10" s="30" t="s">
        <v>506</v>
      </c>
      <c r="U10" s="1" t="s">
        <v>798</v>
      </c>
      <c r="V10" s="1" t="s">
        <v>98</v>
      </c>
      <c r="Y10" s="1" t="s">
        <v>536</v>
      </c>
      <c r="AB10" s="1" t="s">
        <v>104</v>
      </c>
      <c r="AC10" s="1" t="s">
        <v>106</v>
      </c>
      <c r="AD10" t="s">
        <v>963</v>
      </c>
      <c r="AE10" s="1" t="s">
        <v>110</v>
      </c>
      <c r="AF10" s="33"/>
      <c r="AH10" s="33" t="s">
        <v>578</v>
      </c>
      <c r="AJ10" s="484" t="s">
        <v>522</v>
      </c>
      <c r="AK10" s="1" t="s">
        <v>279</v>
      </c>
      <c r="AL10" s="540" t="s">
        <v>784</v>
      </c>
      <c r="AM10" s="540" t="s">
        <v>129</v>
      </c>
      <c r="AN10" s="540" t="s">
        <v>784</v>
      </c>
      <c r="AO10" s="513" t="s">
        <v>135</v>
      </c>
      <c r="AP10" s="30" t="s">
        <v>784</v>
      </c>
      <c r="AQ10" s="33" t="s">
        <v>136</v>
      </c>
      <c r="AR10" s="30" t="s">
        <v>784</v>
      </c>
      <c r="AS10" s="33" t="s">
        <v>137</v>
      </c>
      <c r="AT10" s="1" t="s">
        <v>784</v>
      </c>
      <c r="AU10" s="33" t="s">
        <v>63</v>
      </c>
      <c r="AV10" s="30" t="s">
        <v>784</v>
      </c>
      <c r="AW10" s="1" t="s">
        <v>63</v>
      </c>
      <c r="AX10" s="30" t="s">
        <v>784</v>
      </c>
      <c r="AY10" s="33" t="s">
        <v>63</v>
      </c>
      <c r="AZ10" s="30" t="s">
        <v>784</v>
      </c>
      <c r="BA10" s="33" t="s">
        <v>63</v>
      </c>
      <c r="BB10" s="30" t="s">
        <v>784</v>
      </c>
      <c r="BC10" s="33" t="s">
        <v>63</v>
      </c>
      <c r="BD10" s="30" t="s">
        <v>784</v>
      </c>
      <c r="BE10" s="33" t="s">
        <v>63</v>
      </c>
      <c r="BF10" s="30" t="s">
        <v>784</v>
      </c>
      <c r="BG10" s="33" t="s">
        <v>63</v>
      </c>
      <c r="BL10" s="484" t="s">
        <v>1230</v>
      </c>
    </row>
    <row r="11" spans="1:140" ht="18" customHeight="1" thickBot="1">
      <c r="A11" s="406" t="s">
        <v>44</v>
      </c>
      <c r="B11" s="406" t="s">
        <v>47</v>
      </c>
      <c r="C11" s="39"/>
      <c r="D11" s="12" t="s">
        <v>847</v>
      </c>
      <c r="F11" s="11"/>
      <c r="G11" s="42" t="s">
        <v>1248</v>
      </c>
      <c r="H11" s="1" t="s">
        <v>730</v>
      </c>
      <c r="I11" s="409">
        <v>2024</v>
      </c>
      <c r="J11" s="23">
        <f t="shared" si="0"/>
        <v>45382</v>
      </c>
      <c r="K11" s="19">
        <f t="shared" si="1"/>
        <v>45383</v>
      </c>
      <c r="L11" s="19">
        <f t="shared" si="2"/>
        <v>45421</v>
      </c>
      <c r="M11" s="25"/>
      <c r="N11" s="19">
        <f t="shared" si="3"/>
        <v>45431</v>
      </c>
      <c r="O11" s="19">
        <f t="shared" si="4"/>
        <v>45432</v>
      </c>
      <c r="P11" s="19">
        <f t="shared" si="5"/>
        <v>45651</v>
      </c>
      <c r="Q11" s="19">
        <f t="shared" si="6"/>
        <v>45652</v>
      </c>
      <c r="R11" s="18">
        <f t="shared" si="7"/>
        <v>45292</v>
      </c>
      <c r="S11" s="30" t="s">
        <v>784</v>
      </c>
      <c r="U11" s="1" t="s">
        <v>799</v>
      </c>
      <c r="V11" s="1" t="s">
        <v>99</v>
      </c>
      <c r="Y11" s="1" t="s">
        <v>537</v>
      </c>
      <c r="AB11" s="1" t="s">
        <v>105</v>
      </c>
      <c r="AC11" s="1" t="s">
        <v>742</v>
      </c>
      <c r="AD11" t="s">
        <v>964</v>
      </c>
      <c r="AF11" s="33"/>
      <c r="AH11" s="33" t="s">
        <v>579</v>
      </c>
      <c r="AJ11" s="484"/>
      <c r="AK11" s="1" t="s">
        <v>788</v>
      </c>
      <c r="AL11" s="540" t="s">
        <v>113</v>
      </c>
      <c r="AM11" s="540" t="s">
        <v>129</v>
      </c>
      <c r="AN11" s="540" t="s">
        <v>113</v>
      </c>
      <c r="AO11" s="513" t="s">
        <v>135</v>
      </c>
      <c r="AP11" s="30" t="s">
        <v>113</v>
      </c>
      <c r="AQ11" s="33" t="s">
        <v>136</v>
      </c>
      <c r="AR11" s="30" t="s">
        <v>113</v>
      </c>
      <c r="AS11" s="33" t="s">
        <v>137</v>
      </c>
      <c r="AT11" s="1" t="s">
        <v>113</v>
      </c>
      <c r="AU11" s="33" t="s">
        <v>63</v>
      </c>
      <c r="AV11" s="1" t="s">
        <v>113</v>
      </c>
      <c r="AW11" s="1" t="s">
        <v>63</v>
      </c>
      <c r="AX11" s="30" t="s">
        <v>113</v>
      </c>
      <c r="AY11" s="33" t="s">
        <v>63</v>
      </c>
      <c r="AZ11" s="30" t="s">
        <v>113</v>
      </c>
      <c r="BA11" s="33" t="s">
        <v>63</v>
      </c>
      <c r="BB11" s="30" t="s">
        <v>113</v>
      </c>
      <c r="BC11" s="33" t="s">
        <v>63</v>
      </c>
      <c r="BD11" s="30" t="s">
        <v>113</v>
      </c>
      <c r="BE11" s="33" t="s">
        <v>63</v>
      </c>
      <c r="BF11" s="30" t="s">
        <v>113</v>
      </c>
      <c r="BG11" s="33" t="s">
        <v>63</v>
      </c>
      <c r="BL11" s="484" t="s">
        <v>1231</v>
      </c>
    </row>
    <row r="12" spans="1:140" ht="18" customHeight="1" thickBot="1">
      <c r="A12" s="28" t="s">
        <v>45</v>
      </c>
      <c r="B12" s="28" t="s">
        <v>45</v>
      </c>
      <c r="C12" s="39"/>
      <c r="D12" s="12" t="s">
        <v>79</v>
      </c>
      <c r="F12" s="11"/>
      <c r="G12" s="42" t="s">
        <v>873</v>
      </c>
      <c r="H12" s="514" t="s">
        <v>737</v>
      </c>
      <c r="I12" s="409">
        <v>2025</v>
      </c>
      <c r="J12" s="23">
        <f t="shared" si="0"/>
        <v>45767</v>
      </c>
      <c r="K12" s="19">
        <f t="shared" si="1"/>
        <v>45768</v>
      </c>
      <c r="L12" s="19">
        <f t="shared" si="2"/>
        <v>45806</v>
      </c>
      <c r="M12" s="25"/>
      <c r="N12" s="19">
        <f t="shared" si="3"/>
        <v>45816</v>
      </c>
      <c r="O12" s="19">
        <f t="shared" si="4"/>
        <v>45817</v>
      </c>
      <c r="P12" s="19">
        <f t="shared" si="5"/>
        <v>46016</v>
      </c>
      <c r="Q12" s="19">
        <f t="shared" si="6"/>
        <v>46017</v>
      </c>
      <c r="R12" s="18">
        <f t="shared" si="7"/>
        <v>45658</v>
      </c>
      <c r="S12" s="30" t="s">
        <v>113</v>
      </c>
      <c r="V12" s="1" t="s">
        <v>101</v>
      </c>
      <c r="Y12" s="1" t="s">
        <v>538</v>
      </c>
      <c r="Z12" s="573" t="s">
        <v>1173</v>
      </c>
      <c r="AB12" s="1" t="s">
        <v>106</v>
      </c>
      <c r="AD12" t="s">
        <v>965</v>
      </c>
      <c r="AE12" s="398" t="s">
        <v>851</v>
      </c>
      <c r="AF12" s="165" t="s">
        <v>801</v>
      </c>
      <c r="AH12" s="33" t="s">
        <v>580</v>
      </c>
      <c r="AJ12" s="484"/>
      <c r="AK12" s="1" t="s">
        <v>281</v>
      </c>
      <c r="AL12" s="540" t="s">
        <v>533</v>
      </c>
      <c r="AM12" s="540" t="s">
        <v>129</v>
      </c>
      <c r="AN12" s="540" t="s">
        <v>533</v>
      </c>
      <c r="AO12" s="513" t="s">
        <v>135</v>
      </c>
      <c r="AP12" s="30" t="s">
        <v>533</v>
      </c>
      <c r="AQ12" s="33" t="s">
        <v>136</v>
      </c>
      <c r="AR12" s="30" t="s">
        <v>533</v>
      </c>
      <c r="AS12" s="33" t="s">
        <v>137</v>
      </c>
      <c r="AT12" s="1" t="s">
        <v>533</v>
      </c>
      <c r="AU12" s="33" t="s">
        <v>63</v>
      </c>
      <c r="AV12" s="1" t="s">
        <v>533</v>
      </c>
      <c r="AW12" s="1" t="s">
        <v>63</v>
      </c>
      <c r="AX12" s="30" t="s">
        <v>533</v>
      </c>
      <c r="AY12" s="33" t="s">
        <v>63</v>
      </c>
      <c r="AZ12" s="30" t="s">
        <v>533</v>
      </c>
      <c r="BA12" s="33" t="s">
        <v>63</v>
      </c>
      <c r="BB12" s="30" t="s">
        <v>533</v>
      </c>
      <c r="BC12" s="33" t="s">
        <v>63</v>
      </c>
      <c r="BD12" s="30" t="s">
        <v>533</v>
      </c>
      <c r="BE12" s="33" t="s">
        <v>63</v>
      </c>
      <c r="BF12" s="30" t="s">
        <v>533</v>
      </c>
      <c r="BG12" s="33" t="s">
        <v>63</v>
      </c>
      <c r="BL12" s="1" t="s">
        <v>1232</v>
      </c>
    </row>
    <row r="13" spans="1:140" ht="18" customHeight="1" thickBot="1">
      <c r="A13" s="28" t="s">
        <v>61</v>
      </c>
      <c r="B13" s="28" t="s">
        <v>51</v>
      </c>
      <c r="C13" s="39"/>
      <c r="D13" s="12" t="s">
        <v>80</v>
      </c>
      <c r="F13" s="11"/>
      <c r="G13" s="13" t="s">
        <v>156</v>
      </c>
      <c r="H13" s="12" t="s">
        <v>738</v>
      </c>
      <c r="I13" s="409">
        <v>2026</v>
      </c>
      <c r="J13" s="23">
        <f t="shared" si="0"/>
        <v>46117</v>
      </c>
      <c r="K13" s="19">
        <f t="shared" si="1"/>
        <v>46118</v>
      </c>
      <c r="L13" s="19">
        <f t="shared" si="2"/>
        <v>46156</v>
      </c>
      <c r="M13" s="19">
        <v>46139</v>
      </c>
      <c r="N13" s="19">
        <f t="shared" si="3"/>
        <v>46166</v>
      </c>
      <c r="O13" s="19">
        <f t="shared" si="4"/>
        <v>46167</v>
      </c>
      <c r="P13" s="19">
        <f t="shared" si="5"/>
        <v>46381</v>
      </c>
      <c r="Q13" s="19">
        <f t="shared" si="6"/>
        <v>46382</v>
      </c>
      <c r="R13" s="18">
        <f t="shared" si="7"/>
        <v>46023</v>
      </c>
      <c r="S13" s="30" t="s">
        <v>533</v>
      </c>
      <c r="U13" s="48" t="s">
        <v>801</v>
      </c>
      <c r="V13" s="1" t="s">
        <v>100</v>
      </c>
      <c r="Y13" s="1" t="s">
        <v>539</v>
      </c>
      <c r="Z13" t="s">
        <v>1174</v>
      </c>
      <c r="AB13" s="1" t="s">
        <v>110</v>
      </c>
      <c r="AD13" t="s">
        <v>966</v>
      </c>
      <c r="AE13" s="1" t="s">
        <v>849</v>
      </c>
      <c r="AF13" s="33" t="s">
        <v>104</v>
      </c>
      <c r="AG13" s="165" t="s">
        <v>438</v>
      </c>
      <c r="AH13" s="33" t="s">
        <v>581</v>
      </c>
      <c r="AJ13" s="484"/>
      <c r="AK13" s="1" t="s">
        <v>540</v>
      </c>
      <c r="AL13" s="1" t="s">
        <v>1184</v>
      </c>
      <c r="AM13" s="540" t="s">
        <v>129</v>
      </c>
      <c r="AN13" s="1" t="s">
        <v>1184</v>
      </c>
      <c r="AO13" s="513" t="s">
        <v>135</v>
      </c>
      <c r="AP13" s="1" t="s">
        <v>1184</v>
      </c>
      <c r="AQ13" s="33" t="s">
        <v>136</v>
      </c>
      <c r="AR13" s="1" t="s">
        <v>1184</v>
      </c>
      <c r="AS13" s="33" t="s">
        <v>137</v>
      </c>
      <c r="AT13" s="1" t="s">
        <v>1184</v>
      </c>
      <c r="AU13" s="33" t="s">
        <v>63</v>
      </c>
      <c r="AV13" s="1" t="s">
        <v>1184</v>
      </c>
      <c r="AW13" s="1" t="s">
        <v>63</v>
      </c>
      <c r="AX13" s="1" t="s">
        <v>1184</v>
      </c>
      <c r="AY13" s="33" t="s">
        <v>63</v>
      </c>
      <c r="AZ13" s="1" t="s">
        <v>1184</v>
      </c>
      <c r="BA13" s="33" t="s">
        <v>63</v>
      </c>
      <c r="BB13" s="1" t="s">
        <v>1184</v>
      </c>
      <c r="BC13" s="33" t="s">
        <v>63</v>
      </c>
      <c r="BD13" s="1" t="s">
        <v>1184</v>
      </c>
      <c r="BE13" s="33" t="s">
        <v>63</v>
      </c>
      <c r="BF13" s="1" t="s">
        <v>1184</v>
      </c>
      <c r="BG13" s="33" t="s">
        <v>63</v>
      </c>
      <c r="BL13" s="484" t="s">
        <v>458</v>
      </c>
    </row>
    <row r="14" spans="1:140" ht="18" customHeight="1" thickBot="1">
      <c r="A14" s="28" t="s">
        <v>46</v>
      </c>
      <c r="B14" s="28" t="s">
        <v>49</v>
      </c>
      <c r="C14" s="43"/>
      <c r="D14" s="44" t="s">
        <v>85</v>
      </c>
      <c r="E14" s="10"/>
      <c r="F14" s="11"/>
      <c r="G14" s="103" t="s">
        <v>952</v>
      </c>
      <c r="H14" s="512" t="s">
        <v>736</v>
      </c>
      <c r="I14" s="409">
        <v>2027</v>
      </c>
      <c r="J14" s="23">
        <f t="shared" si="0"/>
        <v>46474</v>
      </c>
      <c r="K14" s="19">
        <f t="shared" si="1"/>
        <v>46475</v>
      </c>
      <c r="L14" s="19">
        <f t="shared" si="2"/>
        <v>46513</v>
      </c>
      <c r="M14" s="19">
        <v>46504</v>
      </c>
      <c r="N14" s="19">
        <f t="shared" si="3"/>
        <v>46523</v>
      </c>
      <c r="O14" s="19">
        <f t="shared" si="4"/>
        <v>46524</v>
      </c>
      <c r="P14" s="19">
        <f t="shared" si="5"/>
        <v>46746</v>
      </c>
      <c r="Q14" s="19">
        <f t="shared" si="6"/>
        <v>46747</v>
      </c>
      <c r="R14" s="18">
        <f t="shared" si="7"/>
        <v>46388</v>
      </c>
      <c r="S14" s="1" t="s">
        <v>1184</v>
      </c>
      <c r="U14" s="1" t="s">
        <v>802</v>
      </c>
      <c r="V14" s="1" t="s">
        <v>102</v>
      </c>
      <c r="AC14" s="575" t="s">
        <v>1184</v>
      </c>
      <c r="AD14" t="s">
        <v>967</v>
      </c>
      <c r="AE14" s="1" t="s">
        <v>850</v>
      </c>
      <c r="AF14" s="33" t="s">
        <v>105</v>
      </c>
      <c r="AG14" s="1" t="s">
        <v>436</v>
      </c>
      <c r="AH14" s="33" t="s">
        <v>582</v>
      </c>
      <c r="AI14" s="398" t="s">
        <v>1080</v>
      </c>
      <c r="AJ14" s="398" t="s">
        <v>897</v>
      </c>
      <c r="AK14" s="1" t="s">
        <v>1229</v>
      </c>
      <c r="AL14" s="540" t="s">
        <v>90</v>
      </c>
      <c r="AM14" s="540" t="s">
        <v>129</v>
      </c>
      <c r="AN14" s="540" t="s">
        <v>90</v>
      </c>
      <c r="AO14" s="513" t="s">
        <v>135</v>
      </c>
      <c r="AP14" s="30" t="s">
        <v>90</v>
      </c>
      <c r="AQ14" s="33" t="s">
        <v>136</v>
      </c>
      <c r="AR14" s="30" t="s">
        <v>90</v>
      </c>
      <c r="AS14" s="33" t="s">
        <v>137</v>
      </c>
      <c r="AT14" s="1" t="s">
        <v>90</v>
      </c>
      <c r="AU14" s="33" t="s">
        <v>63</v>
      </c>
      <c r="AV14" s="1" t="s">
        <v>90</v>
      </c>
      <c r="AW14" s="1" t="s">
        <v>63</v>
      </c>
      <c r="AX14" s="30" t="s">
        <v>90</v>
      </c>
      <c r="AY14" s="33" t="s">
        <v>63</v>
      </c>
      <c r="AZ14" s="30" t="s">
        <v>90</v>
      </c>
      <c r="BA14" s="33" t="s">
        <v>63</v>
      </c>
      <c r="BB14" s="30" t="s">
        <v>90</v>
      </c>
      <c r="BC14" s="33" t="s">
        <v>63</v>
      </c>
      <c r="BD14" s="30" t="s">
        <v>90</v>
      </c>
      <c r="BE14" s="33" t="s">
        <v>63</v>
      </c>
      <c r="BF14" s="30" t="s">
        <v>90</v>
      </c>
      <c r="BG14" s="33" t="s">
        <v>63</v>
      </c>
      <c r="BL14" s="484" t="s">
        <v>457</v>
      </c>
    </row>
    <row r="15" spans="1:140" ht="18" customHeight="1">
      <c r="A15" s="28" t="s">
        <v>64</v>
      </c>
      <c r="B15" s="28" t="s">
        <v>48</v>
      </c>
      <c r="C15" s="12"/>
      <c r="D15" s="12"/>
      <c r="E15" s="10"/>
      <c r="F15" s="11"/>
      <c r="I15" s="409">
        <v>2028</v>
      </c>
      <c r="J15" s="23">
        <f t="shared" si="0"/>
        <v>46859</v>
      </c>
      <c r="K15" s="19">
        <f t="shared" si="1"/>
        <v>46860</v>
      </c>
      <c r="L15" s="19">
        <f t="shared" si="2"/>
        <v>46898</v>
      </c>
      <c r="M15" s="19">
        <v>46870</v>
      </c>
      <c r="N15" s="19">
        <f t="shared" si="3"/>
        <v>46908</v>
      </c>
      <c r="O15" s="19">
        <f t="shared" si="4"/>
        <v>46909</v>
      </c>
      <c r="P15" s="19">
        <f t="shared" si="5"/>
        <v>47112</v>
      </c>
      <c r="Q15" s="19">
        <f t="shared" si="6"/>
        <v>47113</v>
      </c>
      <c r="R15" s="18">
        <f t="shared" si="7"/>
        <v>46753</v>
      </c>
      <c r="S15" s="30" t="s">
        <v>90</v>
      </c>
      <c r="U15" s="1" t="s">
        <v>803</v>
      </c>
      <c r="V15" s="1" t="s">
        <v>465</v>
      </c>
      <c r="Z15" s="574" t="s">
        <v>1175</v>
      </c>
      <c r="AB15" s="1" t="s">
        <v>413</v>
      </c>
      <c r="AC15" s="46" t="s">
        <v>1250</v>
      </c>
      <c r="AD15" s="1" t="s">
        <v>961</v>
      </c>
      <c r="AF15" s="33" t="s">
        <v>106</v>
      </c>
      <c r="AG15" s="1" t="s">
        <v>437</v>
      </c>
      <c r="AI15" s="484" t="s">
        <v>1082</v>
      </c>
      <c r="AJ15" s="484" t="s">
        <v>898</v>
      </c>
      <c r="AK15" s="1" t="s">
        <v>289</v>
      </c>
      <c r="AL15" s="1" t="s">
        <v>1173</v>
      </c>
      <c r="AM15" s="540" t="s">
        <v>129</v>
      </c>
      <c r="AN15" s="1" t="s">
        <v>1173</v>
      </c>
      <c r="AO15" s="513" t="s">
        <v>135</v>
      </c>
      <c r="AP15" s="1" t="s">
        <v>1173</v>
      </c>
      <c r="AQ15" s="33" t="s">
        <v>136</v>
      </c>
      <c r="AR15" s="1" t="s">
        <v>1173</v>
      </c>
      <c r="AS15" s="33" t="s">
        <v>137</v>
      </c>
      <c r="AT15" s="1" t="s">
        <v>1173</v>
      </c>
      <c r="AU15" s="33" t="s">
        <v>63</v>
      </c>
      <c r="AV15" s="1" t="s">
        <v>1173</v>
      </c>
      <c r="AW15" s="1" t="s">
        <v>63</v>
      </c>
      <c r="AX15" s="1" t="s">
        <v>1173</v>
      </c>
      <c r="AY15" s="33" t="s">
        <v>63</v>
      </c>
      <c r="AZ15" s="1" t="s">
        <v>1173</v>
      </c>
      <c r="BA15" s="33" t="s">
        <v>63</v>
      </c>
      <c r="BB15" s="1" t="s">
        <v>1173</v>
      </c>
      <c r="BC15" s="33" t="s">
        <v>63</v>
      </c>
      <c r="BD15" s="1" t="s">
        <v>1173</v>
      </c>
      <c r="BE15" s="33" t="s">
        <v>63</v>
      </c>
      <c r="BF15" s="1" t="s">
        <v>1173</v>
      </c>
      <c r="BG15" s="33" t="s">
        <v>63</v>
      </c>
      <c r="BL15" s="484" t="s">
        <v>845</v>
      </c>
    </row>
    <row r="16" spans="1:140" ht="18" customHeight="1" thickBot="1">
      <c r="A16" s="29"/>
      <c r="B16" s="29"/>
      <c r="C16" s="12"/>
      <c r="D16" s="12"/>
      <c r="E16" s="10"/>
      <c r="F16" s="11"/>
      <c r="I16" s="409">
        <v>2029</v>
      </c>
      <c r="J16" s="23">
        <f t="shared" si="0"/>
        <v>47209</v>
      </c>
      <c r="K16" s="19">
        <f t="shared" si="1"/>
        <v>47210</v>
      </c>
      <c r="L16" s="19">
        <f t="shared" si="2"/>
        <v>47248</v>
      </c>
      <c r="M16" s="19">
        <v>47235</v>
      </c>
      <c r="N16" s="19">
        <f t="shared" si="3"/>
        <v>47258</v>
      </c>
      <c r="O16" s="19">
        <f t="shared" si="4"/>
        <v>47259</v>
      </c>
      <c r="P16" s="19">
        <f t="shared" si="5"/>
        <v>47477</v>
      </c>
      <c r="Q16" s="19">
        <f t="shared" si="6"/>
        <v>47478</v>
      </c>
      <c r="R16" s="18">
        <f t="shared" si="7"/>
        <v>47119</v>
      </c>
      <c r="S16" s="1" t="s">
        <v>1173</v>
      </c>
      <c r="U16" s="1" t="s">
        <v>804</v>
      </c>
      <c r="V16" s="1" t="s">
        <v>466</v>
      </c>
      <c r="Z16" t="s">
        <v>1176</v>
      </c>
      <c r="AB16" s="1" t="s">
        <v>105</v>
      </c>
      <c r="AC16" s="1" t="s">
        <v>1185</v>
      </c>
      <c r="AD16" t="s">
        <v>967</v>
      </c>
      <c r="AE16" s="48" t="s">
        <v>108</v>
      </c>
      <c r="AF16" s="33"/>
      <c r="AH16" s="1" t="s">
        <v>548</v>
      </c>
      <c r="AI16" s="484" t="s">
        <v>1083</v>
      </c>
      <c r="AJ16" s="484"/>
      <c r="AK16" s="1" t="s">
        <v>1183</v>
      </c>
      <c r="AL16" s="540" t="s">
        <v>959</v>
      </c>
      <c r="AM16" s="540" t="s">
        <v>129</v>
      </c>
      <c r="AN16" s="540" t="s">
        <v>959</v>
      </c>
      <c r="AO16" s="513" t="s">
        <v>135</v>
      </c>
      <c r="AP16" s="30" t="s">
        <v>959</v>
      </c>
      <c r="AQ16" s="33" t="s">
        <v>136</v>
      </c>
      <c r="AR16" s="30" t="s">
        <v>959</v>
      </c>
      <c r="AS16" s="33" t="s">
        <v>137</v>
      </c>
      <c r="AT16" s="1" t="s">
        <v>959</v>
      </c>
      <c r="AU16" s="33" t="s">
        <v>63</v>
      </c>
      <c r="AV16" s="1" t="s">
        <v>959</v>
      </c>
      <c r="AW16" s="1" t="s">
        <v>63</v>
      </c>
      <c r="AX16" s="30" t="s">
        <v>959</v>
      </c>
      <c r="AY16" s="33" t="s">
        <v>63</v>
      </c>
      <c r="AZ16" s="30" t="s">
        <v>959</v>
      </c>
      <c r="BA16" s="33" t="s">
        <v>63</v>
      </c>
      <c r="BB16" s="30" t="s">
        <v>959</v>
      </c>
      <c r="BC16" s="33" t="s">
        <v>63</v>
      </c>
      <c r="BD16" s="30" t="s">
        <v>959</v>
      </c>
      <c r="BE16" s="33" t="s">
        <v>63</v>
      </c>
      <c r="BF16" s="30" t="s">
        <v>959</v>
      </c>
      <c r="BG16" s="33" t="s">
        <v>63</v>
      </c>
    </row>
    <row r="17" spans="1:63" ht="18" customHeight="1">
      <c r="C17" s="12"/>
      <c r="D17" s="12"/>
      <c r="E17" s="10"/>
      <c r="F17" s="11"/>
      <c r="I17" s="409">
        <v>2030</v>
      </c>
      <c r="J17" s="23">
        <f t="shared" si="0"/>
        <v>47594</v>
      </c>
      <c r="K17" s="19">
        <f t="shared" si="1"/>
        <v>47595</v>
      </c>
      <c r="L17" s="19">
        <f>J17+39</f>
        <v>47633</v>
      </c>
      <c r="M17" s="25"/>
      <c r="N17" s="19">
        <f>J17+49</f>
        <v>47643</v>
      </c>
      <c r="O17" s="19">
        <f>J17+50</f>
        <v>47644</v>
      </c>
      <c r="P17" s="19">
        <f>DATE(I17,12,25)</f>
        <v>47842</v>
      </c>
      <c r="Q17" s="19">
        <f>DATE(I17,12,26)</f>
        <v>47843</v>
      </c>
      <c r="R17" s="18">
        <f>DATE(I17,1,1)</f>
        <v>47484</v>
      </c>
      <c r="S17" s="30" t="s">
        <v>959</v>
      </c>
      <c r="U17" s="1" t="s">
        <v>805</v>
      </c>
      <c r="V17" s="1" t="s">
        <v>467</v>
      </c>
      <c r="Z17" t="s">
        <v>1177</v>
      </c>
      <c r="AB17" s="1" t="s">
        <v>106</v>
      </c>
      <c r="AC17" s="1" t="s">
        <v>1186</v>
      </c>
      <c r="AD17" t="s">
        <v>968</v>
      </c>
      <c r="AE17" s="1" t="s">
        <v>104</v>
      </c>
      <c r="AF17" s="33"/>
      <c r="AH17" s="33" t="s">
        <v>104</v>
      </c>
      <c r="AJ17" s="521" t="s">
        <v>108</v>
      </c>
      <c r="AK17" s="1" t="s">
        <v>294</v>
      </c>
      <c r="AL17" s="540" t="s">
        <v>483</v>
      </c>
      <c r="AM17" s="540" t="s">
        <v>129</v>
      </c>
      <c r="AN17" s="540" t="s">
        <v>483</v>
      </c>
      <c r="AO17" s="513" t="s">
        <v>135</v>
      </c>
      <c r="AP17" s="30" t="s">
        <v>483</v>
      </c>
      <c r="AQ17" s="33" t="s">
        <v>136</v>
      </c>
      <c r="AR17" s="30" t="s">
        <v>483</v>
      </c>
      <c r="AS17" s="33" t="s">
        <v>137</v>
      </c>
      <c r="AT17" s="1" t="s">
        <v>483</v>
      </c>
      <c r="AU17" s="33" t="s">
        <v>63</v>
      </c>
      <c r="AV17" s="1" t="s">
        <v>483</v>
      </c>
      <c r="AW17" s="1" t="s">
        <v>63</v>
      </c>
      <c r="AX17" s="30" t="s">
        <v>483</v>
      </c>
      <c r="AY17" s="33" t="s">
        <v>63</v>
      </c>
      <c r="AZ17" s="30" t="s">
        <v>483</v>
      </c>
      <c r="BA17" s="33" t="s">
        <v>63</v>
      </c>
      <c r="BB17" s="30" t="s">
        <v>483</v>
      </c>
      <c r="BC17" s="33" t="s">
        <v>63</v>
      </c>
      <c r="BD17" s="30" t="s">
        <v>483</v>
      </c>
      <c r="BE17" s="33" t="s">
        <v>63</v>
      </c>
      <c r="BF17" s="30" t="s">
        <v>483</v>
      </c>
      <c r="BG17" s="33" t="s">
        <v>63</v>
      </c>
    </row>
    <row r="18" spans="1:63" ht="18" customHeight="1">
      <c r="C18" s="12"/>
      <c r="D18" s="12"/>
      <c r="E18" s="9"/>
      <c r="F18" s="11"/>
      <c r="I18" s="409">
        <v>2031</v>
      </c>
      <c r="J18" s="23">
        <f t="shared" si="0"/>
        <v>47951</v>
      </c>
      <c r="K18" s="19">
        <f t="shared" si="1"/>
        <v>47952</v>
      </c>
      <c r="L18" s="19">
        <f t="shared" ref="L18:L22" si="8">J18+39</f>
        <v>47990</v>
      </c>
      <c r="M18" s="19">
        <v>11440</v>
      </c>
      <c r="N18" s="19">
        <f t="shared" ref="N18:N22" si="9">J18+49</f>
        <v>48000</v>
      </c>
      <c r="O18" s="19">
        <f t="shared" ref="O18:O22" si="10">J18+50</f>
        <v>48001</v>
      </c>
      <c r="P18" s="19">
        <f t="shared" ref="P18:P22" si="11">DATE(I18,12,25)</f>
        <v>48207</v>
      </c>
      <c r="Q18" s="19">
        <f t="shared" ref="Q18:Q22" si="12">DATE(I18,12,26)</f>
        <v>48208</v>
      </c>
      <c r="R18" s="18">
        <f t="shared" ref="R18:R22" si="13">DATE(I18,1,1)</f>
        <v>47849</v>
      </c>
      <c r="S18" s="30" t="s">
        <v>483</v>
      </c>
      <c r="V18" s="1" t="s">
        <v>468</v>
      </c>
      <c r="Z18" t="s">
        <v>1178</v>
      </c>
      <c r="AB18" s="1" t="s">
        <v>110</v>
      </c>
      <c r="AD18" t="s">
        <v>969</v>
      </c>
      <c r="AE18" s="1" t="s">
        <v>105</v>
      </c>
      <c r="AF18" s="33"/>
      <c r="AH18" s="33" t="s">
        <v>105</v>
      </c>
      <c r="AI18" s="165" t="s">
        <v>108</v>
      </c>
      <c r="AJ18" s="33" t="s">
        <v>105</v>
      </c>
      <c r="AK18" s="1" t="s">
        <v>852</v>
      </c>
      <c r="AL18" s="540" t="s">
        <v>851</v>
      </c>
      <c r="AM18" s="540" t="s">
        <v>129</v>
      </c>
      <c r="AN18" s="540" t="s">
        <v>851</v>
      </c>
      <c r="AO18" s="513" t="s">
        <v>135</v>
      </c>
      <c r="AP18" s="30" t="s">
        <v>851</v>
      </c>
      <c r="AQ18" s="33" t="s">
        <v>136</v>
      </c>
      <c r="AR18" s="30" t="s">
        <v>851</v>
      </c>
      <c r="AS18" s="33" t="s">
        <v>137</v>
      </c>
      <c r="AT18" s="1" t="s">
        <v>851</v>
      </c>
      <c r="AU18" s="33" t="s">
        <v>63</v>
      </c>
      <c r="AV18" s="1" t="s">
        <v>851</v>
      </c>
      <c r="AW18" s="1" t="s">
        <v>63</v>
      </c>
      <c r="AX18" s="30" t="s">
        <v>851</v>
      </c>
      <c r="AY18" s="33" t="s">
        <v>63</v>
      </c>
      <c r="AZ18" s="30" t="s">
        <v>851</v>
      </c>
      <c r="BA18" s="33" t="s">
        <v>63</v>
      </c>
      <c r="BB18" s="30" t="s">
        <v>851</v>
      </c>
      <c r="BC18" s="33" t="s">
        <v>63</v>
      </c>
      <c r="BD18" s="30" t="s">
        <v>851</v>
      </c>
      <c r="BE18" s="33" t="s">
        <v>63</v>
      </c>
      <c r="BF18" s="30" t="s">
        <v>851</v>
      </c>
      <c r="BG18" s="33" t="s">
        <v>63</v>
      </c>
    </row>
    <row r="19" spans="1:63" ht="18" customHeight="1">
      <c r="A19" s="12"/>
      <c r="B19" s="12"/>
      <c r="C19" s="12"/>
      <c r="D19" s="12"/>
      <c r="E19" s="10"/>
      <c r="F19" s="11"/>
      <c r="G19" s="42"/>
      <c r="I19" s="409">
        <v>2032</v>
      </c>
      <c r="J19" s="23">
        <f t="shared" si="0"/>
        <v>48301</v>
      </c>
      <c r="K19" s="19">
        <f t="shared" si="1"/>
        <v>48302</v>
      </c>
      <c r="L19" s="19">
        <f t="shared" si="8"/>
        <v>48340</v>
      </c>
      <c r="M19" s="19">
        <v>11806</v>
      </c>
      <c r="N19" s="19">
        <f t="shared" si="9"/>
        <v>48350</v>
      </c>
      <c r="O19" s="19">
        <f t="shared" si="10"/>
        <v>48351</v>
      </c>
      <c r="P19" s="19">
        <f t="shared" si="11"/>
        <v>48573</v>
      </c>
      <c r="Q19" s="19">
        <f t="shared" si="12"/>
        <v>48574</v>
      </c>
      <c r="R19" s="18">
        <f t="shared" si="13"/>
        <v>48214</v>
      </c>
      <c r="S19" s="1" t="s">
        <v>851</v>
      </c>
      <c r="V19" s="1" t="s">
        <v>469</v>
      </c>
      <c r="Z19" t="s">
        <v>1179</v>
      </c>
      <c r="AC19" s="574" t="s">
        <v>1175</v>
      </c>
      <c r="AD19" t="s">
        <v>970</v>
      </c>
      <c r="AE19" s="1" t="s">
        <v>106</v>
      </c>
      <c r="AF19" s="33"/>
      <c r="AH19" s="33" t="s">
        <v>106</v>
      </c>
      <c r="AI19" s="484" t="s">
        <v>1082</v>
      </c>
      <c r="AJ19" s="33" t="s">
        <v>106</v>
      </c>
      <c r="AK19" s="1" t="s">
        <v>853</v>
      </c>
      <c r="AL19" s="540" t="s">
        <v>765</v>
      </c>
      <c r="AM19" s="540" t="s">
        <v>129</v>
      </c>
      <c r="AN19" s="540" t="s">
        <v>765</v>
      </c>
      <c r="AO19" s="513" t="s">
        <v>135</v>
      </c>
      <c r="AP19" s="30" t="s">
        <v>765</v>
      </c>
      <c r="AQ19" s="33" t="s">
        <v>136</v>
      </c>
      <c r="AR19" s="30" t="s">
        <v>765</v>
      </c>
      <c r="AS19" s="33" t="s">
        <v>137</v>
      </c>
      <c r="AT19" s="1" t="s">
        <v>765</v>
      </c>
      <c r="AU19" s="33" t="s">
        <v>63</v>
      </c>
      <c r="AV19" s="1" t="s">
        <v>765</v>
      </c>
      <c r="AW19" s="1" t="s">
        <v>63</v>
      </c>
      <c r="AX19" s="30" t="s">
        <v>765</v>
      </c>
      <c r="AY19" s="33" t="s">
        <v>63</v>
      </c>
      <c r="AZ19" s="30" t="s">
        <v>765</v>
      </c>
      <c r="BA19" s="33" t="s">
        <v>63</v>
      </c>
      <c r="BB19" s="30" t="s">
        <v>765</v>
      </c>
      <c r="BC19" s="33" t="s">
        <v>63</v>
      </c>
      <c r="BD19" s="30" t="s">
        <v>765</v>
      </c>
      <c r="BE19" s="33" t="s">
        <v>63</v>
      </c>
      <c r="BF19" s="30" t="s">
        <v>765</v>
      </c>
      <c r="BG19" s="33" t="s">
        <v>63</v>
      </c>
    </row>
    <row r="20" spans="1:63" ht="18" customHeight="1">
      <c r="A20" s="12"/>
      <c r="B20" s="12"/>
      <c r="C20" s="12"/>
      <c r="D20" s="12"/>
      <c r="E20" s="10"/>
      <c r="F20" s="11"/>
      <c r="I20" s="409">
        <v>2033</v>
      </c>
      <c r="J20" s="23">
        <f t="shared" si="0"/>
        <v>48686</v>
      </c>
      <c r="K20" s="19">
        <f t="shared" si="1"/>
        <v>48687</v>
      </c>
      <c r="L20" s="19">
        <f t="shared" si="8"/>
        <v>48725</v>
      </c>
      <c r="M20" s="19">
        <v>12171</v>
      </c>
      <c r="N20" s="19">
        <f t="shared" si="9"/>
        <v>48735</v>
      </c>
      <c r="O20" s="19">
        <f t="shared" si="10"/>
        <v>48736</v>
      </c>
      <c r="P20" s="19">
        <f t="shared" si="11"/>
        <v>48938</v>
      </c>
      <c r="Q20" s="19">
        <f t="shared" si="12"/>
        <v>48939</v>
      </c>
      <c r="R20" s="18">
        <f t="shared" si="13"/>
        <v>48580</v>
      </c>
      <c r="S20" s="30" t="s">
        <v>768</v>
      </c>
      <c r="V20" s="1" t="s">
        <v>470</v>
      </c>
      <c r="Z20" t="s">
        <v>1180</v>
      </c>
      <c r="AC20" s="1" t="s">
        <v>1187</v>
      </c>
      <c r="AE20" s="1" t="s">
        <v>110</v>
      </c>
      <c r="AF20" s="33"/>
      <c r="AI20" s="484" t="s">
        <v>1170</v>
      </c>
      <c r="AJ20" s="484" t="s">
        <v>522</v>
      </c>
      <c r="AK20" s="1" t="s">
        <v>769</v>
      </c>
      <c r="AL20" s="540" t="s">
        <v>554</v>
      </c>
      <c r="AM20" s="540" t="s">
        <v>129</v>
      </c>
      <c r="AN20" s="540" t="s">
        <v>554</v>
      </c>
      <c r="AO20" s="513" t="s">
        <v>135</v>
      </c>
      <c r="AP20" s="30" t="s">
        <v>554</v>
      </c>
      <c r="AQ20" s="33" t="s">
        <v>136</v>
      </c>
      <c r="AR20" s="30" t="s">
        <v>554</v>
      </c>
      <c r="AS20" s="33" t="s">
        <v>137</v>
      </c>
      <c r="AT20" s="1" t="s">
        <v>554</v>
      </c>
      <c r="AU20" s="33" t="s">
        <v>63</v>
      </c>
      <c r="AV20" s="30" t="s">
        <v>554</v>
      </c>
      <c r="AW20" s="1" t="s">
        <v>63</v>
      </c>
      <c r="AX20" s="30" t="s">
        <v>554</v>
      </c>
      <c r="AY20" s="33" t="s">
        <v>63</v>
      </c>
      <c r="AZ20" s="30" t="s">
        <v>554</v>
      </c>
      <c r="BA20" s="33" t="s">
        <v>63</v>
      </c>
      <c r="BB20" s="30" t="s">
        <v>554</v>
      </c>
      <c r="BC20" s="33" t="s">
        <v>63</v>
      </c>
      <c r="BD20" s="30" t="s">
        <v>554</v>
      </c>
      <c r="BE20" s="33" t="s">
        <v>63</v>
      </c>
      <c r="BF20" s="30" t="s">
        <v>554</v>
      </c>
      <c r="BG20" s="33" t="s">
        <v>63</v>
      </c>
      <c r="BK20" s="484"/>
    </row>
    <row r="21" spans="1:63" ht="18" customHeight="1" thickBot="1">
      <c r="A21" s="12"/>
      <c r="B21" s="12"/>
      <c r="C21" s="12"/>
      <c r="D21" s="12"/>
      <c r="E21" s="10"/>
      <c r="F21" s="11"/>
      <c r="I21" s="409">
        <v>2034</v>
      </c>
      <c r="J21" s="23">
        <f t="shared" si="0"/>
        <v>49043</v>
      </c>
      <c r="K21" s="19">
        <f t="shared" si="1"/>
        <v>49044</v>
      </c>
      <c r="L21" s="19">
        <f t="shared" si="8"/>
        <v>49082</v>
      </c>
      <c r="M21" s="19">
        <v>12536</v>
      </c>
      <c r="N21" s="19">
        <f t="shared" si="9"/>
        <v>49092</v>
      </c>
      <c r="O21" s="19">
        <f t="shared" si="10"/>
        <v>49093</v>
      </c>
      <c r="P21" s="19">
        <f t="shared" si="11"/>
        <v>49303</v>
      </c>
      <c r="Q21" s="19">
        <f t="shared" si="12"/>
        <v>49304</v>
      </c>
      <c r="R21" s="18">
        <f t="shared" si="13"/>
        <v>48945</v>
      </c>
      <c r="S21" s="30" t="s">
        <v>554</v>
      </c>
      <c r="V21" s="35"/>
      <c r="W21" s="35"/>
      <c r="X21" s="35"/>
      <c r="Y21" s="35"/>
      <c r="Z21" t="s">
        <v>1181</v>
      </c>
      <c r="AA21" s="35"/>
      <c r="AB21" s="35"/>
      <c r="AC21" s="1" t="s">
        <v>1249</v>
      </c>
      <c r="AD21" s="35"/>
      <c r="AE21" s="35"/>
      <c r="AF21" s="36"/>
      <c r="AH21" s="1" t="s">
        <v>589</v>
      </c>
      <c r="AJ21" s="484"/>
      <c r="AK21" s="1" t="s">
        <v>549</v>
      </c>
      <c r="AL21" s="540" t="s">
        <v>897</v>
      </c>
      <c r="AM21" s="540" t="s">
        <v>129</v>
      </c>
      <c r="AN21" s="540" t="s">
        <v>897</v>
      </c>
      <c r="AO21" s="513" t="s">
        <v>135</v>
      </c>
      <c r="AP21" s="30" t="s">
        <v>897</v>
      </c>
      <c r="AQ21" s="33" t="s">
        <v>136</v>
      </c>
      <c r="AR21" s="30" t="s">
        <v>897</v>
      </c>
      <c r="AS21" s="33" t="s">
        <v>137</v>
      </c>
      <c r="AT21" s="1" t="s">
        <v>897</v>
      </c>
      <c r="AU21" s="33" t="s">
        <v>63</v>
      </c>
      <c r="AV21" s="1" t="s">
        <v>897</v>
      </c>
      <c r="AW21" s="1" t="s">
        <v>63</v>
      </c>
      <c r="AX21" s="30" t="s">
        <v>897</v>
      </c>
      <c r="AY21" s="33" t="s">
        <v>63</v>
      </c>
      <c r="AZ21" s="30" t="s">
        <v>897</v>
      </c>
      <c r="BA21" s="33" t="s">
        <v>63</v>
      </c>
      <c r="BB21" s="30" t="s">
        <v>897</v>
      </c>
      <c r="BC21" s="33" t="s">
        <v>63</v>
      </c>
      <c r="BD21" s="30" t="s">
        <v>897</v>
      </c>
      <c r="BE21" s="33" t="s">
        <v>63</v>
      </c>
      <c r="BF21" s="30" t="s">
        <v>897</v>
      </c>
      <c r="BG21" s="33" t="s">
        <v>63</v>
      </c>
    </row>
    <row r="22" spans="1:63" ht="18" customHeight="1" thickBot="1">
      <c r="A22" s="12"/>
      <c r="B22" s="12"/>
      <c r="C22" s="12"/>
      <c r="D22" s="12"/>
      <c r="E22" s="10"/>
      <c r="F22" s="11"/>
      <c r="I22" s="410">
        <v>2035</v>
      </c>
      <c r="J22" s="24">
        <f t="shared" si="0"/>
        <v>49393</v>
      </c>
      <c r="K22" s="20">
        <f t="shared" si="1"/>
        <v>49394</v>
      </c>
      <c r="L22" s="20">
        <f t="shared" si="8"/>
        <v>49432</v>
      </c>
      <c r="M22" s="20">
        <v>14362</v>
      </c>
      <c r="N22" s="20">
        <f t="shared" si="9"/>
        <v>49442</v>
      </c>
      <c r="O22" s="20">
        <f t="shared" si="10"/>
        <v>49443</v>
      </c>
      <c r="P22" s="20">
        <f t="shared" si="11"/>
        <v>49668</v>
      </c>
      <c r="Q22" s="20">
        <f t="shared" si="12"/>
        <v>49669</v>
      </c>
      <c r="R22" s="26">
        <f t="shared" si="13"/>
        <v>49310</v>
      </c>
      <c r="S22" t="s">
        <v>1061</v>
      </c>
      <c r="T22" s="35"/>
      <c r="Z22" t="s">
        <v>1182</v>
      </c>
      <c r="AC22" s="1" t="s">
        <v>1188</v>
      </c>
      <c r="AH22" s="33" t="s">
        <v>583</v>
      </c>
      <c r="AI22" s="484" t="s">
        <v>1083</v>
      </c>
      <c r="AJ22" s="484"/>
      <c r="AK22" s="487" t="s">
        <v>1073</v>
      </c>
      <c r="AL22" s="540" t="s">
        <v>895</v>
      </c>
      <c r="AM22" s="540" t="s">
        <v>129</v>
      </c>
      <c r="AN22" s="540" t="s">
        <v>895</v>
      </c>
      <c r="AO22" s="513" t="s">
        <v>135</v>
      </c>
      <c r="AP22" s="30" t="s">
        <v>895</v>
      </c>
      <c r="AQ22" s="33" t="s">
        <v>136</v>
      </c>
      <c r="AR22" s="30" t="s">
        <v>895</v>
      </c>
      <c r="AS22" s="33" t="s">
        <v>137</v>
      </c>
      <c r="AT22" s="1" t="s">
        <v>895</v>
      </c>
      <c r="AU22" s="33" t="s">
        <v>63</v>
      </c>
      <c r="AV22" s="1" t="s">
        <v>895</v>
      </c>
      <c r="AW22" s="1" t="s">
        <v>63</v>
      </c>
      <c r="AX22" s="30" t="s">
        <v>895</v>
      </c>
      <c r="AY22" s="33" t="s">
        <v>63</v>
      </c>
      <c r="AZ22" s="30" t="s">
        <v>895</v>
      </c>
      <c r="BA22" s="33" t="s">
        <v>63</v>
      </c>
      <c r="BB22" s="30" t="s">
        <v>895</v>
      </c>
      <c r="BC22" s="33" t="s">
        <v>63</v>
      </c>
      <c r="BD22" s="30" t="s">
        <v>895</v>
      </c>
      <c r="BE22" s="33" t="s">
        <v>63</v>
      </c>
      <c r="BF22" s="30" t="s">
        <v>895</v>
      </c>
      <c r="BG22" s="33" t="s">
        <v>63</v>
      </c>
    </row>
    <row r="23" spans="1:63" ht="18" customHeight="1" thickBot="1">
      <c r="A23" s="14"/>
      <c r="B23" s="14"/>
      <c r="C23" s="12"/>
      <c r="D23" s="12"/>
      <c r="E23" s="10"/>
      <c r="F23" s="11"/>
      <c r="G23" s="12"/>
      <c r="S23" s="30" t="s">
        <v>433</v>
      </c>
      <c r="AC23" s="35"/>
      <c r="AD23" s="537" t="s">
        <v>1061</v>
      </c>
      <c r="AH23" s="33" t="s">
        <v>584</v>
      </c>
      <c r="AI23" s="484" t="s">
        <v>1167</v>
      </c>
      <c r="AJ23" s="484"/>
      <c r="AK23" s="1" t="s">
        <v>442</v>
      </c>
      <c r="AL23" s="540" t="s">
        <v>433</v>
      </c>
      <c r="AM23" s="540" t="s">
        <v>129</v>
      </c>
      <c r="AN23" s="540" t="s">
        <v>433</v>
      </c>
      <c r="AO23" s="513" t="s">
        <v>135</v>
      </c>
      <c r="AP23" s="30" t="s">
        <v>433</v>
      </c>
      <c r="AQ23" s="33" t="s">
        <v>136</v>
      </c>
      <c r="AR23" s="30" t="s">
        <v>433</v>
      </c>
      <c r="AS23" s="33" t="s">
        <v>137</v>
      </c>
      <c r="AT23" s="1" t="s">
        <v>433</v>
      </c>
      <c r="AU23" s="33" t="s">
        <v>63</v>
      </c>
      <c r="AV23" s="1" t="s">
        <v>433</v>
      </c>
      <c r="AW23" s="1" t="s">
        <v>63</v>
      </c>
      <c r="AX23" s="30" t="s">
        <v>433</v>
      </c>
      <c r="AY23" s="33" t="s">
        <v>63</v>
      </c>
      <c r="AZ23" s="30" t="s">
        <v>433</v>
      </c>
      <c r="BA23" s="33" t="s">
        <v>63</v>
      </c>
      <c r="BB23" s="30" t="s">
        <v>433</v>
      </c>
      <c r="BC23" s="33" t="s">
        <v>63</v>
      </c>
      <c r="BD23" s="30" t="s">
        <v>433</v>
      </c>
      <c r="BE23" s="33" t="s">
        <v>63</v>
      </c>
      <c r="BF23" s="30" t="s">
        <v>433</v>
      </c>
      <c r="BG23" s="33" t="s">
        <v>63</v>
      </c>
    </row>
    <row r="24" spans="1:63" ht="18" customHeight="1" thickBot="1">
      <c r="A24" s="14"/>
      <c r="B24" s="14"/>
      <c r="C24" s="12"/>
      <c r="E24" s="31"/>
      <c r="F24" s="32"/>
      <c r="H24" s="12"/>
      <c r="J24" s="2"/>
      <c r="K24" s="2"/>
      <c r="L24" s="2"/>
      <c r="S24" s="45" t="s">
        <v>897</v>
      </c>
      <c r="AD24" t="s">
        <v>1072</v>
      </c>
      <c r="AH24" s="33" t="s">
        <v>585</v>
      </c>
      <c r="AI24" s="484" t="s">
        <v>1171</v>
      </c>
      <c r="AJ24" s="484"/>
      <c r="AK24" s="1" t="s">
        <v>900</v>
      </c>
      <c r="AL24" s="541" t="s">
        <v>1061</v>
      </c>
      <c r="AM24" s="541" t="s">
        <v>129</v>
      </c>
      <c r="AN24" s="541" t="s">
        <v>1061</v>
      </c>
      <c r="AO24" s="544" t="s">
        <v>135</v>
      </c>
      <c r="AP24" s="34" t="s">
        <v>1061</v>
      </c>
      <c r="AQ24" s="36" t="s">
        <v>136</v>
      </c>
      <c r="AR24" s="34" t="s">
        <v>1061</v>
      </c>
      <c r="AS24" s="36" t="s">
        <v>137</v>
      </c>
      <c r="AT24" s="35" t="s">
        <v>1061</v>
      </c>
      <c r="AU24" s="36" t="s">
        <v>63</v>
      </c>
      <c r="AV24" s="35" t="s">
        <v>1061</v>
      </c>
      <c r="AW24" s="35" t="s">
        <v>63</v>
      </c>
      <c r="AX24" s="34" t="s">
        <v>1061</v>
      </c>
      <c r="AY24" s="36" t="s">
        <v>63</v>
      </c>
      <c r="AZ24" s="34" t="s">
        <v>1061</v>
      </c>
      <c r="BA24" s="36" t="s">
        <v>63</v>
      </c>
      <c r="BB24" s="34" t="s">
        <v>1061</v>
      </c>
      <c r="BC24" s="36" t="s">
        <v>63</v>
      </c>
      <c r="BD24" s="34" t="s">
        <v>1061</v>
      </c>
      <c r="BE24" s="36" t="s">
        <v>63</v>
      </c>
      <c r="BF24" s="34" t="s">
        <v>897</v>
      </c>
      <c r="BG24" s="36" t="s">
        <v>63</v>
      </c>
    </row>
    <row r="25" spans="1:63" ht="18" customHeight="1" thickBot="1">
      <c r="E25" s="31"/>
      <c r="F25" s="32"/>
      <c r="J25" s="2"/>
      <c r="S25" s="34" t="s">
        <v>1101</v>
      </c>
      <c r="AH25" s="33" t="s">
        <v>586</v>
      </c>
      <c r="AI25" s="484" t="s">
        <v>1172</v>
      </c>
      <c r="AJ25" s="484"/>
      <c r="AK25" s="1" t="s">
        <v>1102</v>
      </c>
      <c r="AL25" s="30" t="s">
        <v>1101</v>
      </c>
      <c r="AM25" s="541" t="s">
        <v>129</v>
      </c>
      <c r="AN25" s="30" t="s">
        <v>1101</v>
      </c>
      <c r="AO25" s="544" t="s">
        <v>135</v>
      </c>
      <c r="AP25" s="30" t="s">
        <v>1101</v>
      </c>
      <c r="AQ25" s="36" t="s">
        <v>136</v>
      </c>
      <c r="AR25" s="30" t="s">
        <v>1101</v>
      </c>
      <c r="AS25" s="36" t="s">
        <v>137</v>
      </c>
      <c r="AT25" s="30" t="s">
        <v>1101</v>
      </c>
      <c r="AU25" s="36" t="s">
        <v>63</v>
      </c>
      <c r="AV25" s="30" t="s">
        <v>1101</v>
      </c>
      <c r="AW25" s="35" t="s">
        <v>63</v>
      </c>
      <c r="AX25" s="30" t="s">
        <v>1101</v>
      </c>
      <c r="AY25" s="36" t="s">
        <v>63</v>
      </c>
      <c r="AZ25" s="30" t="s">
        <v>1101</v>
      </c>
      <c r="BA25" s="36" t="s">
        <v>63</v>
      </c>
      <c r="BB25" s="30" t="s">
        <v>1101</v>
      </c>
      <c r="BC25" s="36" t="s">
        <v>63</v>
      </c>
      <c r="BD25" s="30" t="s">
        <v>1101</v>
      </c>
      <c r="BE25" s="36" t="s">
        <v>63</v>
      </c>
      <c r="BF25" s="30" t="s">
        <v>1101</v>
      </c>
      <c r="BG25" s="36" t="s">
        <v>63</v>
      </c>
    </row>
    <row r="26" spans="1:63" ht="18" customHeight="1" thickBot="1">
      <c r="E26" s="31"/>
      <c r="F26" s="32"/>
      <c r="S26" s="362"/>
      <c r="AD26" s="48" t="s">
        <v>108</v>
      </c>
      <c r="AJ26" s="484"/>
      <c r="AK26" s="30"/>
      <c r="AL26" s="30"/>
    </row>
    <row r="27" spans="1:63" ht="18" customHeight="1" thickBot="1">
      <c r="E27" s="31"/>
      <c r="F27" s="32"/>
      <c r="S27" s="362"/>
      <c r="AD27" t="s">
        <v>1062</v>
      </c>
      <c r="AI27" s="398" t="s">
        <v>1101</v>
      </c>
      <c r="AJ27" s="484"/>
      <c r="AK27" s="30"/>
      <c r="AL27" s="30"/>
    </row>
    <row r="28" spans="1:63" ht="18" customHeight="1">
      <c r="E28" s="31"/>
      <c r="F28" s="32"/>
      <c r="S28" s="362"/>
      <c r="AD28" t="s">
        <v>1063</v>
      </c>
      <c r="AI28" s="569" t="s">
        <v>1162</v>
      </c>
      <c r="AJ28" s="484"/>
      <c r="AK28" s="30"/>
      <c r="AL28" s="30"/>
    </row>
    <row r="29" spans="1:63" ht="18" customHeight="1">
      <c r="E29" s="31"/>
      <c r="F29" s="32"/>
      <c r="S29" s="362"/>
      <c r="AD29" t="s">
        <v>1064</v>
      </c>
      <c r="AI29" s="569" t="s">
        <v>1163</v>
      </c>
      <c r="AJ29" s="484"/>
      <c r="AK29" s="30"/>
      <c r="AL29" s="30"/>
    </row>
    <row r="30" spans="1:63" ht="18" customHeight="1">
      <c r="E30" s="31"/>
      <c r="F30" s="32"/>
      <c r="S30" s="362"/>
      <c r="AD30" t="s">
        <v>1065</v>
      </c>
      <c r="AI30" s="569" t="s">
        <v>1164</v>
      </c>
      <c r="AJ30" s="484"/>
      <c r="AK30" s="30"/>
      <c r="AL30" s="30"/>
    </row>
    <row r="31" spans="1:63" ht="18" customHeight="1">
      <c r="E31" s="31"/>
      <c r="F31" s="32"/>
      <c r="S31" s="362"/>
      <c r="AD31" t="s">
        <v>1066</v>
      </c>
      <c r="AI31" s="569" t="s">
        <v>1165</v>
      </c>
      <c r="AJ31" s="484"/>
      <c r="AK31" s="30"/>
      <c r="AL31" s="30"/>
    </row>
    <row r="32" spans="1:63" ht="18" customHeight="1">
      <c r="E32" s="31"/>
      <c r="F32" s="32"/>
      <c r="S32" s="362"/>
      <c r="AD32" t="s">
        <v>1067</v>
      </c>
      <c r="AJ32" s="484"/>
      <c r="AK32" s="30"/>
      <c r="AL32" s="30"/>
    </row>
    <row r="33" spans="5:38" ht="18" customHeight="1">
      <c r="E33" s="31"/>
      <c r="F33" s="32"/>
      <c r="S33" s="362"/>
      <c r="AD33" t="s">
        <v>1068</v>
      </c>
      <c r="AI33" s="521" t="s">
        <v>108</v>
      </c>
      <c r="AJ33" s="484"/>
      <c r="AK33" s="30"/>
      <c r="AL33" s="30"/>
    </row>
    <row r="34" spans="5:38" ht="18" customHeight="1">
      <c r="E34" s="31"/>
      <c r="F34" s="32"/>
      <c r="S34" s="362"/>
      <c r="AD34" t="s">
        <v>1069</v>
      </c>
      <c r="AI34" s="484" t="s">
        <v>1168</v>
      </c>
      <c r="AK34" s="30"/>
      <c r="AL34" s="30"/>
    </row>
    <row r="35" spans="5:38" ht="18" customHeight="1">
      <c r="E35" s="31"/>
      <c r="F35" s="32"/>
      <c r="S35" s="362"/>
      <c r="AD35" t="s">
        <v>1070</v>
      </c>
      <c r="AI35" s="484" t="s">
        <v>1169</v>
      </c>
      <c r="AK35" s="30"/>
      <c r="AL35" s="30"/>
    </row>
    <row r="36" spans="5:38" ht="18" customHeight="1">
      <c r="S36" s="362"/>
      <c r="AD36" t="s">
        <v>1071</v>
      </c>
      <c r="AK36" s="30"/>
    </row>
    <row r="37" spans="5:38" ht="18" customHeight="1">
      <c r="S37" s="362"/>
    </row>
    <row r="38" spans="5:38" ht="18" customHeight="1">
      <c r="S38" s="362"/>
    </row>
    <row r="39" spans="5:38" ht="18" customHeight="1">
      <c r="S39" s="362"/>
    </row>
    <row r="40" spans="5:38" ht="18" customHeight="1">
      <c r="S40" s="362"/>
    </row>
    <row r="41" spans="5:38" ht="18" customHeight="1">
      <c r="S41" s="362"/>
    </row>
    <row r="42" spans="5:38" ht="18" customHeight="1">
      <c r="S42" s="362"/>
    </row>
    <row r="43" spans="5:38" ht="18" customHeight="1">
      <c r="S43" s="362"/>
    </row>
    <row r="44" spans="5:38" ht="18" customHeight="1">
      <c r="S44" s="362"/>
    </row>
    <row r="45" spans="5:38" ht="18" customHeight="1">
      <c r="S45" s="362"/>
    </row>
    <row r="46" spans="5:38" ht="18" customHeight="1">
      <c r="S46" s="362"/>
    </row>
    <row r="47" spans="5:38" ht="18" customHeight="1">
      <c r="S47" s="362"/>
    </row>
    <row r="48" spans="5:38" ht="18" customHeight="1">
      <c r="S48" s="362"/>
    </row>
    <row r="49" spans="19:19" ht="18" customHeight="1">
      <c r="S49" s="362"/>
    </row>
  </sheetData>
  <sheetProtection formatRows="0" selectLockedCells="1" selectUnlockedCells="1"/>
  <sortState xmlns:xlrd2="http://schemas.microsoft.com/office/spreadsheetml/2017/richdata2" ref="BL8:BL10">
    <sortCondition ref="BL8:BL10"/>
  </sortState>
  <customSheetViews>
    <customSheetView guid="{CA546172-0AA0-4956-873D-5C937D195097}" fitToPage="1" topLeftCell="AA1">
      <selection activeCell="AC5" sqref="AC5"/>
      <pageMargins left="0.62992125984251968" right="0.23622047244094491" top="0.55118110236220474" bottom="0.55118110236220474" header="0.31496062992125984" footer="0.31496062992125984"/>
      <pageSetup paperSize="8" scale="28" orientation="landscape" r:id="rId1"/>
      <headerFooter>
        <oddFooter>&amp;L&amp;"Verdana,Standaard"&amp;9&amp;K000000&amp;F&amp;C&amp;"Verdana Vet,Vet"&amp;9&amp;K000000Pagina &amp;P van &amp;N&amp;R&amp;"Verdana,Standaard"&amp;9&amp;K000000&amp;D</oddFooter>
      </headerFooter>
    </customSheetView>
  </customSheetViews>
  <mergeCells count="6">
    <mergeCell ref="AN1:BG1"/>
    <mergeCell ref="AL1:AM1"/>
    <mergeCell ref="A1:B1"/>
    <mergeCell ref="C1:E1"/>
    <mergeCell ref="I1:R1"/>
    <mergeCell ref="S1:AF1"/>
  </mergeCells>
  <pageMargins left="0.62992125984251968" right="0.23622047244094491" top="0.55118110236220474" bottom="0.55118110236220474" header="0.31496062992125984" footer="0.31496062992125984"/>
  <pageSetup paperSize="8" scale="28" orientation="landscape" r:id="rId2"/>
  <headerFooter>
    <oddFooter>&amp;L&amp;"Verdana,Standaard"&amp;9&amp;K000000&amp;F&amp;C&amp;"Verdana Vet,Vet"&amp;9&amp;K000000Pagina &amp;P van &amp;N&amp;R&amp;"Verdana,Standaard"&amp;9&amp;K000000&amp;D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BB51-6858-4226-BA0A-CA43F199AFB2}">
  <sheetPr codeName="Blad11">
    <pageSetUpPr fitToPage="1"/>
  </sheetPr>
  <dimension ref="A1:CL51"/>
  <sheetViews>
    <sheetView workbookViewId="0">
      <selection sqref="A1:B1"/>
    </sheetView>
  </sheetViews>
  <sheetFormatPr defaultColWidth="10.83203125" defaultRowHeight="18" customHeight="1"/>
  <cols>
    <col min="1" max="1" width="55.25" style="1" bestFit="1" customWidth="1"/>
    <col min="2" max="2" width="15.58203125" style="1" bestFit="1" customWidth="1"/>
    <col min="3" max="4" width="34.75" style="1" customWidth="1"/>
    <col min="5" max="5" width="20.08203125" style="1" bestFit="1" customWidth="1"/>
    <col min="6" max="6" width="20.08203125" style="1" customWidth="1"/>
    <col min="7" max="7" width="84.83203125" style="1" bestFit="1" customWidth="1"/>
    <col min="8" max="8" width="43.08203125" style="1" bestFit="1" customWidth="1"/>
    <col min="9" max="10" width="43.08203125" style="1" customWidth="1"/>
    <col min="11" max="11" width="27.75" style="1" bestFit="1" customWidth="1"/>
    <col min="12" max="12" width="27.75" style="1" customWidth="1"/>
    <col min="13" max="16" width="25.58203125" style="1" bestFit="1" customWidth="1"/>
    <col min="17" max="17" width="29.5" style="1" bestFit="1" customWidth="1"/>
    <col min="18" max="22" width="20.25" style="1" bestFit="1" customWidth="1"/>
    <col min="23" max="23" width="24" style="1" bestFit="1" customWidth="1"/>
    <col min="24" max="28" width="39.5" style="1" bestFit="1" customWidth="1"/>
    <col min="29" max="29" width="43.33203125" style="1" bestFit="1" customWidth="1"/>
    <col min="30" max="34" width="39.5" style="1" bestFit="1" customWidth="1"/>
    <col min="35" max="35" width="43.33203125" style="1" bestFit="1" customWidth="1"/>
    <col min="36" max="40" width="39.5" style="1" bestFit="1" customWidth="1"/>
    <col min="41" max="41" width="43.33203125" style="1" bestFit="1" customWidth="1"/>
    <col min="42" max="46" width="33" style="1" bestFit="1" customWidth="1"/>
    <col min="47" max="47" width="36.75" style="1" bestFit="1" customWidth="1"/>
    <col min="48" max="52" width="59.33203125" style="1" bestFit="1" customWidth="1"/>
    <col min="53" max="53" width="63.25" style="1" bestFit="1" customWidth="1"/>
    <col min="54" max="58" width="17.25" style="1" bestFit="1" customWidth="1"/>
    <col min="59" max="59" width="21" style="1" bestFit="1" customWidth="1"/>
    <col min="60" max="64" width="35.75" style="1" bestFit="1" customWidth="1"/>
    <col min="65" max="65" width="39.5" style="1" bestFit="1" customWidth="1"/>
    <col min="66" max="70" width="37.5" style="1" bestFit="1" customWidth="1"/>
    <col min="71" max="71" width="41.25" style="1" bestFit="1" customWidth="1"/>
    <col min="72" max="76" width="61.83203125" style="1" bestFit="1" customWidth="1"/>
    <col min="77" max="77" width="65.58203125" style="1" bestFit="1" customWidth="1"/>
    <col min="78" max="82" width="16.58203125" style="1" bestFit="1" customWidth="1"/>
    <col min="83" max="83" width="20.33203125" style="1" bestFit="1" customWidth="1"/>
    <col min="84" max="88" width="40.5" style="1" bestFit="1" customWidth="1"/>
    <col min="89" max="89" width="44.25" style="1" bestFit="1" customWidth="1"/>
    <col min="90" max="90" width="9.08203125" style="1" bestFit="1" customWidth="1"/>
    <col min="91" max="16384" width="10.83203125" style="1"/>
  </cols>
  <sheetData>
    <row r="1" spans="1:90" ht="25.5" customHeight="1" thickBot="1">
      <c r="A1" s="776" t="s">
        <v>13</v>
      </c>
      <c r="B1" s="776"/>
      <c r="C1" s="776" t="s">
        <v>23</v>
      </c>
      <c r="D1" s="776"/>
      <c r="E1" s="776"/>
      <c r="F1" s="776"/>
      <c r="G1" s="776"/>
      <c r="H1" s="775" t="s">
        <v>93</v>
      </c>
      <c r="I1" s="776"/>
      <c r="J1" s="776"/>
      <c r="K1" s="776"/>
      <c r="L1" s="776"/>
      <c r="N1" s="507" t="s">
        <v>624</v>
      </c>
      <c r="O1" s="507" t="s">
        <v>625</v>
      </c>
    </row>
    <row r="2" spans="1:90" s="3" customFormat="1" ht="27" customHeight="1" thickBot="1">
      <c r="A2" s="15"/>
      <c r="B2" s="7"/>
      <c r="C2" s="395" t="s">
        <v>0</v>
      </c>
      <c r="D2" s="490" t="s">
        <v>621</v>
      </c>
      <c r="E2" s="396" t="s">
        <v>1</v>
      </c>
      <c r="F2" s="396" t="s">
        <v>622</v>
      </c>
      <c r="G2" s="396" t="s">
        <v>631</v>
      </c>
      <c r="H2" s="400" t="s">
        <v>92</v>
      </c>
      <c r="I2" s="401" t="s">
        <v>637</v>
      </c>
      <c r="J2" s="401" t="s">
        <v>652</v>
      </c>
      <c r="K2" s="3" t="s">
        <v>653</v>
      </c>
      <c r="L2" s="3" t="s">
        <v>654</v>
      </c>
      <c r="N2" s="508" t="s">
        <v>632</v>
      </c>
      <c r="O2" s="508" t="s">
        <v>636</v>
      </c>
    </row>
    <row r="3" spans="1:90" ht="18" customHeight="1" thickBot="1">
      <c r="A3" s="16"/>
      <c r="B3" s="8"/>
      <c r="C3" s="38" t="s">
        <v>71</v>
      </c>
      <c r="D3" s="40" t="s">
        <v>71</v>
      </c>
      <c r="E3" s="40" t="s">
        <v>75</v>
      </c>
      <c r="F3" s="40" t="s">
        <v>75</v>
      </c>
      <c r="G3" s="40" t="s">
        <v>632</v>
      </c>
      <c r="H3" s="45" t="s">
        <v>91</v>
      </c>
      <c r="I3" s="46" t="s">
        <v>818</v>
      </c>
      <c r="J3" s="45" t="s">
        <v>91</v>
      </c>
      <c r="K3" s="1" t="s">
        <v>814</v>
      </c>
      <c r="L3" s="3" t="s">
        <v>819</v>
      </c>
      <c r="M3"/>
      <c r="N3" s="508" t="s">
        <v>720</v>
      </c>
      <c r="O3" s="508" t="s">
        <v>721</v>
      </c>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row>
    <row r="4" spans="1:90" ht="18" customHeight="1" thickBot="1">
      <c r="A4" s="16"/>
      <c r="B4" s="6"/>
      <c r="C4" s="39" t="s">
        <v>78</v>
      </c>
      <c r="D4" s="39" t="s">
        <v>630</v>
      </c>
      <c r="E4" s="12" t="s">
        <v>846</v>
      </c>
      <c r="F4" s="12" t="s">
        <v>847</v>
      </c>
      <c r="G4" s="12" t="s">
        <v>632</v>
      </c>
      <c r="H4" s="1" t="s">
        <v>817</v>
      </c>
      <c r="I4" s="46" t="s">
        <v>811</v>
      </c>
      <c r="J4" s="498" t="s">
        <v>817</v>
      </c>
      <c r="K4" s="499" t="s">
        <v>795</v>
      </c>
      <c r="L4" s="499" t="s">
        <v>812</v>
      </c>
      <c r="M4"/>
      <c r="N4" s="508" t="s">
        <v>633</v>
      </c>
      <c r="O4" s="508"/>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row>
    <row r="5" spans="1:90" ht="18" customHeight="1" thickBot="1">
      <c r="A5" s="404" t="s">
        <v>2</v>
      </c>
      <c r="B5" s="405" t="s">
        <v>3</v>
      </c>
      <c r="C5" s="39"/>
      <c r="D5" s="12"/>
      <c r="E5" s="12" t="s">
        <v>79</v>
      </c>
      <c r="F5" s="491"/>
      <c r="G5" s="491"/>
      <c r="H5" s="487" t="s">
        <v>517</v>
      </c>
      <c r="I5" s="487" t="s">
        <v>517</v>
      </c>
      <c r="J5" s="498" t="s">
        <v>817</v>
      </c>
      <c r="K5" s="31" t="s">
        <v>806</v>
      </c>
      <c r="L5" s="31" t="s">
        <v>813</v>
      </c>
      <c r="M5"/>
      <c r="N5" s="484"/>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row>
    <row r="6" spans="1:90" ht="18" customHeight="1" thickBot="1">
      <c r="A6" s="4"/>
      <c r="B6" s="3"/>
      <c r="C6" s="39"/>
      <c r="D6" s="12"/>
      <c r="E6" s="12" t="s">
        <v>80</v>
      </c>
      <c r="F6" s="12" t="s">
        <v>80</v>
      </c>
      <c r="G6" s="12" t="s">
        <v>632</v>
      </c>
      <c r="H6" s="30" t="s">
        <v>112</v>
      </c>
      <c r="I6" s="1" t="s">
        <v>642</v>
      </c>
      <c r="J6" s="498" t="s">
        <v>111</v>
      </c>
      <c r="K6" s="499" t="s">
        <v>115</v>
      </c>
      <c r="L6" s="500" t="s">
        <v>660</v>
      </c>
      <c r="N6" s="484"/>
    </row>
    <row r="7" spans="1:90" ht="18" customHeight="1" thickBot="1">
      <c r="A7" s="4"/>
      <c r="B7" s="3"/>
      <c r="C7" s="39"/>
      <c r="D7" s="12"/>
      <c r="E7" s="1" t="s">
        <v>74</v>
      </c>
      <c r="F7" s="12" t="s">
        <v>623</v>
      </c>
      <c r="G7" s="12" t="s">
        <v>632</v>
      </c>
      <c r="H7" s="30" t="s">
        <v>147</v>
      </c>
      <c r="I7" s="1" t="s">
        <v>640</v>
      </c>
      <c r="J7" s="498" t="s">
        <v>147</v>
      </c>
      <c r="K7" s="499" t="s">
        <v>148</v>
      </c>
      <c r="L7" s="31" t="s">
        <v>668</v>
      </c>
      <c r="N7" s="484"/>
    </row>
    <row r="8" spans="1:90" ht="18" customHeight="1" thickBot="1">
      <c r="A8" s="5"/>
      <c r="B8" s="6"/>
      <c r="C8" s="39"/>
      <c r="D8" s="12"/>
      <c r="E8" s="1" t="s">
        <v>406</v>
      </c>
      <c r="F8" s="12" t="s">
        <v>629</v>
      </c>
      <c r="G8" s="12" t="s">
        <v>633</v>
      </c>
      <c r="H8" s="30" t="s">
        <v>820</v>
      </c>
      <c r="I8" s="30" t="s">
        <v>822</v>
      </c>
      <c r="J8" s="30" t="s">
        <v>820</v>
      </c>
      <c r="K8" s="46" t="s">
        <v>823</v>
      </c>
      <c r="L8" s="31" t="s">
        <v>823</v>
      </c>
      <c r="N8" s="487"/>
    </row>
    <row r="9" spans="1:90" ht="18" customHeight="1" thickBot="1">
      <c r="A9" s="404" t="s">
        <v>52</v>
      </c>
      <c r="B9" s="407"/>
      <c r="C9" s="39"/>
      <c r="D9" s="12"/>
      <c r="E9" s="12" t="s">
        <v>81</v>
      </c>
      <c r="F9" s="1" t="s">
        <v>624</v>
      </c>
      <c r="G9" s="1" t="s">
        <v>634</v>
      </c>
      <c r="H9" s="30" t="s">
        <v>506</v>
      </c>
      <c r="I9" s="1" t="s">
        <v>644</v>
      </c>
      <c r="J9" s="498" t="s">
        <v>533</v>
      </c>
      <c r="K9" s="499" t="s">
        <v>534</v>
      </c>
      <c r="L9" s="501" t="s">
        <v>534</v>
      </c>
      <c r="N9" s="484"/>
    </row>
    <row r="10" spans="1:90" ht="18" customHeight="1" thickBot="1">
      <c r="A10" s="353"/>
      <c r="B10" s="13"/>
      <c r="C10" s="39"/>
      <c r="D10" s="12"/>
      <c r="E10" s="12" t="s">
        <v>82</v>
      </c>
      <c r="F10" s="1" t="s">
        <v>625</v>
      </c>
      <c r="G10" s="1" t="s">
        <v>635</v>
      </c>
      <c r="H10" s="30" t="s">
        <v>784</v>
      </c>
      <c r="I10" s="1" t="s">
        <v>792</v>
      </c>
      <c r="J10" s="498" t="s">
        <v>506</v>
      </c>
      <c r="K10" s="499" t="s">
        <v>507</v>
      </c>
      <c r="L10" s="501" t="s">
        <v>665</v>
      </c>
    </row>
    <row r="11" spans="1:90" ht="18" customHeight="1" thickBot="1">
      <c r="A11" s="406"/>
      <c r="B11" s="406"/>
      <c r="C11" s="39"/>
      <c r="D11" s="12"/>
      <c r="E11" s="12" t="s">
        <v>73</v>
      </c>
      <c r="F11" s="12" t="s">
        <v>73</v>
      </c>
      <c r="G11" s="12" t="s">
        <v>636</v>
      </c>
      <c r="H11" s="30" t="s">
        <v>113</v>
      </c>
      <c r="I11" s="1" t="s">
        <v>645</v>
      </c>
      <c r="J11" s="498" t="s">
        <v>784</v>
      </c>
      <c r="K11" s="499" t="s">
        <v>785</v>
      </c>
      <c r="L11" s="500" t="s">
        <v>785</v>
      </c>
      <c r="N11" s="484"/>
    </row>
    <row r="12" spans="1:90" ht="18" customHeight="1" thickBot="1">
      <c r="A12" s="353"/>
      <c r="B12" s="28"/>
      <c r="C12" s="39"/>
      <c r="D12" s="12"/>
      <c r="E12" s="12" t="s">
        <v>84</v>
      </c>
      <c r="F12" s="12" t="s">
        <v>84</v>
      </c>
      <c r="G12" s="12" t="s">
        <v>632</v>
      </c>
      <c r="H12" s="30" t="s">
        <v>533</v>
      </c>
      <c r="I12" s="1" t="s">
        <v>533</v>
      </c>
      <c r="J12" s="498" t="s">
        <v>113</v>
      </c>
      <c r="K12" s="499" t="s">
        <v>411</v>
      </c>
      <c r="L12" s="500" t="s">
        <v>661</v>
      </c>
      <c r="N12" s="484"/>
    </row>
    <row r="13" spans="1:90" ht="18" customHeight="1" thickBot="1">
      <c r="A13" s="28"/>
      <c r="B13" s="28"/>
      <c r="C13" s="39"/>
      <c r="D13" s="12"/>
      <c r="E13" s="12" t="s">
        <v>85</v>
      </c>
      <c r="F13" s="12" t="s">
        <v>85</v>
      </c>
      <c r="G13" s="12" t="s">
        <v>633</v>
      </c>
      <c r="H13" s="30" t="s">
        <v>90</v>
      </c>
      <c r="I13" s="1" t="s">
        <v>764</v>
      </c>
      <c r="J13" s="498" t="s">
        <v>113</v>
      </c>
      <c r="K13" s="31" t="s">
        <v>415</v>
      </c>
      <c r="L13" s="500" t="s">
        <v>662</v>
      </c>
      <c r="N13" s="484"/>
    </row>
    <row r="14" spans="1:90" ht="18" customHeight="1" thickBot="1">
      <c r="A14" s="28"/>
      <c r="B14" s="28"/>
      <c r="C14" s="43"/>
      <c r="D14" s="44"/>
      <c r="E14" s="492"/>
      <c r="F14" s="12" t="s">
        <v>627</v>
      </c>
      <c r="G14" s="12" t="s">
        <v>632</v>
      </c>
      <c r="H14" s="30" t="s">
        <v>114</v>
      </c>
      <c r="I14" s="1" t="s">
        <v>646</v>
      </c>
      <c r="J14" s="498" t="s">
        <v>113</v>
      </c>
      <c r="K14" s="31" t="s">
        <v>412</v>
      </c>
      <c r="L14" s="501" t="s">
        <v>663</v>
      </c>
    </row>
    <row r="15" spans="1:90" ht="18" customHeight="1" thickBot="1">
      <c r="A15" s="28"/>
      <c r="B15" s="28"/>
      <c r="C15" s="12"/>
      <c r="D15" s="12"/>
      <c r="E15" s="493"/>
      <c r="F15" s="12" t="s">
        <v>628</v>
      </c>
      <c r="G15" s="12" t="s">
        <v>632</v>
      </c>
      <c r="H15" s="30" t="s">
        <v>483</v>
      </c>
      <c r="I15" s="1" t="s">
        <v>648</v>
      </c>
      <c r="J15" s="498" t="s">
        <v>113</v>
      </c>
      <c r="K15" s="31" t="s">
        <v>414</v>
      </c>
      <c r="L15" s="501" t="s">
        <v>664</v>
      </c>
    </row>
    <row r="16" spans="1:90" ht="18" customHeight="1" thickBot="1">
      <c r="A16" s="29"/>
      <c r="B16" s="29"/>
      <c r="C16" s="12"/>
      <c r="D16" s="12"/>
      <c r="E16" s="12" t="s">
        <v>626</v>
      </c>
      <c r="F16" s="12" t="s">
        <v>626</v>
      </c>
      <c r="G16" s="12" t="s">
        <v>633</v>
      </c>
      <c r="H16" s="30" t="s">
        <v>554</v>
      </c>
      <c r="I16" s="1" t="s">
        <v>649</v>
      </c>
      <c r="J16" s="498" t="s">
        <v>90</v>
      </c>
      <c r="K16" s="499" t="s">
        <v>741</v>
      </c>
      <c r="L16" s="500" t="s">
        <v>775</v>
      </c>
    </row>
    <row r="17" spans="1:12" ht="18" customHeight="1" thickBot="1">
      <c r="C17" s="12"/>
      <c r="D17" s="12"/>
      <c r="E17" s="12"/>
      <c r="G17" s="12"/>
      <c r="H17" s="30" t="s">
        <v>134</v>
      </c>
      <c r="I17" s="1" t="s">
        <v>643</v>
      </c>
      <c r="J17" s="498" t="s">
        <v>90</v>
      </c>
      <c r="K17" s="31" t="s">
        <v>743</v>
      </c>
      <c r="L17" s="500" t="s">
        <v>776</v>
      </c>
    </row>
    <row r="18" spans="1:12" ht="18" customHeight="1">
      <c r="C18" s="12"/>
      <c r="D18" s="12"/>
      <c r="E18" s="12"/>
      <c r="F18" s="12"/>
      <c r="H18" s="30" t="s">
        <v>433</v>
      </c>
      <c r="I18" s="1" t="s">
        <v>651</v>
      </c>
      <c r="J18" s="31" t="s">
        <v>114</v>
      </c>
      <c r="K18" s="31" t="s">
        <v>341</v>
      </c>
      <c r="L18" s="502" t="s">
        <v>655</v>
      </c>
    </row>
    <row r="19" spans="1:12" ht="18" customHeight="1">
      <c r="A19" s="12"/>
      <c r="B19" s="12"/>
      <c r="C19" s="12"/>
      <c r="D19" s="12"/>
      <c r="E19" s="12"/>
      <c r="F19" s="12"/>
      <c r="G19" s="12"/>
      <c r="H19" s="30" t="s">
        <v>768</v>
      </c>
      <c r="I19" s="1" t="s">
        <v>768</v>
      </c>
      <c r="J19" s="31" t="s">
        <v>114</v>
      </c>
      <c r="K19" s="31" t="s">
        <v>342</v>
      </c>
      <c r="L19" s="502" t="s">
        <v>656</v>
      </c>
    </row>
    <row r="20" spans="1:12" ht="18" customHeight="1" thickBot="1">
      <c r="A20" s="12"/>
      <c r="B20" s="12"/>
      <c r="C20" s="12"/>
      <c r="D20" s="12"/>
      <c r="E20" s="12"/>
      <c r="F20" s="12"/>
      <c r="G20" s="12"/>
      <c r="H20" s="494"/>
      <c r="I20" s="1" t="s">
        <v>638</v>
      </c>
      <c r="J20" s="31" t="s">
        <v>114</v>
      </c>
      <c r="K20" s="31" t="s">
        <v>343</v>
      </c>
      <c r="L20" s="503" t="s">
        <v>657</v>
      </c>
    </row>
    <row r="21" spans="1:12" ht="18" customHeight="1" thickBot="1">
      <c r="A21" s="12"/>
      <c r="B21" s="12"/>
      <c r="C21" s="12"/>
      <c r="D21" s="12"/>
      <c r="E21" s="12"/>
      <c r="F21" s="12"/>
      <c r="G21" s="12"/>
      <c r="H21" s="494"/>
      <c r="I21" s="1" t="s">
        <v>639</v>
      </c>
      <c r="J21" s="498" t="s">
        <v>483</v>
      </c>
      <c r="K21" s="483" t="s">
        <v>482</v>
      </c>
      <c r="L21" s="501" t="s">
        <v>482</v>
      </c>
    </row>
    <row r="22" spans="1:12" ht="18" customHeight="1" thickBot="1">
      <c r="A22" s="12"/>
      <c r="B22" s="12"/>
      <c r="C22" s="12"/>
      <c r="D22" s="12"/>
      <c r="E22" s="12"/>
      <c r="F22" s="12"/>
      <c r="G22" s="12"/>
      <c r="H22" s="494"/>
      <c r="I22" s="1" t="s">
        <v>641</v>
      </c>
      <c r="J22" s="498" t="s">
        <v>134</v>
      </c>
      <c r="K22" s="504" t="s">
        <v>344</v>
      </c>
      <c r="L22" s="505" t="s">
        <v>666</v>
      </c>
    </row>
    <row r="23" spans="1:12" ht="18" customHeight="1" thickBot="1">
      <c r="A23" s="14"/>
      <c r="B23" s="14"/>
      <c r="C23" s="12"/>
      <c r="D23" s="12"/>
      <c r="E23" s="12"/>
      <c r="F23" s="12"/>
      <c r="G23" s="12"/>
      <c r="H23" s="494"/>
      <c r="I23" s="1" t="s">
        <v>647</v>
      </c>
      <c r="J23" s="498" t="s">
        <v>134</v>
      </c>
      <c r="K23" s="506" t="s">
        <v>345</v>
      </c>
      <c r="L23" s="31" t="s">
        <v>667</v>
      </c>
    </row>
    <row r="24" spans="1:12" ht="18" customHeight="1" thickBot="1">
      <c r="A24" s="14"/>
      <c r="B24" s="14"/>
      <c r="C24" s="12"/>
      <c r="D24" s="12"/>
      <c r="E24" s="12"/>
      <c r="F24" s="12"/>
      <c r="G24" s="12"/>
      <c r="H24" s="494"/>
      <c r="I24" s="35" t="s">
        <v>650</v>
      </c>
      <c r="J24" s="498" t="s">
        <v>433</v>
      </c>
      <c r="K24" s="499" t="s">
        <v>434</v>
      </c>
      <c r="L24" s="31" t="s">
        <v>669</v>
      </c>
    </row>
    <row r="25" spans="1:12" ht="18" customHeight="1" thickBot="1">
      <c r="H25" s="495"/>
      <c r="I25" s="35"/>
      <c r="J25" s="498" t="s">
        <v>433</v>
      </c>
      <c r="K25" s="31" t="s">
        <v>435</v>
      </c>
      <c r="L25" s="31" t="s">
        <v>670</v>
      </c>
    </row>
    <row r="26" spans="1:12" ht="18" customHeight="1" thickBot="1">
      <c r="J26" s="498" t="s">
        <v>554</v>
      </c>
      <c r="K26" s="499" t="s">
        <v>547</v>
      </c>
      <c r="L26" s="31" t="s">
        <v>547</v>
      </c>
    </row>
    <row r="27" spans="1:12" ht="18" customHeight="1" thickBot="1">
      <c r="J27" s="498" t="s">
        <v>554</v>
      </c>
      <c r="K27" s="31" t="s">
        <v>548</v>
      </c>
      <c r="L27" s="31" t="s">
        <v>548</v>
      </c>
    </row>
    <row r="28" spans="1:12" ht="18" customHeight="1" thickBot="1">
      <c r="H28" s="362"/>
      <c r="I28" s="362"/>
      <c r="J28" s="498" t="s">
        <v>554</v>
      </c>
      <c r="K28" s="31" t="s">
        <v>589</v>
      </c>
      <c r="L28" s="31" t="s">
        <v>671</v>
      </c>
    </row>
    <row r="29" spans="1:12" ht="18" customHeight="1" thickBot="1">
      <c r="H29" s="362"/>
      <c r="I29" s="362"/>
      <c r="J29" s="498" t="s">
        <v>517</v>
      </c>
      <c r="K29" s="9" t="s">
        <v>449</v>
      </c>
      <c r="L29" s="500" t="s">
        <v>658</v>
      </c>
    </row>
    <row r="30" spans="1:12" ht="18" customHeight="1" thickBot="1">
      <c r="H30" s="362"/>
      <c r="I30" s="362"/>
      <c r="J30" s="498" t="s">
        <v>517</v>
      </c>
      <c r="K30" s="31" t="s">
        <v>532</v>
      </c>
      <c r="L30" s="500" t="s">
        <v>659</v>
      </c>
    </row>
    <row r="31" spans="1:12" ht="18" customHeight="1" thickBot="1">
      <c r="H31" s="362"/>
      <c r="I31" s="362"/>
      <c r="J31" s="498" t="s">
        <v>768</v>
      </c>
      <c r="K31" s="31" t="s">
        <v>783</v>
      </c>
      <c r="L31" s="1" t="s">
        <v>777</v>
      </c>
    </row>
    <row r="32" spans="1:12" ht="18" customHeight="1">
      <c r="H32" s="362"/>
      <c r="I32" s="362"/>
    </row>
    <row r="33" spans="8:10" ht="18" customHeight="1">
      <c r="H33" s="362"/>
      <c r="I33" s="362"/>
    </row>
    <row r="34" spans="8:10" ht="18" customHeight="1">
      <c r="H34" s="362"/>
      <c r="I34" s="362"/>
    </row>
    <row r="35" spans="8:10" ht="18" customHeight="1">
      <c r="H35" s="362"/>
    </row>
    <row r="36" spans="8:10" ht="18" customHeight="1">
      <c r="H36" s="362"/>
    </row>
    <row r="37" spans="8:10" ht="18" customHeight="1">
      <c r="H37" s="362"/>
    </row>
    <row r="38" spans="8:10" ht="18" customHeight="1">
      <c r="H38" s="362"/>
    </row>
    <row r="39" spans="8:10" ht="18" customHeight="1">
      <c r="H39" s="362"/>
    </row>
    <row r="40" spans="8:10" ht="18" customHeight="1">
      <c r="H40" s="362"/>
    </row>
    <row r="41" spans="8:10" ht="18" customHeight="1">
      <c r="H41" s="362"/>
    </row>
    <row r="42" spans="8:10" ht="18" customHeight="1">
      <c r="H42" s="362"/>
    </row>
    <row r="43" spans="8:10" ht="18" customHeight="1">
      <c r="H43" s="362"/>
    </row>
    <row r="44" spans="8:10" ht="18" customHeight="1">
      <c r="H44" s="362"/>
    </row>
    <row r="45" spans="8:10" ht="18" customHeight="1">
      <c r="H45" s="362"/>
      <c r="J45" s="362"/>
    </row>
    <row r="46" spans="8:10" ht="18" customHeight="1">
      <c r="H46" s="362"/>
      <c r="J46" s="362"/>
    </row>
    <row r="47" spans="8:10" ht="18" customHeight="1">
      <c r="H47" s="362"/>
      <c r="J47" s="362"/>
    </row>
    <row r="48" spans="8:10" ht="18" customHeight="1">
      <c r="H48" s="362"/>
      <c r="I48" s="362"/>
      <c r="J48" s="362"/>
    </row>
    <row r="49" spans="8:9" ht="18" customHeight="1">
      <c r="H49" s="362"/>
      <c r="I49" s="362"/>
    </row>
    <row r="50" spans="8:9" ht="18" customHeight="1">
      <c r="H50" s="362"/>
      <c r="I50" s="362"/>
    </row>
    <row r="51" spans="8:9" ht="18" customHeight="1">
      <c r="H51" s="362"/>
      <c r="I51" s="362"/>
    </row>
  </sheetData>
  <sheetProtection formatRows="0" selectLockedCells="1" selectUnlockedCells="1"/>
  <sortState xmlns:xlrd2="http://schemas.microsoft.com/office/spreadsheetml/2017/richdata2" ref="I29:I45">
    <sortCondition ref="I28"/>
  </sortState>
  <mergeCells count="3">
    <mergeCell ref="A1:B1"/>
    <mergeCell ref="C1:G1"/>
    <mergeCell ref="H1:L1"/>
  </mergeCells>
  <pageMargins left="0.62992125984251968" right="0.23622047244094491" top="0.55118110236220474" bottom="0.55118110236220474" header="0.31496062992125984" footer="0.31496062992125984"/>
  <pageSetup paperSize="8" scale="28" orientation="landscape" r:id="rId1"/>
  <headerFooter>
    <oddFooter>&amp;L&amp;"Verdana,Standaard"&amp;9&amp;K000000&amp;F&amp;C&amp;"Verdana Vet,Vet"&amp;9&amp;K000000Pagina &amp;P van &amp;N&amp;R&amp;"Verdana,Standaard"&amp;9&amp;K000000&amp;D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119E-7D52-46DD-80FC-48D0BC7F6040}">
  <sheetPr codeName="Blad6"/>
  <dimension ref="A1:K221"/>
  <sheetViews>
    <sheetView topLeftCell="A177" workbookViewId="0">
      <selection activeCell="A199" sqref="A199"/>
    </sheetView>
  </sheetViews>
  <sheetFormatPr defaultColWidth="8.33203125" defaultRowHeight="13.5"/>
  <cols>
    <col min="1" max="1" width="54.83203125" style="369" customWidth="1"/>
    <col min="2" max="2" width="58.08203125" style="369" bestFit="1" customWidth="1"/>
    <col min="3" max="3" width="61.83203125" style="369" bestFit="1" customWidth="1"/>
    <col min="4" max="4" width="39.83203125" style="369" bestFit="1" customWidth="1"/>
    <col min="5" max="5" width="39.83203125" style="369" customWidth="1"/>
    <col min="6" max="6" width="72" style="369" customWidth="1"/>
    <col min="7" max="7" width="43.25" style="369" customWidth="1"/>
    <col min="8" max="8" width="35.5" style="369" customWidth="1"/>
    <col min="9" max="9" width="18.83203125" style="369" customWidth="1"/>
    <col min="10" max="10" width="23.33203125" style="369" customWidth="1"/>
    <col min="11" max="16384" width="8.33203125" style="369"/>
  </cols>
  <sheetData>
    <row r="1" spans="1:11" ht="15.5" thickBot="1">
      <c r="A1" s="367" t="s">
        <v>240</v>
      </c>
      <c r="B1" s="368" t="s">
        <v>208</v>
      </c>
      <c r="C1" s="368" t="s">
        <v>209</v>
      </c>
      <c r="D1" s="368" t="s">
        <v>241</v>
      </c>
      <c r="E1" s="368" t="s">
        <v>242</v>
      </c>
      <c r="F1" s="368" t="s">
        <v>243</v>
      </c>
      <c r="G1" s="368" t="s">
        <v>244</v>
      </c>
      <c r="H1" s="368" t="s">
        <v>245</v>
      </c>
      <c r="I1" s="368" t="s">
        <v>246</v>
      </c>
      <c r="J1" s="368" t="s">
        <v>247</v>
      </c>
      <c r="K1" s="369" t="s">
        <v>674</v>
      </c>
    </row>
    <row r="2" spans="1:11" ht="14" thickBot="1">
      <c r="A2" s="370" t="str">
        <f>CONCATENATE(B2,C2,D2)</f>
        <v>AuditdienstenP1 Inhuur AuditdienstenBaker Tilly Berk N.V. (perc. 1)</v>
      </c>
      <c r="B2" s="371" t="s">
        <v>91</v>
      </c>
      <c r="C2" s="374" t="s">
        <v>795</v>
      </c>
      <c r="D2" s="372" t="s">
        <v>248</v>
      </c>
      <c r="E2" s="372" t="s">
        <v>249</v>
      </c>
      <c r="F2" s="372" t="s">
        <v>250</v>
      </c>
      <c r="G2" s="372" t="s">
        <v>250</v>
      </c>
      <c r="H2" s="372"/>
      <c r="I2" s="372"/>
      <c r="J2" s="373"/>
      <c r="K2" s="369" t="s">
        <v>695</v>
      </c>
    </row>
    <row r="3" spans="1:11" ht="15" customHeight="1" thickBot="1">
      <c r="A3" s="370" t="str">
        <f t="shared" ref="A3:A22" si="0">CONCATENATE(B3,C3,D3)</f>
        <v>AuditdienstenP1 Inhuur AuditdienstenDeloitte Accountants B.V. (perc. 1)</v>
      </c>
      <c r="B3" s="371" t="s">
        <v>91</v>
      </c>
      <c r="C3" s="374" t="s">
        <v>795</v>
      </c>
      <c r="D3" s="374" t="s">
        <v>252</v>
      </c>
      <c r="E3" s="374" t="s">
        <v>253</v>
      </c>
      <c r="F3" s="374" t="s">
        <v>254</v>
      </c>
      <c r="G3" s="374" t="s">
        <v>254</v>
      </c>
      <c r="H3" s="374"/>
      <c r="I3" s="374"/>
      <c r="J3" s="375"/>
      <c r="K3" s="369" t="s">
        <v>675</v>
      </c>
    </row>
    <row r="4" spans="1:11" ht="15" customHeight="1" thickBot="1">
      <c r="A4" s="370" t="str">
        <f t="shared" si="0"/>
        <v>AuditdienstenP1 Inhuur AuditdienstenErnst &amp; Young Advisory LLP (perc. 1)</v>
      </c>
      <c r="B4" s="371" t="s">
        <v>91</v>
      </c>
      <c r="C4" s="374" t="s">
        <v>795</v>
      </c>
      <c r="D4" s="374" t="s">
        <v>940</v>
      </c>
      <c r="E4" s="374" t="s">
        <v>941</v>
      </c>
      <c r="F4" s="374" t="s">
        <v>255</v>
      </c>
      <c r="G4" s="374" t="s">
        <v>255</v>
      </c>
      <c r="H4" s="374"/>
      <c r="I4" s="374"/>
      <c r="J4" s="375"/>
      <c r="K4" s="369" t="s">
        <v>678</v>
      </c>
    </row>
    <row r="5" spans="1:11" ht="15" customHeight="1" thickBot="1">
      <c r="A5" s="370" t="str">
        <f t="shared" si="0"/>
        <v>AuditdienstenP1 Inhuur AuditdienstenKPMG Accountants N.V. (perc. 1)</v>
      </c>
      <c r="B5" s="371" t="s">
        <v>91</v>
      </c>
      <c r="C5" s="374" t="s">
        <v>795</v>
      </c>
      <c r="D5" s="374" t="s">
        <v>256</v>
      </c>
      <c r="E5" s="374" t="s">
        <v>257</v>
      </c>
      <c r="F5" s="374" t="s">
        <v>807</v>
      </c>
      <c r="G5" s="374" t="s">
        <v>807</v>
      </c>
      <c r="H5" s="374"/>
      <c r="I5" s="374"/>
      <c r="J5" s="375"/>
      <c r="K5" s="369" t="s">
        <v>676</v>
      </c>
    </row>
    <row r="6" spans="1:11" ht="15" customHeight="1" thickBot="1">
      <c r="A6" s="370" t="str">
        <f t="shared" si="0"/>
        <v>AuditdienstenP1 Inhuur AuditdienstenRA-Quel B.V. (perc. 1)</v>
      </c>
      <c r="B6" s="371" t="s">
        <v>91</v>
      </c>
      <c r="C6" s="374" t="s">
        <v>795</v>
      </c>
      <c r="D6" s="374" t="s">
        <v>809</v>
      </c>
      <c r="E6" s="374" t="s">
        <v>808</v>
      </c>
      <c r="F6" s="374" t="s">
        <v>830</v>
      </c>
      <c r="G6" s="374" t="s">
        <v>830</v>
      </c>
      <c r="H6" s="374"/>
      <c r="I6" s="374"/>
      <c r="J6" s="375"/>
      <c r="K6" s="369" t="s">
        <v>810</v>
      </c>
    </row>
    <row r="7" spans="1:11" ht="15" customHeight="1" thickBot="1">
      <c r="A7" s="370" t="str">
        <f t="shared" si="0"/>
        <v>AuditdienstenP1 Inhuur AuditdienstenUSG Professionals (perc. 1)</v>
      </c>
      <c r="B7" s="371" t="s">
        <v>91</v>
      </c>
      <c r="C7" s="374" t="s">
        <v>795</v>
      </c>
      <c r="D7" s="374" t="s">
        <v>509</v>
      </c>
      <c r="E7" s="374" t="s">
        <v>486</v>
      </c>
      <c r="F7" s="374" t="s">
        <v>258</v>
      </c>
      <c r="G7" s="374" t="s">
        <v>258</v>
      </c>
      <c r="H7" s="374"/>
      <c r="I7" s="374"/>
      <c r="J7" s="375"/>
      <c r="K7" s="369" t="s">
        <v>680</v>
      </c>
    </row>
    <row r="8" spans="1:11" ht="15" customHeight="1" thickBot="1">
      <c r="A8" s="370" t="str">
        <f t="shared" si="0"/>
        <v>AuditdienstenP1 Inhuur AuditdienstenVanberkel Professionals Holding B.V. (perc. 1)</v>
      </c>
      <c r="B8" s="371" t="s">
        <v>91</v>
      </c>
      <c r="C8" s="374" t="s">
        <v>795</v>
      </c>
      <c r="D8" s="374" t="s">
        <v>259</v>
      </c>
      <c r="E8" s="374" t="s">
        <v>260</v>
      </c>
      <c r="F8" s="374" t="s">
        <v>261</v>
      </c>
      <c r="G8" s="374" t="s">
        <v>261</v>
      </c>
      <c r="H8" s="374"/>
      <c r="I8" s="374"/>
      <c r="J8" s="375"/>
      <c r="K8" s="369" t="s">
        <v>696</v>
      </c>
    </row>
    <row r="9" spans="1:11" ht="15" customHeight="1" thickBot="1">
      <c r="A9" s="370" t="str">
        <f t="shared" si="0"/>
        <v>AuditdienstenP2 Inhuur IT AuditdienstenBaker Tilly (Netherlands) N.V. (perc. 2)</v>
      </c>
      <c r="B9" s="371" t="s">
        <v>91</v>
      </c>
      <c r="C9" s="374" t="s">
        <v>806</v>
      </c>
      <c r="D9" s="374" t="s">
        <v>929</v>
      </c>
      <c r="E9" s="374" t="s">
        <v>927</v>
      </c>
      <c r="F9" s="374" t="s">
        <v>936</v>
      </c>
      <c r="G9" s="374" t="s">
        <v>936</v>
      </c>
      <c r="J9" s="376"/>
      <c r="K9" s="369" t="s">
        <v>933</v>
      </c>
    </row>
    <row r="10" spans="1:11" ht="15" customHeight="1" thickBot="1">
      <c r="A10" s="370" t="str">
        <f t="shared" si="0"/>
        <v>AuditdienstenP2 Inhuur IT AuditdienstenDeloitte Risk Advisory B.V. (perc. 2)</v>
      </c>
      <c r="B10" s="371" t="s">
        <v>91</v>
      </c>
      <c r="C10" s="374" t="s">
        <v>806</v>
      </c>
      <c r="D10" s="374" t="s">
        <v>882</v>
      </c>
      <c r="E10" s="374" t="s">
        <v>875</v>
      </c>
      <c r="F10" s="374" t="s">
        <v>815</v>
      </c>
      <c r="G10" s="374" t="s">
        <v>815</v>
      </c>
      <c r="J10" s="376"/>
      <c r="K10" s="369" t="s">
        <v>682</v>
      </c>
    </row>
    <row r="11" spans="1:11" ht="15" customHeight="1" thickBot="1">
      <c r="A11" s="370" t="str">
        <f t="shared" si="0"/>
        <v>AuditdienstenP2 Inhuur IT AuditdienstenEY Advisory Netherlands LLP (perc. 2)</v>
      </c>
      <c r="B11" s="371" t="s">
        <v>91</v>
      </c>
      <c r="C11" s="374" t="s">
        <v>806</v>
      </c>
      <c r="D11" s="374" t="s">
        <v>930</v>
      </c>
      <c r="E11" s="374" t="s">
        <v>461</v>
      </c>
      <c r="F11" s="374" t="s">
        <v>816</v>
      </c>
      <c r="G11" s="374" t="s">
        <v>816</v>
      </c>
      <c r="J11" s="376"/>
      <c r="K11" s="369" t="s">
        <v>683</v>
      </c>
    </row>
    <row r="12" spans="1:11" ht="15" customHeight="1" thickBot="1">
      <c r="A12" s="370" t="str">
        <f t="shared" si="0"/>
        <v>AuditdienstenP2 Inhuur IT AuditdienstenKPMG Advisory N.V. (perc. 2)</v>
      </c>
      <c r="B12" s="371" t="s">
        <v>91</v>
      </c>
      <c r="C12" s="374" t="s">
        <v>806</v>
      </c>
      <c r="D12" s="374" t="s">
        <v>931</v>
      </c>
      <c r="E12" s="374" t="s">
        <v>287</v>
      </c>
      <c r="F12" s="374" t="s">
        <v>937</v>
      </c>
      <c r="G12" s="374" t="s">
        <v>937</v>
      </c>
      <c r="J12" s="376"/>
      <c r="K12" s="369" t="s">
        <v>934</v>
      </c>
    </row>
    <row r="13" spans="1:11" ht="15" customHeight="1" thickBot="1">
      <c r="A13" s="370" t="str">
        <f t="shared" si="0"/>
        <v>AuditdienstenP2 Inhuur IT AuditdienstenPricewaterhouseCoopers Advisory N.V. (perc. 2)</v>
      </c>
      <c r="B13" s="371" t="s">
        <v>91</v>
      </c>
      <c r="C13" s="374" t="s">
        <v>806</v>
      </c>
      <c r="D13" s="374" t="s">
        <v>932</v>
      </c>
      <c r="E13" s="374" t="s">
        <v>928</v>
      </c>
      <c r="F13" s="374" t="s">
        <v>938</v>
      </c>
      <c r="G13" s="374" t="s">
        <v>938</v>
      </c>
      <c r="J13" s="376"/>
      <c r="K13" s="369" t="s">
        <v>935</v>
      </c>
    </row>
    <row r="14" spans="1:11" ht="15.75" customHeight="1" thickBot="1">
      <c r="A14" s="367" t="s">
        <v>240</v>
      </c>
      <c r="B14" s="368" t="s">
        <v>208</v>
      </c>
      <c r="C14" s="368" t="s">
        <v>209</v>
      </c>
      <c r="D14" s="368" t="s">
        <v>262</v>
      </c>
      <c r="E14" s="368" t="s">
        <v>242</v>
      </c>
      <c r="F14" s="368" t="s">
        <v>243</v>
      </c>
      <c r="G14" s="368" t="s">
        <v>244</v>
      </c>
      <c r="H14" s="368" t="s">
        <v>245</v>
      </c>
      <c r="I14" s="368" t="s">
        <v>246</v>
      </c>
      <c r="J14" s="368" t="s">
        <v>247</v>
      </c>
    </row>
    <row r="15" spans="1:11">
      <c r="A15" s="370" t="str">
        <f t="shared" si="0"/>
        <v>Data SpecialistenN.v.t. bij data specialistenCapgemini B.V.</v>
      </c>
      <c r="B15" s="377" t="s">
        <v>112</v>
      </c>
      <c r="C15" s="374" t="s">
        <v>115</v>
      </c>
      <c r="D15" s="374" t="s">
        <v>263</v>
      </c>
      <c r="E15" s="374" t="s">
        <v>263</v>
      </c>
      <c r="F15" s="374" t="s">
        <v>475</v>
      </c>
      <c r="G15" s="378" t="s">
        <v>475</v>
      </c>
      <c r="H15" s="378"/>
      <c r="I15" s="378"/>
      <c r="J15" s="379"/>
      <c r="K15" s="369" t="s">
        <v>697</v>
      </c>
    </row>
    <row r="16" spans="1:11">
      <c r="A16" s="370" t="str">
        <f t="shared" si="0"/>
        <v>Data SpecialistenN.v.t. bij data specialistenImproven B.V.</v>
      </c>
      <c r="B16" s="374" t="s">
        <v>112</v>
      </c>
      <c r="C16" s="374" t="s">
        <v>115</v>
      </c>
      <c r="D16" s="374" t="s">
        <v>264</v>
      </c>
      <c r="E16" s="374" t="s">
        <v>264</v>
      </c>
      <c r="F16" s="369" t="s">
        <v>265</v>
      </c>
      <c r="G16" s="369" t="s">
        <v>265</v>
      </c>
      <c r="J16" s="376"/>
      <c r="K16" s="369" t="s">
        <v>699</v>
      </c>
    </row>
    <row r="17" spans="1:11">
      <c r="A17" s="370" t="str">
        <f t="shared" si="0"/>
        <v>Data SpecialistenN.v.t. bij data specialistenEOM Data Solutions B.V.</v>
      </c>
      <c r="B17" s="374" t="s">
        <v>112</v>
      </c>
      <c r="C17" s="374" t="s">
        <v>115</v>
      </c>
      <c r="D17" s="374" t="s">
        <v>266</v>
      </c>
      <c r="E17" s="374" t="s">
        <v>266</v>
      </c>
      <c r="F17" s="374" t="s">
        <v>267</v>
      </c>
      <c r="G17" s="369" t="s">
        <v>267</v>
      </c>
      <c r="J17" s="376"/>
      <c r="K17" s="369" t="s">
        <v>698</v>
      </c>
    </row>
    <row r="18" spans="1:11">
      <c r="A18" s="370" t="str">
        <f t="shared" ref="A18" si="1">CONCATENATE(B18,C18,D18)</f>
        <v>Data SpecialistenN.v.t. bij data specialistenSAS Institute B.V.</v>
      </c>
      <c r="B18" s="374" t="s">
        <v>112</v>
      </c>
      <c r="C18" s="374" t="s">
        <v>115</v>
      </c>
      <c r="D18" s="374" t="s">
        <v>477</v>
      </c>
      <c r="E18" s="374" t="s">
        <v>477</v>
      </c>
      <c r="F18" s="374" t="s">
        <v>493</v>
      </c>
      <c r="G18" s="369" t="s">
        <v>493</v>
      </c>
      <c r="J18" s="376"/>
      <c r="K18" s="369" t="s">
        <v>700</v>
      </c>
    </row>
    <row r="19" spans="1:11">
      <c r="A19" s="370" t="str">
        <f t="shared" si="0"/>
        <v>Data SpecialistenN.v.t. bij data specialistenSogeti Nederland B.V.</v>
      </c>
      <c r="B19" s="374" t="s">
        <v>112</v>
      </c>
      <c r="C19" s="374" t="s">
        <v>115</v>
      </c>
      <c r="D19" s="374" t="s">
        <v>471</v>
      </c>
      <c r="E19" s="374" t="s">
        <v>471</v>
      </c>
      <c r="F19" s="369" t="s">
        <v>474</v>
      </c>
      <c r="G19" s="369" t="s">
        <v>474</v>
      </c>
      <c r="J19" s="376"/>
      <c r="K19" s="369" t="s">
        <v>701</v>
      </c>
    </row>
    <row r="20" spans="1:11">
      <c r="A20" s="370" t="str">
        <f t="shared" si="0"/>
        <v>Data SpecialistenN.v.t. bij data specialistenTalent&amp;Pro Nederland B.V.</v>
      </c>
      <c r="B20" s="374" t="s">
        <v>112</v>
      </c>
      <c r="C20" s="374" t="s">
        <v>115</v>
      </c>
      <c r="D20" s="374" t="s">
        <v>472</v>
      </c>
      <c r="E20" s="374" t="s">
        <v>472</v>
      </c>
      <c r="F20" s="374" t="s">
        <v>476</v>
      </c>
      <c r="G20" s="369" t="s">
        <v>476</v>
      </c>
      <c r="J20" s="376"/>
      <c r="K20" s="369" t="s">
        <v>702</v>
      </c>
    </row>
    <row r="21" spans="1:11" ht="14">
      <c r="A21" s="370" t="str">
        <f t="shared" si="0"/>
        <v>Data SpecialistenN.v.t. bij data specialistenORTEC B.V.</v>
      </c>
      <c r="B21" s="374" t="s">
        <v>112</v>
      </c>
      <c r="C21" s="374" t="s">
        <v>115</v>
      </c>
      <c r="D21" s="374" t="s">
        <v>473</v>
      </c>
      <c r="E21" s="374" t="s">
        <v>473</v>
      </c>
      <c r="F21" s="374" t="s">
        <v>926</v>
      </c>
      <c r="G21" s="486" t="s">
        <v>479</v>
      </c>
      <c r="H21" s="369" t="s">
        <v>925</v>
      </c>
      <c r="J21" s="376"/>
      <c r="K21" s="369" t="s">
        <v>703</v>
      </c>
    </row>
    <row r="22" spans="1:11" ht="14" thickBot="1">
      <c r="A22" s="370" t="str">
        <f t="shared" si="0"/>
        <v>Data SpecialistenN.v.t. bij data specialistenPW Consulting B.V.</v>
      </c>
      <c r="B22" s="374" t="s">
        <v>112</v>
      </c>
      <c r="C22" s="374" t="s">
        <v>115</v>
      </c>
      <c r="D22" s="374" t="s">
        <v>268</v>
      </c>
      <c r="E22" s="374" t="s">
        <v>268</v>
      </c>
      <c r="F22" s="374" t="s">
        <v>269</v>
      </c>
      <c r="G22" s="369" t="s">
        <v>269</v>
      </c>
      <c r="J22" s="376"/>
      <c r="K22" s="369" t="s">
        <v>704</v>
      </c>
    </row>
    <row r="23" spans="1:11" ht="15.5" thickBot="1">
      <c r="A23" s="367" t="s">
        <v>240</v>
      </c>
      <c r="B23" s="368" t="s">
        <v>208</v>
      </c>
      <c r="C23" s="368" t="s">
        <v>209</v>
      </c>
      <c r="D23" s="368" t="s">
        <v>270</v>
      </c>
      <c r="E23" s="368" t="s">
        <v>242</v>
      </c>
      <c r="F23" s="368" t="s">
        <v>243</v>
      </c>
      <c r="G23" s="368" t="s">
        <v>244</v>
      </c>
      <c r="H23" s="368" t="s">
        <v>245</v>
      </c>
      <c r="I23" s="368" t="s">
        <v>246</v>
      </c>
      <c r="J23" s="368" t="s">
        <v>247</v>
      </c>
    </row>
    <row r="24" spans="1:11" ht="14" thickBot="1">
      <c r="A24" s="370" t="s">
        <v>340</v>
      </c>
      <c r="B24" s="380" t="s">
        <v>147</v>
      </c>
      <c r="C24" s="374" t="s">
        <v>148</v>
      </c>
      <c r="D24" s="374" t="s">
        <v>271</v>
      </c>
      <c r="E24" s="374" t="s">
        <v>271</v>
      </c>
      <c r="F24" s="374" t="s">
        <v>272</v>
      </c>
      <c r="G24" s="372" t="s">
        <v>272</v>
      </c>
      <c r="H24" s="372"/>
      <c r="I24" s="372"/>
      <c r="J24" s="373"/>
      <c r="K24" s="369" t="s">
        <v>271</v>
      </c>
    </row>
    <row r="25" spans="1:11" ht="15.5" thickBot="1">
      <c r="A25" s="367" t="s">
        <v>240</v>
      </c>
      <c r="B25" s="368" t="s">
        <v>208</v>
      </c>
      <c r="C25" s="368" t="s">
        <v>209</v>
      </c>
      <c r="D25" s="368" t="s">
        <v>540</v>
      </c>
      <c r="E25" s="368" t="s">
        <v>242</v>
      </c>
      <c r="F25" s="368" t="s">
        <v>243</v>
      </c>
      <c r="G25" s="368" t="s">
        <v>244</v>
      </c>
      <c r="H25" s="368" t="s">
        <v>245</v>
      </c>
      <c r="I25" s="368" t="s">
        <v>246</v>
      </c>
      <c r="J25" s="368" t="s">
        <v>247</v>
      </c>
    </row>
    <row r="26" spans="1:11">
      <c r="A26" s="370" t="str">
        <f t="shared" ref="A26:A37" si="2">CONCATENATE(B26,C26,D26)</f>
        <v>FinancieringsexpertsN.v.t. bij FinancieringsexpertsBrunel Nederland</v>
      </c>
      <c r="B26" s="381" t="s">
        <v>533</v>
      </c>
      <c r="C26" s="374" t="s">
        <v>534</v>
      </c>
      <c r="D26" s="374" t="s">
        <v>541</v>
      </c>
      <c r="E26" s="374" t="s">
        <v>305</v>
      </c>
      <c r="F26" s="374" t="s">
        <v>550</v>
      </c>
      <c r="G26" s="378"/>
      <c r="H26" s="378"/>
      <c r="I26" s="378"/>
      <c r="J26" s="379"/>
      <c r="K26" s="369" t="s">
        <v>541</v>
      </c>
    </row>
    <row r="27" spans="1:11">
      <c r="A27" s="370" t="str">
        <f t="shared" si="2"/>
        <v>FinancieringsexpertsN.v.t. bij FinancieringsexpertsDPA Overheid</v>
      </c>
      <c r="B27" s="374" t="s">
        <v>533</v>
      </c>
      <c r="C27" s="374" t="s">
        <v>534</v>
      </c>
      <c r="D27" s="374" t="s">
        <v>542</v>
      </c>
      <c r="E27" s="374" t="s">
        <v>543</v>
      </c>
      <c r="F27" s="374" t="s">
        <v>953</v>
      </c>
      <c r="G27" s="369" t="s">
        <v>954</v>
      </c>
      <c r="J27" s="376"/>
      <c r="K27" s="369" t="s">
        <v>542</v>
      </c>
    </row>
    <row r="28" spans="1:11" ht="14" thickBot="1">
      <c r="A28" s="370" t="str">
        <f t="shared" si="2"/>
        <v>FinancieringsexpertsN.v.t. bij FinancieringsexpertsOrangeX</v>
      </c>
      <c r="B28" s="374" t="s">
        <v>533</v>
      </c>
      <c r="C28" s="374" t="s">
        <v>534</v>
      </c>
      <c r="D28" s="374" t="s">
        <v>544</v>
      </c>
      <c r="E28" s="374" t="s">
        <v>277</v>
      </c>
      <c r="F28" s="374" t="s">
        <v>551</v>
      </c>
      <c r="J28" s="376"/>
      <c r="K28" s="369" t="s">
        <v>544</v>
      </c>
    </row>
    <row r="29" spans="1:11">
      <c r="A29" s="370" t="str">
        <f t="shared" si="2"/>
        <v>FinancieringsexpertsN.v.t. bij FinancieringsexpertsTotality Recruiting Services</v>
      </c>
      <c r="B29" s="374" t="s">
        <v>533</v>
      </c>
      <c r="C29" s="374" t="s">
        <v>534</v>
      </c>
      <c r="D29" s="374" t="s">
        <v>545</v>
      </c>
      <c r="E29" s="374" t="s">
        <v>273</v>
      </c>
      <c r="F29" s="374" t="s">
        <v>552</v>
      </c>
      <c r="G29" s="372"/>
      <c r="H29" s="372"/>
      <c r="I29" s="372"/>
      <c r="J29" s="373"/>
      <c r="K29" s="369" t="s">
        <v>545</v>
      </c>
    </row>
    <row r="30" spans="1:11" ht="14" thickBot="1">
      <c r="A30" s="370" t="str">
        <f t="shared" si="2"/>
        <v>FinancieringsexpertsN.v.t. bij FinancieringsexpertsWelten Detachering</v>
      </c>
      <c r="B30" s="374" t="s">
        <v>533</v>
      </c>
      <c r="C30" s="374" t="s">
        <v>534</v>
      </c>
      <c r="D30" s="374" t="s">
        <v>546</v>
      </c>
      <c r="E30" s="374" t="s">
        <v>278</v>
      </c>
      <c r="F30" s="374" t="s">
        <v>553</v>
      </c>
      <c r="G30" s="374"/>
      <c r="H30" s="374"/>
      <c r="I30" s="374"/>
      <c r="J30" s="375"/>
      <c r="K30" s="369" t="s">
        <v>546</v>
      </c>
    </row>
    <row r="31" spans="1:11" ht="15">
      <c r="A31" s="367" t="s">
        <v>240</v>
      </c>
      <c r="B31" s="368" t="s">
        <v>208</v>
      </c>
      <c r="C31" s="368" t="s">
        <v>209</v>
      </c>
      <c r="D31" s="368" t="s">
        <v>788</v>
      </c>
      <c r="E31" s="368" t="s">
        <v>242</v>
      </c>
      <c r="F31" s="368" t="s">
        <v>243</v>
      </c>
      <c r="G31" s="368" t="s">
        <v>244</v>
      </c>
      <c r="H31" s="368" t="s">
        <v>245</v>
      </c>
      <c r="I31" s="368" t="s">
        <v>246</v>
      </c>
      <c r="J31" s="368" t="s">
        <v>247</v>
      </c>
    </row>
    <row r="32" spans="1:11">
      <c r="A32" s="370" t="str">
        <f t="shared" si="2"/>
        <v>Facilitair adviseurs RVON.v.t. bij facilitair adviseurs RVOActos</v>
      </c>
      <c r="B32" s="374" t="s">
        <v>784</v>
      </c>
      <c r="C32" s="374" t="s">
        <v>785</v>
      </c>
      <c r="D32" s="374" t="s">
        <v>744</v>
      </c>
      <c r="E32" s="374" t="s">
        <v>790</v>
      </c>
      <c r="F32" s="374" t="s">
        <v>793</v>
      </c>
      <c r="G32" s="374" t="s">
        <v>793</v>
      </c>
      <c r="H32" s="374"/>
      <c r="I32" s="374"/>
      <c r="J32" s="375"/>
      <c r="K32" s="369" t="s">
        <v>744</v>
      </c>
    </row>
    <row r="33" spans="1:11" ht="14" thickBot="1">
      <c r="A33" s="370" t="str">
        <f t="shared" si="2"/>
        <v>Facilitair adviseurs RVON.v.t. bij facilitair adviseurs RVOColliers</v>
      </c>
      <c r="B33" s="374" t="s">
        <v>784</v>
      </c>
      <c r="C33" s="374" t="s">
        <v>785</v>
      </c>
      <c r="D33" s="374" t="s">
        <v>705</v>
      </c>
      <c r="E33" s="374" t="s">
        <v>789</v>
      </c>
      <c r="F33" s="374" t="s">
        <v>791</v>
      </c>
      <c r="G33" s="374" t="s">
        <v>791</v>
      </c>
      <c r="H33" s="374"/>
      <c r="I33" s="374"/>
      <c r="J33" s="375"/>
      <c r="K33" s="369" t="s">
        <v>705</v>
      </c>
    </row>
    <row r="34" spans="1:11" ht="15.5" thickBot="1">
      <c r="A34" s="367" t="s">
        <v>240</v>
      </c>
      <c r="B34" s="368" t="s">
        <v>208</v>
      </c>
      <c r="C34" s="368" t="s">
        <v>209</v>
      </c>
      <c r="D34" s="368" t="s">
        <v>279</v>
      </c>
      <c r="E34" s="368" t="s">
        <v>242</v>
      </c>
      <c r="F34" s="368" t="s">
        <v>243</v>
      </c>
      <c r="G34" s="368" t="s">
        <v>244</v>
      </c>
      <c r="H34" s="368" t="s">
        <v>245</v>
      </c>
      <c r="I34" s="368" t="s">
        <v>246</v>
      </c>
      <c r="J34" s="368" t="s">
        <v>247</v>
      </c>
    </row>
    <row r="35" spans="1:11">
      <c r="A35" s="370" t="str">
        <f t="shared" si="2"/>
        <v>Facilitair adviseursN.v.t. bij facilitair adviseursColliers International Occupier Services B.V. </v>
      </c>
      <c r="B35" s="382" t="s">
        <v>506</v>
      </c>
      <c r="C35" s="374" t="s">
        <v>507</v>
      </c>
      <c r="D35" s="374" t="s">
        <v>497</v>
      </c>
      <c r="E35" s="374" t="s">
        <v>497</v>
      </c>
      <c r="F35" s="374" t="s">
        <v>499</v>
      </c>
      <c r="G35" s="378" t="s">
        <v>494</v>
      </c>
      <c r="H35" s="378"/>
      <c r="I35" s="378"/>
      <c r="J35" s="379"/>
      <c r="K35" s="369" t="s">
        <v>705</v>
      </c>
    </row>
    <row r="36" spans="1:11">
      <c r="A36" s="370" t="str">
        <f t="shared" si="2"/>
        <v>Facilitair adviseursN.v.t. bij facilitair adviseursHEYDAY Consultancy &amp; Detachering B.V.</v>
      </c>
      <c r="B36" s="374" t="s">
        <v>506</v>
      </c>
      <c r="C36" s="374" t="s">
        <v>507</v>
      </c>
      <c r="D36" s="374" t="s">
        <v>498</v>
      </c>
      <c r="E36" s="374" t="s">
        <v>498</v>
      </c>
      <c r="F36" s="374" t="s">
        <v>500</v>
      </c>
      <c r="G36" s="369" t="s">
        <v>495</v>
      </c>
      <c r="J36" s="376"/>
      <c r="K36" s="369" t="s">
        <v>706</v>
      </c>
    </row>
    <row r="37" spans="1:11" ht="14" thickBot="1">
      <c r="A37" s="370" t="str">
        <f t="shared" si="2"/>
        <v>Facilitair adviseursN.v.t. bij facilitair adviseursHospitality Interim B.V.</v>
      </c>
      <c r="B37" s="374" t="s">
        <v>506</v>
      </c>
      <c r="C37" s="374" t="s">
        <v>507</v>
      </c>
      <c r="D37" s="374" t="s">
        <v>280</v>
      </c>
      <c r="E37" s="374" t="s">
        <v>280</v>
      </c>
      <c r="F37" s="374" t="s">
        <v>501</v>
      </c>
      <c r="G37" s="369" t="s">
        <v>496</v>
      </c>
      <c r="J37" s="376"/>
      <c r="K37" s="369" t="s">
        <v>707</v>
      </c>
    </row>
    <row r="38" spans="1:11" ht="15.5" thickBot="1">
      <c r="A38" s="367" t="s">
        <v>240</v>
      </c>
      <c r="B38" s="368" t="s">
        <v>208</v>
      </c>
      <c r="C38" s="368" t="s">
        <v>209</v>
      </c>
      <c r="D38" s="368" t="s">
        <v>281</v>
      </c>
      <c r="E38" s="368" t="s">
        <v>242</v>
      </c>
      <c r="F38" s="368" t="s">
        <v>243</v>
      </c>
      <c r="G38" s="368" t="s">
        <v>244</v>
      </c>
      <c r="H38" s="368" t="s">
        <v>245</v>
      </c>
      <c r="I38" s="368" t="s">
        <v>246</v>
      </c>
      <c r="J38" s="368" t="s">
        <v>247</v>
      </c>
    </row>
    <row r="39" spans="1:11">
      <c r="A39" s="370" t="str">
        <f t="shared" ref="A39:A110" si="3">CONCATENATE(B39,C39,D39)</f>
        <v>Financiële AdviesdienstenP1 Administratie en processenDeloitte Consulting B.V. (P1)</v>
      </c>
      <c r="B39" s="383" t="s">
        <v>113</v>
      </c>
      <c r="C39" s="374" t="s">
        <v>411</v>
      </c>
      <c r="D39" s="374" t="s">
        <v>419</v>
      </c>
      <c r="E39" s="374" t="s">
        <v>296</v>
      </c>
      <c r="F39" s="374" t="s">
        <v>478</v>
      </c>
      <c r="G39" s="374" t="s">
        <v>478</v>
      </c>
      <c r="H39" s="374"/>
      <c r="I39" s="372"/>
      <c r="J39" s="373"/>
      <c r="K39" s="369" t="s">
        <v>675</v>
      </c>
    </row>
    <row r="40" spans="1:11">
      <c r="A40" s="370" t="str">
        <f t="shared" si="3"/>
        <v>Financiële AdviesdienstenP1 Administratie en processenEY Advisory Netherlands LLP (P1)</v>
      </c>
      <c r="B40" s="374" t="s">
        <v>113</v>
      </c>
      <c r="C40" s="374" t="s">
        <v>411</v>
      </c>
      <c r="D40" s="374" t="s">
        <v>462</v>
      </c>
      <c r="E40" s="374" t="s">
        <v>461</v>
      </c>
      <c r="F40" s="374" t="s">
        <v>285</v>
      </c>
      <c r="G40" s="374" t="s">
        <v>285</v>
      </c>
      <c r="H40" s="374"/>
      <c r="I40" s="374"/>
      <c r="J40" s="375"/>
      <c r="K40" s="369" t="s">
        <v>678</v>
      </c>
    </row>
    <row r="41" spans="1:11">
      <c r="A41" s="370" t="str">
        <f t="shared" si="3"/>
        <v>Financiële AdviesdienstenP1 Administratie en processenProfource B.V. (P1)</v>
      </c>
      <c r="B41" s="374" t="s">
        <v>113</v>
      </c>
      <c r="C41" s="374" t="s">
        <v>411</v>
      </c>
      <c r="D41" s="374" t="s">
        <v>420</v>
      </c>
      <c r="E41" s="374" t="s">
        <v>283</v>
      </c>
      <c r="F41" s="374" t="s">
        <v>284</v>
      </c>
      <c r="G41" s="374" t="s">
        <v>284</v>
      </c>
      <c r="H41" s="374"/>
      <c r="I41" s="374"/>
      <c r="J41" s="375"/>
      <c r="K41" s="369" t="s">
        <v>679</v>
      </c>
    </row>
    <row r="42" spans="1:11">
      <c r="A42" s="370" t="str">
        <f t="shared" si="3"/>
        <v>Financiële AdviesdienstenP1 Administratie en processenUSG Professionals(P1)</v>
      </c>
      <c r="B42" s="374" t="s">
        <v>113</v>
      </c>
      <c r="C42" s="374" t="s">
        <v>411</v>
      </c>
      <c r="D42" s="374" t="s">
        <v>508</v>
      </c>
      <c r="E42" s="374" t="s">
        <v>486</v>
      </c>
      <c r="F42" s="374" t="s">
        <v>430</v>
      </c>
      <c r="G42" s="374" t="s">
        <v>430</v>
      </c>
      <c r="H42" s="374"/>
      <c r="I42" s="374"/>
      <c r="J42" s="375"/>
      <c r="K42" s="369" t="s">
        <v>680</v>
      </c>
    </row>
    <row r="43" spans="1:11">
      <c r="A43" s="370" t="str">
        <f t="shared" si="3"/>
        <v>Financiële AdviesdienstenP1 Administratie en processenYacht B.V. (P1)</v>
      </c>
      <c r="B43" s="374" t="s">
        <v>113</v>
      </c>
      <c r="C43" s="374" t="s">
        <v>411</v>
      </c>
      <c r="D43" s="374" t="s">
        <v>421</v>
      </c>
      <c r="E43" s="374" t="s">
        <v>275</v>
      </c>
      <c r="F43" s="374" t="s">
        <v>431</v>
      </c>
      <c r="G43" s="374" t="s">
        <v>431</v>
      </c>
      <c r="H43" s="374"/>
      <c r="I43" s="374"/>
      <c r="J43" s="375"/>
      <c r="K43" s="369" t="s">
        <v>681</v>
      </c>
    </row>
    <row r="44" spans="1:11">
      <c r="A44" s="370" t="str">
        <f t="shared" si="3"/>
        <v>Financiële AdviesdienstenP2 Beheer beleid planning en controlDeloitte Consulting B.V. (P2)</v>
      </c>
      <c r="B44" s="374" t="s">
        <v>113</v>
      </c>
      <c r="C44" s="374" t="s">
        <v>415</v>
      </c>
      <c r="D44" s="374" t="s">
        <v>422</v>
      </c>
      <c r="E44" s="374" t="s">
        <v>296</v>
      </c>
      <c r="F44" s="374" t="s">
        <v>478</v>
      </c>
      <c r="G44" s="374" t="s">
        <v>478</v>
      </c>
      <c r="H44" s="374"/>
      <c r="J44" s="376"/>
      <c r="K44" s="369" t="s">
        <v>682</v>
      </c>
    </row>
    <row r="45" spans="1:11">
      <c r="A45" s="370" t="str">
        <f t="shared" si="3"/>
        <v>Financiële AdviesdienstenP2 Beheer beleid planning en controlEY Advisory Netherlands LLP (P2)</v>
      </c>
      <c r="B45" s="374" t="s">
        <v>113</v>
      </c>
      <c r="C45" s="374" t="s">
        <v>415</v>
      </c>
      <c r="D45" s="374" t="s">
        <v>463</v>
      </c>
      <c r="E45" s="374" t="s">
        <v>461</v>
      </c>
      <c r="F45" s="374" t="s">
        <v>285</v>
      </c>
      <c r="G45" s="374" t="s">
        <v>285</v>
      </c>
      <c r="H45" s="374"/>
      <c r="J45" s="376"/>
      <c r="K45" s="369" t="s">
        <v>683</v>
      </c>
    </row>
    <row r="46" spans="1:11">
      <c r="A46" s="370" t="str">
        <f t="shared" si="3"/>
        <v>Financiële AdviesdienstenP2 Beheer beleid planning en controlProfource B.V. (P2)</v>
      </c>
      <c r="B46" s="374" t="s">
        <v>113</v>
      </c>
      <c r="C46" s="374" t="s">
        <v>415</v>
      </c>
      <c r="D46" s="374" t="s">
        <v>423</v>
      </c>
      <c r="E46" s="374" t="s">
        <v>283</v>
      </c>
      <c r="F46" s="374" t="s">
        <v>284</v>
      </c>
      <c r="G46" s="374" t="s">
        <v>284</v>
      </c>
      <c r="H46" s="374"/>
      <c r="J46" s="376"/>
      <c r="K46" s="369" t="s">
        <v>684</v>
      </c>
    </row>
    <row r="47" spans="1:11">
      <c r="A47" s="370" t="str">
        <f t="shared" si="3"/>
        <v>Financiële AdviesdienstenP2 Beheer beleid planning en controlJS Consultancy detachering B.V. (P2)</v>
      </c>
      <c r="B47" s="374" t="s">
        <v>113</v>
      </c>
      <c r="C47" s="374" t="s">
        <v>415</v>
      </c>
      <c r="D47" s="374" t="s">
        <v>424</v>
      </c>
      <c r="E47" s="374" t="s">
        <v>416</v>
      </c>
      <c r="F47" s="374" t="s">
        <v>833</v>
      </c>
      <c r="G47" s="374" t="s">
        <v>833</v>
      </c>
      <c r="H47" s="374"/>
      <c r="J47" s="376"/>
      <c r="K47" s="369" t="s">
        <v>677</v>
      </c>
    </row>
    <row r="48" spans="1:11" ht="14" thickBot="1">
      <c r="A48" s="370" t="str">
        <f t="shared" si="3"/>
        <v>Financiële AdviesdienstenP2 Beheer beleid planning en controlYacht B.V. (P2)</v>
      </c>
      <c r="B48" s="374" t="s">
        <v>113</v>
      </c>
      <c r="C48" s="374" t="s">
        <v>415</v>
      </c>
      <c r="D48" s="374" t="s">
        <v>425</v>
      </c>
      <c r="E48" s="374" t="s">
        <v>275</v>
      </c>
      <c r="F48" s="374" t="s">
        <v>431</v>
      </c>
      <c r="G48" s="374" t="s">
        <v>431</v>
      </c>
      <c r="H48" s="374"/>
      <c r="J48" s="376"/>
      <c r="K48" s="369" t="s">
        <v>685</v>
      </c>
    </row>
    <row r="49" spans="1:11">
      <c r="A49" s="370" t="str">
        <f t="shared" si="3"/>
        <v>Financiële AdviesdienstenP3 SubsidieondersteuningEiffel B.V. (P3)</v>
      </c>
      <c r="B49" s="374" t="s">
        <v>113</v>
      </c>
      <c r="C49" s="374" t="s">
        <v>412</v>
      </c>
      <c r="D49" s="374" t="s">
        <v>1200</v>
      </c>
      <c r="E49" s="374" t="s">
        <v>282</v>
      </c>
      <c r="F49" s="374" t="s">
        <v>1199</v>
      </c>
      <c r="G49" s="374" t="s">
        <v>1199</v>
      </c>
      <c r="H49" s="374"/>
      <c r="I49" s="372"/>
      <c r="J49" s="373"/>
      <c r="K49" s="369" t="s">
        <v>686</v>
      </c>
    </row>
    <row r="50" spans="1:11">
      <c r="A50" s="370" t="str">
        <f t="shared" si="3"/>
        <v>Financiële AdviesdienstenP3 SubsidieondersteuningEY Advisory Netherlands LLP (P3)</v>
      </c>
      <c r="B50" s="374" t="s">
        <v>113</v>
      </c>
      <c r="C50" s="374" t="s">
        <v>412</v>
      </c>
      <c r="D50" s="374" t="s">
        <v>464</v>
      </c>
      <c r="E50" s="374" t="s">
        <v>461</v>
      </c>
      <c r="F50" s="374" t="s">
        <v>285</v>
      </c>
      <c r="G50" s="374" t="s">
        <v>285</v>
      </c>
      <c r="H50" s="374"/>
      <c r="I50" s="374"/>
      <c r="J50" s="375"/>
      <c r="K50" s="369" t="s">
        <v>687</v>
      </c>
    </row>
    <row r="51" spans="1:11">
      <c r="A51" s="370" t="str">
        <f t="shared" si="3"/>
        <v>Financiële AdviesdienstenP3 SubsidieondersteuningImproven B.V. (P3)</v>
      </c>
      <c r="B51" s="374" t="s">
        <v>113</v>
      </c>
      <c r="C51" s="374" t="s">
        <v>412</v>
      </c>
      <c r="D51" s="374" t="s">
        <v>426</v>
      </c>
      <c r="E51" s="374" t="s">
        <v>264</v>
      </c>
      <c r="F51" s="374" t="s">
        <v>432</v>
      </c>
      <c r="G51" s="374" t="s">
        <v>432</v>
      </c>
      <c r="H51" s="374"/>
      <c r="I51" s="374"/>
      <c r="J51" s="375"/>
      <c r="K51" s="369" t="s">
        <v>688</v>
      </c>
    </row>
    <row r="52" spans="1:11">
      <c r="A52" s="370" t="str">
        <f t="shared" si="3"/>
        <v>Financiële AdviesdienstenP3 SubsidieondersteuningProfource B.V. (P3)</v>
      </c>
      <c r="B52" s="374" t="s">
        <v>113</v>
      </c>
      <c r="C52" s="374" t="s">
        <v>412</v>
      </c>
      <c r="D52" s="374" t="s">
        <v>427</v>
      </c>
      <c r="E52" s="374" t="s">
        <v>283</v>
      </c>
      <c r="F52" s="374" t="s">
        <v>284</v>
      </c>
      <c r="G52" s="374" t="s">
        <v>284</v>
      </c>
      <c r="H52" s="374"/>
      <c r="I52" s="374"/>
      <c r="J52" s="375"/>
      <c r="K52" s="369" t="s">
        <v>689</v>
      </c>
    </row>
    <row r="53" spans="1:11">
      <c r="A53" s="370" t="str">
        <f t="shared" si="3"/>
        <v>Financiële AdviesdienstenP3 SubsidieondersteuningVanberkel Professionals B.V. (P3)</v>
      </c>
      <c r="B53" s="374" t="s">
        <v>113</v>
      </c>
      <c r="C53" s="374" t="s">
        <v>412</v>
      </c>
      <c r="D53" s="374" t="s">
        <v>428</v>
      </c>
      <c r="E53" s="374" t="s">
        <v>417</v>
      </c>
      <c r="F53" s="374" t="s">
        <v>261</v>
      </c>
      <c r="G53" s="374" t="s">
        <v>261</v>
      </c>
      <c r="H53" s="374"/>
      <c r="I53" s="374"/>
      <c r="J53" s="375"/>
      <c r="K53" s="369" t="s">
        <v>690</v>
      </c>
    </row>
    <row r="54" spans="1:11">
      <c r="A54" s="370" t="str">
        <f t="shared" si="3"/>
        <v>Financiële AdviesdienstenP3 SubsidieondersteuningBrunel Nederland B.V. (P3)</v>
      </c>
      <c r="B54" s="374" t="s">
        <v>113</v>
      </c>
      <c r="C54" s="374" t="s">
        <v>412</v>
      </c>
      <c r="D54" s="374" t="s">
        <v>1201</v>
      </c>
      <c r="E54" s="374" t="s">
        <v>305</v>
      </c>
      <c r="F54" s="374" t="s">
        <v>550</v>
      </c>
      <c r="G54" s="374" t="s">
        <v>550</v>
      </c>
      <c r="H54" s="374"/>
      <c r="I54" s="374"/>
      <c r="J54" s="375"/>
      <c r="K54" s="369" t="s">
        <v>1202</v>
      </c>
    </row>
    <row r="55" spans="1:11">
      <c r="A55" s="370" t="str">
        <f t="shared" si="3"/>
        <v>Financiële AdviesdienstenP3 SubsidieondersteuningYacht B.V. (P3)</v>
      </c>
      <c r="B55" s="374" t="s">
        <v>113</v>
      </c>
      <c r="C55" s="374" t="s">
        <v>412</v>
      </c>
      <c r="D55" s="374" t="s">
        <v>1242</v>
      </c>
      <c r="E55" s="374" t="s">
        <v>275</v>
      </c>
      <c r="F55" s="374" t="s">
        <v>431</v>
      </c>
      <c r="G55" s="374" t="s">
        <v>431</v>
      </c>
      <c r="H55" s="374"/>
      <c r="I55" s="374"/>
      <c r="J55" s="375"/>
    </row>
    <row r="56" spans="1:11">
      <c r="A56" s="370" t="str">
        <f t="shared" si="3"/>
        <v>Financiële AdviesdienstenP4 Financiële adviesdiensten fiscaalBDO Accountancy, Tax &amp; Legal B.V.  (P4)</v>
      </c>
      <c r="B56" s="374" t="s">
        <v>113</v>
      </c>
      <c r="C56" s="374" t="s">
        <v>414</v>
      </c>
      <c r="D56" s="374" t="s">
        <v>1208</v>
      </c>
      <c r="E56" s="374" t="s">
        <v>1209</v>
      </c>
      <c r="F56" s="374" t="s">
        <v>251</v>
      </c>
      <c r="G56" s="374" t="s">
        <v>251</v>
      </c>
      <c r="H56" s="374"/>
      <c r="J56" s="376"/>
      <c r="K56" s="369" t="s">
        <v>691</v>
      </c>
    </row>
    <row r="57" spans="1:11">
      <c r="A57" s="370" t="str">
        <f t="shared" si="3"/>
        <v>Financiële AdviesdienstenP4 Financiële adviesdiensten fiscaalDeloitte Tax &amp; Legal B.V. (P4)</v>
      </c>
      <c r="B57" s="374" t="s">
        <v>113</v>
      </c>
      <c r="C57" s="374" t="s">
        <v>414</v>
      </c>
      <c r="D57" s="374" t="s">
        <v>1205</v>
      </c>
      <c r="E57" s="374" t="s">
        <v>1206</v>
      </c>
      <c r="F57" s="374" t="s">
        <v>1207</v>
      </c>
      <c r="G57" s="374" t="s">
        <v>1207</v>
      </c>
      <c r="H57" s="374"/>
      <c r="J57" s="376"/>
      <c r="K57" s="369" t="s">
        <v>692</v>
      </c>
    </row>
    <row r="58" spans="1:11">
      <c r="A58" s="370" t="str">
        <f t="shared" ref="A58" si="4">CONCATENATE(B58,C58,D58)</f>
        <v>Financiële AdviesdienstenP4 Financiële adviesdiensten fiscaalEY Belastingadviseurs B.V. (P4)</v>
      </c>
      <c r="B58" s="374" t="s">
        <v>113</v>
      </c>
      <c r="C58" s="374" t="s">
        <v>414</v>
      </c>
      <c r="D58" s="374" t="s">
        <v>1204</v>
      </c>
      <c r="E58" s="374" t="s">
        <v>1203</v>
      </c>
      <c r="F58" s="374" t="s">
        <v>285</v>
      </c>
      <c r="G58" s="374" t="s">
        <v>285</v>
      </c>
      <c r="H58" s="374"/>
      <c r="J58" s="376"/>
      <c r="K58" s="369" t="s">
        <v>693</v>
      </c>
    </row>
    <row r="59" spans="1:11">
      <c r="A59" s="370" t="str">
        <f t="shared" si="3"/>
        <v>Financiële AdviesdienstenP4 Financiële adviesdiensten fiscaalPricewaterhousecoopers Belastingsadviseurs N.V. (P4)</v>
      </c>
      <c r="B59" s="374" t="s">
        <v>113</v>
      </c>
      <c r="C59" s="374" t="s">
        <v>414</v>
      </c>
      <c r="D59" s="374" t="s">
        <v>429</v>
      </c>
      <c r="E59" s="374" t="s">
        <v>418</v>
      </c>
      <c r="F59" s="374" t="s">
        <v>1212</v>
      </c>
      <c r="G59" s="374" t="s">
        <v>1210</v>
      </c>
      <c r="H59" s="374"/>
      <c r="J59" s="376"/>
      <c r="K59" s="369" t="s">
        <v>694</v>
      </c>
    </row>
    <row r="60" spans="1:11" ht="14" thickBot="1">
      <c r="A60" s="370" t="str">
        <f t="shared" si="3"/>
        <v>Financiële AdviesdienstenP4 Financiële adviesdiensten fiscaalBaker Tilly (Netherlands) N.V.(P4)</v>
      </c>
      <c r="B60" s="374" t="s">
        <v>113</v>
      </c>
      <c r="C60" s="374" t="s">
        <v>414</v>
      </c>
      <c r="D60" s="374" t="s">
        <v>1243</v>
      </c>
      <c r="E60" s="374" t="s">
        <v>927</v>
      </c>
      <c r="F60" s="374" t="s">
        <v>1213</v>
      </c>
      <c r="G60" s="374" t="s">
        <v>1213</v>
      </c>
      <c r="H60" s="374"/>
      <c r="J60" s="376"/>
      <c r="K60" s="369" t="s">
        <v>1211</v>
      </c>
    </row>
    <row r="61" spans="1:11" ht="15.5" thickBot="1">
      <c r="A61" s="367" t="s">
        <v>240</v>
      </c>
      <c r="B61" s="368" t="s">
        <v>208</v>
      </c>
      <c r="C61" s="368" t="s">
        <v>209</v>
      </c>
      <c r="D61" s="368" t="s">
        <v>289</v>
      </c>
      <c r="E61" s="368" t="s">
        <v>242</v>
      </c>
      <c r="F61" s="368" t="s">
        <v>243</v>
      </c>
      <c r="G61" s="368" t="s">
        <v>244</v>
      </c>
      <c r="H61" s="368" t="s">
        <v>245</v>
      </c>
      <c r="I61" s="368" t="s">
        <v>246</v>
      </c>
      <c r="J61" s="368" t="s">
        <v>247</v>
      </c>
    </row>
    <row r="62" spans="1:11">
      <c r="A62" s="370" t="str">
        <f t="shared" si="3"/>
        <v>InkoopadviesdienstenP1 InkoopdienstenActos (perc. 1)</v>
      </c>
      <c r="B62" s="384" t="s">
        <v>90</v>
      </c>
      <c r="C62" s="374" t="s">
        <v>741</v>
      </c>
      <c r="D62" s="374" t="s">
        <v>756</v>
      </c>
      <c r="E62" s="374" t="s">
        <v>744</v>
      </c>
      <c r="F62" s="374" t="s">
        <v>745</v>
      </c>
      <c r="G62" s="374" t="s">
        <v>745</v>
      </c>
      <c r="H62" s="372"/>
      <c r="I62" s="372"/>
      <c r="J62" s="372"/>
      <c r="K62" s="519" t="s">
        <v>756</v>
      </c>
    </row>
    <row r="63" spans="1:11">
      <c r="A63" s="370" t="str">
        <f t="shared" si="3"/>
        <v>InkoopadviesdienstenP1 InkoopdienstenAeves B.V. (perc. 1)</v>
      </c>
      <c r="B63" s="374" t="s">
        <v>90</v>
      </c>
      <c r="C63" s="374" t="s">
        <v>741</v>
      </c>
      <c r="D63" s="374" t="s">
        <v>290</v>
      </c>
      <c r="E63" s="374" t="s">
        <v>291</v>
      </c>
      <c r="F63" s="374" t="s">
        <v>750</v>
      </c>
      <c r="G63" s="374" t="s">
        <v>750</v>
      </c>
      <c r="H63" s="374"/>
      <c r="I63" s="374"/>
      <c r="J63" s="374"/>
      <c r="K63" s="519" t="s">
        <v>290</v>
      </c>
    </row>
    <row r="64" spans="1:11">
      <c r="A64" s="370" t="str">
        <f t="shared" si="3"/>
        <v>InkoopadviesdienstenP1 InkoopdienstenDPA (perc. 1)</v>
      </c>
      <c r="B64" s="374" t="s">
        <v>90</v>
      </c>
      <c r="C64" s="374" t="s">
        <v>741</v>
      </c>
      <c r="D64" s="374" t="s">
        <v>757</v>
      </c>
      <c r="E64" s="374" t="s">
        <v>322</v>
      </c>
      <c r="F64" s="374" t="s">
        <v>780</v>
      </c>
      <c r="G64" s="374" t="s">
        <v>751</v>
      </c>
      <c r="H64" s="374" t="s">
        <v>778</v>
      </c>
      <c r="I64" s="374"/>
      <c r="J64" s="374"/>
      <c r="K64" s="519" t="s">
        <v>757</v>
      </c>
    </row>
    <row r="65" spans="1:11">
      <c r="A65" s="370" t="str">
        <f t="shared" si="3"/>
        <v>InkoopadviesdienstenP1 InkoopdienstenGoedemensen (perc. 1)</v>
      </c>
      <c r="B65" s="374" t="s">
        <v>90</v>
      </c>
      <c r="C65" s="374" t="s">
        <v>741</v>
      </c>
      <c r="D65" s="374" t="s">
        <v>762</v>
      </c>
      <c r="E65" s="374" t="s">
        <v>746</v>
      </c>
      <c r="F65" s="374" t="s">
        <v>781</v>
      </c>
      <c r="G65" s="374" t="s">
        <v>752</v>
      </c>
      <c r="H65" s="374" t="s">
        <v>779</v>
      </c>
      <c r="K65" s="519" t="s">
        <v>762</v>
      </c>
    </row>
    <row r="66" spans="1:11">
      <c r="A66" s="370" t="str">
        <f t="shared" si="3"/>
        <v>InkoopadviesdienstenP1 InkoopdienstenPro 10 (perc. 1)</v>
      </c>
      <c r="B66" s="374" t="s">
        <v>90</v>
      </c>
      <c r="C66" s="374" t="s">
        <v>741</v>
      </c>
      <c r="D66" s="374" t="s">
        <v>758</v>
      </c>
      <c r="E66" s="374" t="s">
        <v>747</v>
      </c>
      <c r="F66" s="374" t="s">
        <v>753</v>
      </c>
      <c r="G66" s="374" t="s">
        <v>753</v>
      </c>
      <c r="H66" s="374"/>
      <c r="K66" s="519" t="s">
        <v>758</v>
      </c>
    </row>
    <row r="67" spans="1:11">
      <c r="A67" s="370" t="str">
        <f t="shared" si="3"/>
        <v>InkoopadviesdienstenP1 InkoopdienstenSupply Value (perc. 1)</v>
      </c>
      <c r="B67" s="374" t="s">
        <v>90</v>
      </c>
      <c r="C67" s="374" t="s">
        <v>741</v>
      </c>
      <c r="D67" s="374" t="s">
        <v>759</v>
      </c>
      <c r="E67" s="374" t="s">
        <v>748</v>
      </c>
      <c r="F67" s="374" t="s">
        <v>293</v>
      </c>
      <c r="G67" s="374" t="s">
        <v>293</v>
      </c>
      <c r="H67" s="374"/>
      <c r="K67" s="519" t="s">
        <v>759</v>
      </c>
    </row>
    <row r="68" spans="1:11" ht="14" thickBot="1">
      <c r="A68" s="370" t="str">
        <f t="shared" si="3"/>
        <v>InkoopadviesdienstenP1 InkoopdienstenYacht B.V. (perc. 1)</v>
      </c>
      <c r="B68" s="374" t="s">
        <v>90</v>
      </c>
      <c r="C68" s="374" t="s">
        <v>741</v>
      </c>
      <c r="D68" s="374" t="s">
        <v>274</v>
      </c>
      <c r="E68" s="374" t="s">
        <v>275</v>
      </c>
      <c r="F68" s="374" t="s">
        <v>754</v>
      </c>
      <c r="G68" s="374" t="s">
        <v>754</v>
      </c>
      <c r="H68" s="374"/>
      <c r="K68" s="519" t="s">
        <v>274</v>
      </c>
    </row>
    <row r="69" spans="1:11">
      <c r="A69" s="370" t="str">
        <f t="shared" si="3"/>
        <v>InkoopadviesdienstenP3 Contract en leveranciersmanagementActos (perc. 3)</v>
      </c>
      <c r="B69" s="374" t="s">
        <v>90</v>
      </c>
      <c r="C69" s="374" t="s">
        <v>743</v>
      </c>
      <c r="D69" s="374" t="s">
        <v>760</v>
      </c>
      <c r="E69" s="374" t="s">
        <v>744</v>
      </c>
      <c r="F69" s="374" t="s">
        <v>745</v>
      </c>
      <c r="G69" s="374" t="s">
        <v>745</v>
      </c>
      <c r="H69" s="372"/>
      <c r="I69" s="372"/>
      <c r="J69" s="372"/>
      <c r="K69" s="519" t="s">
        <v>760</v>
      </c>
    </row>
    <row r="70" spans="1:11">
      <c r="A70" s="370" t="str">
        <f t="shared" ref="A70" si="5">CONCATENATE(B70,C70,D70)</f>
        <v>InkoopadviesdienstenP3 Contract en leveranciersmanagementAeves B.V. (perc. 3)</v>
      </c>
      <c r="B70" s="374" t="s">
        <v>90</v>
      </c>
      <c r="C70" s="374" t="s">
        <v>743</v>
      </c>
      <c r="D70" s="374" t="s">
        <v>302</v>
      </c>
      <c r="E70" s="374" t="s">
        <v>291</v>
      </c>
      <c r="F70" s="374" t="s">
        <v>750</v>
      </c>
      <c r="G70" s="374" t="s">
        <v>750</v>
      </c>
      <c r="H70" s="374"/>
      <c r="I70" s="374"/>
      <c r="J70" s="374"/>
      <c r="K70" s="519" t="s">
        <v>302</v>
      </c>
    </row>
    <row r="71" spans="1:11">
      <c r="A71" s="370" t="str">
        <f t="shared" si="3"/>
        <v>InkoopadviesdienstenP3 Contract en leveranciersmanagementSignificant (perc. 3)</v>
      </c>
      <c r="B71" s="374" t="s">
        <v>90</v>
      </c>
      <c r="C71" s="374" t="s">
        <v>743</v>
      </c>
      <c r="D71" s="374" t="s">
        <v>763</v>
      </c>
      <c r="E71" s="374" t="s">
        <v>749</v>
      </c>
      <c r="F71" s="374" t="s">
        <v>755</v>
      </c>
      <c r="G71" s="374" t="s">
        <v>755</v>
      </c>
      <c r="H71" s="374"/>
      <c r="I71" s="374"/>
      <c r="J71" s="374"/>
      <c r="K71" s="519" t="s">
        <v>763</v>
      </c>
    </row>
    <row r="72" spans="1:11" ht="14" thickBot="1">
      <c r="A72" s="370" t="str">
        <f t="shared" si="3"/>
        <v>InkoopadviesdienstenP3 Contract en leveranciersmanagementSupply Value (perc. 3)</v>
      </c>
      <c r="B72" s="374" t="s">
        <v>90</v>
      </c>
      <c r="C72" s="374" t="s">
        <v>743</v>
      </c>
      <c r="D72" s="374" t="s">
        <v>761</v>
      </c>
      <c r="E72" s="374" t="s">
        <v>748</v>
      </c>
      <c r="F72" s="374" t="s">
        <v>293</v>
      </c>
      <c r="G72" s="374" t="s">
        <v>293</v>
      </c>
      <c r="H72" s="374"/>
      <c r="I72" s="374"/>
      <c r="J72" s="374"/>
      <c r="K72" s="519" t="s">
        <v>761</v>
      </c>
    </row>
    <row r="73" spans="1:11" ht="15.5" thickBot="1">
      <c r="A73" s="367" t="s">
        <v>240</v>
      </c>
      <c r="B73" s="368" t="s">
        <v>208</v>
      </c>
      <c r="C73" s="368" t="s">
        <v>209</v>
      </c>
      <c r="D73" s="368" t="s">
        <v>294</v>
      </c>
      <c r="E73" s="368" t="s">
        <v>242</v>
      </c>
      <c r="F73" s="368" t="s">
        <v>243</v>
      </c>
      <c r="G73" s="368" t="s">
        <v>244</v>
      </c>
      <c r="H73" s="368" t="s">
        <v>245</v>
      </c>
      <c r="I73" s="368" t="s">
        <v>246</v>
      </c>
      <c r="J73" s="368" t="s">
        <v>247</v>
      </c>
    </row>
    <row r="74" spans="1:11">
      <c r="A74" s="370" t="str">
        <f t="shared" si="3"/>
        <v>Interim Management TussenovereenkomstP1 Strategisch Interim ManagementBerenschot Groep B.V. (perc. 1)</v>
      </c>
      <c r="B74" s="385" t="s">
        <v>959</v>
      </c>
      <c r="C74" s="374" t="s">
        <v>971</v>
      </c>
      <c r="D74" s="374" t="s">
        <v>993</v>
      </c>
      <c r="E74" s="374" t="s">
        <v>298</v>
      </c>
      <c r="F74" s="378" t="s">
        <v>1004</v>
      </c>
      <c r="G74" s="378" t="s">
        <v>973</v>
      </c>
      <c r="I74" s="378"/>
      <c r="J74" s="379"/>
      <c r="K74" s="374" t="s">
        <v>1011</v>
      </c>
    </row>
    <row r="75" spans="1:11">
      <c r="A75" s="370" t="str">
        <f t="shared" si="3"/>
        <v>Interim Management TussenovereenkomstP1 Strategisch Interim ManagementBMC Implementatie B.V. (perc. 1)</v>
      </c>
      <c r="B75" s="374" t="s">
        <v>959</v>
      </c>
      <c r="C75" s="374" t="s">
        <v>971</v>
      </c>
      <c r="D75" s="374" t="s">
        <v>994</v>
      </c>
      <c r="E75" s="374" t="s">
        <v>288</v>
      </c>
      <c r="F75" s="374" t="s">
        <v>1005</v>
      </c>
      <c r="G75" s="374" t="s">
        <v>974</v>
      </c>
      <c r="J75" s="376"/>
      <c r="K75" s="374" t="s">
        <v>1012</v>
      </c>
    </row>
    <row r="76" spans="1:11">
      <c r="A76" s="370" t="str">
        <f t="shared" si="3"/>
        <v>Interim Management TussenovereenkomstP1 Strategisch Interim ManagementBoer &amp; Croon Executive Management B.V. (perc. 1)</v>
      </c>
      <c r="B76" s="374" t="s">
        <v>959</v>
      </c>
      <c r="C76" s="374" t="s">
        <v>971</v>
      </c>
      <c r="D76" s="374" t="s">
        <v>995</v>
      </c>
      <c r="E76" s="374" t="s">
        <v>975</v>
      </c>
      <c r="F76" s="374" t="s">
        <v>1006</v>
      </c>
      <c r="G76" s="374" t="s">
        <v>976</v>
      </c>
      <c r="J76" s="376"/>
      <c r="K76" s="374" t="s">
        <v>1013</v>
      </c>
    </row>
    <row r="77" spans="1:11">
      <c r="A77" s="370" t="str">
        <f t="shared" si="3"/>
        <v>Interim Management TussenovereenkomstP1 Strategisch Interim ManagementDeloitte Consulting B.V. (perc. 1)</v>
      </c>
      <c r="B77" s="374" t="s">
        <v>959</v>
      </c>
      <c r="C77" s="374" t="s">
        <v>971</v>
      </c>
      <c r="D77" s="374" t="s">
        <v>295</v>
      </c>
      <c r="E77" s="374" t="s">
        <v>296</v>
      </c>
      <c r="F77" s="374" t="s">
        <v>297</v>
      </c>
      <c r="G77" s="374" t="s">
        <v>977</v>
      </c>
      <c r="J77" s="376"/>
      <c r="K77" s="374" t="s">
        <v>1014</v>
      </c>
    </row>
    <row r="78" spans="1:11">
      <c r="A78" s="370" t="str">
        <f t="shared" si="3"/>
        <v>Interim Management TussenovereenkomstP1 Strategisch Interim ManagementEY Advisory Netherlands LLP (perc. 1)</v>
      </c>
      <c r="B78" s="374" t="s">
        <v>959</v>
      </c>
      <c r="C78" s="374" t="s">
        <v>971</v>
      </c>
      <c r="D78" s="374" t="s">
        <v>996</v>
      </c>
      <c r="E78" s="374" t="s">
        <v>461</v>
      </c>
      <c r="F78" s="374" t="s">
        <v>1007</v>
      </c>
      <c r="G78" s="374" t="s">
        <v>978</v>
      </c>
      <c r="J78" s="376"/>
      <c r="K78" s="374" t="s">
        <v>1051</v>
      </c>
    </row>
    <row r="79" spans="1:11">
      <c r="A79" s="370" t="str">
        <f t="shared" si="3"/>
        <v>Interim Management TussenovereenkomstP1 Strategisch Interim ManagementGalan Groep B.V. (perc. 1)</v>
      </c>
      <c r="B79" s="374" t="s">
        <v>959</v>
      </c>
      <c r="C79" s="374" t="s">
        <v>971</v>
      </c>
      <c r="D79" s="374" t="s">
        <v>997</v>
      </c>
      <c r="E79" s="374" t="s">
        <v>979</v>
      </c>
      <c r="F79" s="374" t="s">
        <v>1008</v>
      </c>
      <c r="G79" s="374" t="s">
        <v>980</v>
      </c>
      <c r="J79" s="376"/>
      <c r="K79" s="374" t="s">
        <v>1015</v>
      </c>
    </row>
    <row r="80" spans="1:11">
      <c r="A80" s="370" t="str">
        <f t="shared" si="3"/>
        <v>Interim Management TussenovereenkomstP1 Strategisch Interim ManagementItaQ B.V. (perc. 1)</v>
      </c>
      <c r="B80" s="374" t="s">
        <v>959</v>
      </c>
      <c r="C80" s="374" t="s">
        <v>971</v>
      </c>
      <c r="D80" s="374" t="s">
        <v>998</v>
      </c>
      <c r="E80" s="374" t="s">
        <v>300</v>
      </c>
      <c r="F80" s="374" t="s">
        <v>301</v>
      </c>
      <c r="G80" s="374" t="s">
        <v>981</v>
      </c>
      <c r="J80" s="376"/>
      <c r="K80" s="374" t="s">
        <v>1016</v>
      </c>
    </row>
    <row r="81" spans="1:11">
      <c r="A81" s="370" t="str">
        <f t="shared" si="3"/>
        <v>Interim Management TussenovereenkomstP1 Strategisch Interim ManagementJS Consultancy Detachering B.V. (perc. 1)</v>
      </c>
      <c r="B81" s="374" t="s">
        <v>959</v>
      </c>
      <c r="C81" s="374" t="s">
        <v>971</v>
      </c>
      <c r="D81" s="374" t="s">
        <v>999</v>
      </c>
      <c r="E81" s="374" t="s">
        <v>982</v>
      </c>
      <c r="F81" s="374" t="s">
        <v>833</v>
      </c>
      <c r="G81" s="374" t="s">
        <v>983</v>
      </c>
      <c r="J81" s="376"/>
      <c r="K81" s="374" t="s">
        <v>1017</v>
      </c>
    </row>
    <row r="82" spans="1:11">
      <c r="A82" s="370" t="str">
        <f t="shared" si="3"/>
        <v>Interim Management TussenovereenkomstP1 Strategisch Interim ManagementKPMG Advisory N.V. (perc. 1)</v>
      </c>
      <c r="B82" s="374" t="s">
        <v>959</v>
      </c>
      <c r="C82" s="374" t="s">
        <v>971</v>
      </c>
      <c r="D82" s="374" t="s">
        <v>286</v>
      </c>
      <c r="E82" s="374" t="s">
        <v>287</v>
      </c>
      <c r="F82" s="374" t="s">
        <v>937</v>
      </c>
      <c r="G82" s="374" t="s">
        <v>984</v>
      </c>
      <c r="J82" s="376"/>
      <c r="K82" s="374" t="s">
        <v>1018</v>
      </c>
    </row>
    <row r="83" spans="1:11">
      <c r="A83" s="370" t="str">
        <f t="shared" si="3"/>
        <v>Interim Management TussenovereenkomstP1 Strategisch Interim ManagementPubliek Netwerk B.V. (perc. 1)</v>
      </c>
      <c r="B83" s="374" t="s">
        <v>959</v>
      </c>
      <c r="C83" s="374" t="s">
        <v>971</v>
      </c>
      <c r="D83" s="374" t="s">
        <v>1000</v>
      </c>
      <c r="E83" s="374" t="s">
        <v>985</v>
      </c>
      <c r="F83" s="374" t="s">
        <v>1009</v>
      </c>
      <c r="G83" s="374" t="s">
        <v>986</v>
      </c>
      <c r="J83" s="376"/>
      <c r="K83" s="374" t="s">
        <v>1019</v>
      </c>
    </row>
    <row r="84" spans="1:11">
      <c r="A84" s="370" t="str">
        <f t="shared" si="3"/>
        <v>Interim Management TussenovereenkomstP1 Strategisch Interim ManagementSupply Value B.V. (perc. 1)</v>
      </c>
      <c r="B84" s="374" t="s">
        <v>959</v>
      </c>
      <c r="C84" s="374" t="s">
        <v>971</v>
      </c>
      <c r="D84" s="374" t="s">
        <v>1001</v>
      </c>
      <c r="E84" s="374" t="s">
        <v>987</v>
      </c>
      <c r="F84" s="374" t="s">
        <v>293</v>
      </c>
      <c r="G84" s="374" t="s">
        <v>988</v>
      </c>
      <c r="J84" s="376"/>
      <c r="K84" s="374" t="s">
        <v>1020</v>
      </c>
    </row>
    <row r="85" spans="1:11">
      <c r="A85" s="370" t="str">
        <f t="shared" si="3"/>
        <v>Interim Management TussenovereenkomstP1 Strategisch Interim ManagementTwynstraGudde Holding B.V. (perc. 1)</v>
      </c>
      <c r="B85" s="374" t="s">
        <v>959</v>
      </c>
      <c r="C85" s="374" t="s">
        <v>971</v>
      </c>
      <c r="D85" s="374" t="s">
        <v>1002</v>
      </c>
      <c r="E85" s="374" t="s">
        <v>989</v>
      </c>
      <c r="F85" s="374" t="s">
        <v>1010</v>
      </c>
      <c r="G85" s="374" t="s">
        <v>990</v>
      </c>
      <c r="J85" s="376"/>
      <c r="K85" s="374" t="s">
        <v>1021</v>
      </c>
    </row>
    <row r="86" spans="1:11">
      <c r="A86" s="370" t="str">
        <f t="shared" si="3"/>
        <v>Interim Management TussenovereenkomstP1 Strategisch Interim ManagementVanberkel Professionals B.V. (perc. 1)</v>
      </c>
      <c r="B86" s="374" t="s">
        <v>959</v>
      </c>
      <c r="C86" s="374" t="s">
        <v>971</v>
      </c>
      <c r="D86" s="374" t="s">
        <v>856</v>
      </c>
      <c r="E86" s="374" t="s">
        <v>417</v>
      </c>
      <c r="F86" s="374" t="s">
        <v>261</v>
      </c>
      <c r="G86" s="374" t="s">
        <v>991</v>
      </c>
      <c r="J86" s="376"/>
      <c r="K86" s="374" t="s">
        <v>1022</v>
      </c>
    </row>
    <row r="87" spans="1:11">
      <c r="A87" s="370" t="str">
        <f t="shared" si="3"/>
        <v>Interim Management TussenovereenkomstP1 Strategisch Interim ManagementVerdonck Klooster &amp; Associates B.V. (perc. 1)</v>
      </c>
      <c r="B87" s="374" t="s">
        <v>959</v>
      </c>
      <c r="C87" s="374" t="s">
        <v>971</v>
      </c>
      <c r="D87" s="374" t="s">
        <v>1003</v>
      </c>
      <c r="E87" s="374" t="s">
        <v>992</v>
      </c>
      <c r="F87" s="374" t="s">
        <v>1060</v>
      </c>
      <c r="G87" s="374" t="s">
        <v>1060</v>
      </c>
      <c r="J87" s="376"/>
      <c r="K87" s="374" t="s">
        <v>1023</v>
      </c>
    </row>
    <row r="88" spans="1:11">
      <c r="A88" s="370" t="str">
        <f t="shared" si="3"/>
        <v>Interim Management TussenovereenkomstP2 Tactisch Interim Management AB&amp;C Groep B.V. (perc. 2)</v>
      </c>
      <c r="B88" s="374" t="s">
        <v>959</v>
      </c>
      <c r="C88" s="374" t="s">
        <v>972</v>
      </c>
      <c r="D88" s="374" t="s">
        <v>1032</v>
      </c>
      <c r="E88" s="374" t="s">
        <v>1024</v>
      </c>
      <c r="F88" s="374" t="s">
        <v>292</v>
      </c>
      <c r="G88" s="374" t="s">
        <v>1025</v>
      </c>
      <c r="J88" s="376"/>
      <c r="K88" s="374" t="s">
        <v>1045</v>
      </c>
    </row>
    <row r="89" spans="1:11">
      <c r="A89" s="370" t="str">
        <f t="shared" si="3"/>
        <v>Interim Management TussenovereenkomstP2 Tactisch Interim Management BMC Implementatie B.V. (perc. 2)</v>
      </c>
      <c r="B89" s="374" t="s">
        <v>959</v>
      </c>
      <c r="C89" s="374" t="s">
        <v>972</v>
      </c>
      <c r="D89" s="374" t="s">
        <v>1033</v>
      </c>
      <c r="E89" s="374" t="s">
        <v>288</v>
      </c>
      <c r="F89" s="374" t="s">
        <v>1005</v>
      </c>
      <c r="G89" s="374" t="s">
        <v>974</v>
      </c>
      <c r="J89" s="376"/>
      <c r="K89" s="374" t="s">
        <v>1046</v>
      </c>
    </row>
    <row r="90" spans="1:11">
      <c r="A90" s="370" t="str">
        <f t="shared" si="3"/>
        <v>Interim Management TussenovereenkomstP2 Tactisch Interim Management Boer &amp; Croon Management Solutions B.V. (perc. 2)</v>
      </c>
      <c r="B90" s="374" t="s">
        <v>959</v>
      </c>
      <c r="C90" s="374" t="s">
        <v>972</v>
      </c>
      <c r="D90" s="374" t="s">
        <v>1034</v>
      </c>
      <c r="E90" s="374" t="s">
        <v>1026</v>
      </c>
      <c r="F90" s="374" t="s">
        <v>1043</v>
      </c>
      <c r="G90" s="374" t="s">
        <v>1027</v>
      </c>
      <c r="J90" s="376"/>
      <c r="K90" s="374" t="s">
        <v>1047</v>
      </c>
    </row>
    <row r="91" spans="1:11">
      <c r="A91" s="370" t="str">
        <f t="shared" si="3"/>
        <v>Interim Management TussenovereenkomstP2 Tactisch Interim Management Conclusion B.V. (perc. 2)</v>
      </c>
      <c r="B91" s="374" t="s">
        <v>959</v>
      </c>
      <c r="C91" s="374" t="s">
        <v>972</v>
      </c>
      <c r="D91" s="374" t="s">
        <v>1035</v>
      </c>
      <c r="E91" s="374" t="s">
        <v>303</v>
      </c>
      <c r="F91" s="374" t="s">
        <v>740</v>
      </c>
      <c r="G91" s="374" t="s">
        <v>1028</v>
      </c>
      <c r="J91" s="376"/>
      <c r="K91" s="374" t="s">
        <v>1048</v>
      </c>
    </row>
    <row r="92" spans="1:11">
      <c r="A92" s="370" t="str">
        <f t="shared" si="3"/>
        <v>Interim Management TussenovereenkomstP2 Tactisch Interim Management Eiffel B.V. (perc. 2)</v>
      </c>
      <c r="B92" s="374" t="s">
        <v>959</v>
      </c>
      <c r="C92" s="374" t="s">
        <v>972</v>
      </c>
      <c r="D92" s="374" t="s">
        <v>861</v>
      </c>
      <c r="E92" s="374" t="s">
        <v>282</v>
      </c>
      <c r="F92" s="374" t="s">
        <v>512</v>
      </c>
      <c r="G92" s="374" t="s">
        <v>488</v>
      </c>
      <c r="J92" s="376"/>
      <c r="K92" s="374" t="s">
        <v>1049</v>
      </c>
    </row>
    <row r="93" spans="1:11">
      <c r="A93" s="370" t="str">
        <f t="shared" si="3"/>
        <v>Interim Management TussenovereenkomstP2 Tactisch Interim Management EY Advisory Netherlands LLP (perc. 2)</v>
      </c>
      <c r="B93" s="374" t="s">
        <v>959</v>
      </c>
      <c r="C93" s="374" t="s">
        <v>972</v>
      </c>
      <c r="D93" s="374" t="s">
        <v>930</v>
      </c>
      <c r="E93" s="374" t="s">
        <v>461</v>
      </c>
      <c r="F93" s="374" t="s">
        <v>1007</v>
      </c>
      <c r="G93" s="374" t="s">
        <v>978</v>
      </c>
      <c r="J93" s="376"/>
      <c r="K93" s="374" t="s">
        <v>1050</v>
      </c>
    </row>
    <row r="94" spans="1:11">
      <c r="A94" s="370" t="str">
        <f t="shared" si="3"/>
        <v>Interim Management TussenovereenkomstP2 Tactisch Interim Management Galan Groep B.V. (perc. 2)</v>
      </c>
      <c r="B94" s="374" t="s">
        <v>959</v>
      </c>
      <c r="C94" s="374" t="s">
        <v>972</v>
      </c>
      <c r="D94" s="374" t="s">
        <v>1036</v>
      </c>
      <c r="E94" s="374" t="s">
        <v>979</v>
      </c>
      <c r="F94" s="374" t="s">
        <v>1008</v>
      </c>
      <c r="G94" s="374" t="s">
        <v>980</v>
      </c>
      <c r="J94" s="376"/>
      <c r="K94" s="374" t="s">
        <v>1052</v>
      </c>
    </row>
    <row r="95" spans="1:11">
      <c r="A95" s="370" t="str">
        <f t="shared" si="3"/>
        <v>Interim Management TussenovereenkomstP2 Tactisch Interim Management ItaQ B.V. (perc. 2)</v>
      </c>
      <c r="B95" s="374" t="s">
        <v>959</v>
      </c>
      <c r="C95" s="374" t="s">
        <v>972</v>
      </c>
      <c r="D95" s="374" t="s">
        <v>299</v>
      </c>
      <c r="E95" s="374" t="s">
        <v>300</v>
      </c>
      <c r="F95" s="374" t="s">
        <v>301</v>
      </c>
      <c r="G95" s="374" t="s">
        <v>981</v>
      </c>
      <c r="J95" s="376"/>
      <c r="K95" s="374" t="s">
        <v>1053</v>
      </c>
    </row>
    <row r="96" spans="1:11" ht="14" thickBot="1">
      <c r="A96" s="370" t="str">
        <f t="shared" si="3"/>
        <v>Interim Management TussenovereenkomstP2 Tactisch Interim Management JS Consultancy Detachering B.V. (perc. 2)</v>
      </c>
      <c r="B96" s="374" t="s">
        <v>959</v>
      </c>
      <c r="C96" s="374" t="s">
        <v>972</v>
      </c>
      <c r="D96" s="374" t="s">
        <v>1037</v>
      </c>
      <c r="E96" s="374" t="s">
        <v>982</v>
      </c>
      <c r="F96" s="374" t="s">
        <v>833</v>
      </c>
      <c r="G96" s="374" t="s">
        <v>983</v>
      </c>
      <c r="J96" s="376"/>
      <c r="K96" s="374" t="s">
        <v>1054</v>
      </c>
    </row>
    <row r="97" spans="1:11">
      <c r="A97" s="370" t="str">
        <f t="shared" si="3"/>
        <v>Interim Management TussenovereenkomstP2 Tactisch Interim Management Profource B.V. (perc. 2)</v>
      </c>
      <c r="B97" s="374" t="s">
        <v>959</v>
      </c>
      <c r="C97" s="374" t="s">
        <v>972</v>
      </c>
      <c r="D97" s="374" t="s">
        <v>1038</v>
      </c>
      <c r="E97" s="374" t="s">
        <v>283</v>
      </c>
      <c r="F97" s="374" t="s">
        <v>284</v>
      </c>
      <c r="G97" s="374" t="s">
        <v>1029</v>
      </c>
      <c r="H97" s="372"/>
      <c r="I97" s="372"/>
      <c r="J97" s="373"/>
      <c r="K97" s="374" t="s">
        <v>1055</v>
      </c>
    </row>
    <row r="98" spans="1:11">
      <c r="A98" s="370" t="str">
        <f t="shared" si="3"/>
        <v>Interim Management TussenovereenkomstP2 Tactisch Interim Management Publiek Netwerk B.V. (perc. 2)</v>
      </c>
      <c r="B98" s="374" t="s">
        <v>959</v>
      </c>
      <c r="C98" s="374" t="s">
        <v>972</v>
      </c>
      <c r="D98" s="374" t="s">
        <v>1039</v>
      </c>
      <c r="E98" s="374" t="s">
        <v>985</v>
      </c>
      <c r="F98" s="374" t="s">
        <v>1009</v>
      </c>
      <c r="G98" s="374" t="s">
        <v>986</v>
      </c>
      <c r="H98" s="374"/>
      <c r="I98" s="374"/>
      <c r="J98" s="375"/>
      <c r="K98" s="374" t="s">
        <v>1056</v>
      </c>
    </row>
    <row r="99" spans="1:11">
      <c r="A99" s="370" t="str">
        <f t="shared" si="3"/>
        <v>Interim Management TussenovereenkomstP2 Tactisch Interim Management Seederdeboer (perc. 2)</v>
      </c>
      <c r="B99" s="374" t="s">
        <v>959</v>
      </c>
      <c r="C99" s="374" t="s">
        <v>972</v>
      </c>
      <c r="D99" s="374" t="s">
        <v>1040</v>
      </c>
      <c r="E99" s="374" t="s">
        <v>1030</v>
      </c>
      <c r="F99" s="374" t="s">
        <v>1044</v>
      </c>
      <c r="G99" s="374" t="s">
        <v>1031</v>
      </c>
      <c r="H99" s="374"/>
      <c r="I99" s="374"/>
      <c r="J99" s="375"/>
      <c r="K99" s="374" t="s">
        <v>1040</v>
      </c>
    </row>
    <row r="100" spans="1:11">
      <c r="A100" s="370" t="str">
        <f t="shared" si="3"/>
        <v>Interim Management TussenovereenkomstP2 Tactisch Interim Management Supply Value B.V. (perc. 2)</v>
      </c>
      <c r="B100" s="374" t="s">
        <v>959</v>
      </c>
      <c r="C100" s="374" t="s">
        <v>972</v>
      </c>
      <c r="D100" s="374" t="s">
        <v>1041</v>
      </c>
      <c r="E100" s="374" t="s">
        <v>987</v>
      </c>
      <c r="F100" s="374" t="s">
        <v>293</v>
      </c>
      <c r="G100" s="374" t="s">
        <v>988</v>
      </c>
      <c r="J100" s="376"/>
      <c r="K100" s="374" t="s">
        <v>1057</v>
      </c>
    </row>
    <row r="101" spans="1:11">
      <c r="A101" s="370" t="str">
        <f t="shared" si="3"/>
        <v>Interim Management TussenovereenkomstP2 Tactisch Interim Management TwynstraGudde Holding B.V. (perc. 2)</v>
      </c>
      <c r="B101" s="374" t="s">
        <v>959</v>
      </c>
      <c r="C101" s="374" t="s">
        <v>972</v>
      </c>
      <c r="D101" s="374" t="s">
        <v>1042</v>
      </c>
      <c r="E101" s="374" t="s">
        <v>989</v>
      </c>
      <c r="F101" s="374" t="s">
        <v>1010</v>
      </c>
      <c r="G101" s="374" t="s">
        <v>990</v>
      </c>
      <c r="J101" s="376"/>
      <c r="K101" s="374" t="s">
        <v>1058</v>
      </c>
    </row>
    <row r="102" spans="1:11" ht="14" thickBot="1">
      <c r="A102" s="370" t="str">
        <f t="shared" si="3"/>
        <v>Interim Management TussenovereenkomstP2 Tactisch Interim Management Vanberkel Professionals B.V. (perc. 2)</v>
      </c>
      <c r="B102" s="374" t="s">
        <v>959</v>
      </c>
      <c r="C102" s="374" t="s">
        <v>972</v>
      </c>
      <c r="D102" s="374" t="s">
        <v>864</v>
      </c>
      <c r="E102" s="374" t="s">
        <v>417</v>
      </c>
      <c r="F102" s="374" t="s">
        <v>261</v>
      </c>
      <c r="G102" s="374" t="s">
        <v>991</v>
      </c>
      <c r="J102" s="376"/>
      <c r="K102" s="374" t="s">
        <v>1059</v>
      </c>
    </row>
    <row r="103" spans="1:11" ht="15.5" thickBot="1">
      <c r="A103" s="367" t="s">
        <v>240</v>
      </c>
      <c r="B103" s="368" t="s">
        <v>208</v>
      </c>
      <c r="C103" s="368" t="s">
        <v>209</v>
      </c>
      <c r="D103" s="368" t="s">
        <v>852</v>
      </c>
      <c r="E103" s="368" t="s">
        <v>242</v>
      </c>
      <c r="F103" s="368" t="s">
        <v>243</v>
      </c>
      <c r="G103" s="368" t="s">
        <v>244</v>
      </c>
      <c r="H103" s="368" t="s">
        <v>245</v>
      </c>
      <c r="I103" s="368" t="s">
        <v>246</v>
      </c>
      <c r="J103" s="368" t="s">
        <v>247</v>
      </c>
    </row>
    <row r="104" spans="1:11">
      <c r="A104" s="370" t="str">
        <f t="shared" si="3"/>
        <v>Juridische Capaciteit BestuursrechtN.v.t. bij BestuursrechtBrunel Nederland B.V.</v>
      </c>
      <c r="B104" s="386" t="s">
        <v>483</v>
      </c>
      <c r="C104" s="374" t="s">
        <v>848</v>
      </c>
      <c r="D104" s="374" t="s">
        <v>305</v>
      </c>
      <c r="E104" s="374" t="s">
        <v>305</v>
      </c>
      <c r="F104" s="374" t="s">
        <v>511</v>
      </c>
      <c r="G104" s="374" t="s">
        <v>487</v>
      </c>
      <c r="H104" s="372"/>
      <c r="I104" s="372"/>
      <c r="J104" s="373"/>
      <c r="K104" s="369" t="s">
        <v>305</v>
      </c>
    </row>
    <row r="105" spans="1:11">
      <c r="A105" s="370" t="str">
        <f t="shared" si="3"/>
        <v xml:space="preserve">Juridische Capaciteit BestuursrechtN.v.t. bij BestuursrechtDPA Overheid B.V. </v>
      </c>
      <c r="B105" s="374" t="s">
        <v>483</v>
      </c>
      <c r="C105" s="374" t="s">
        <v>848</v>
      </c>
      <c r="D105" s="374" t="s">
        <v>484</v>
      </c>
      <c r="E105" s="374" t="s">
        <v>484</v>
      </c>
      <c r="F105" s="374" t="s">
        <v>525</v>
      </c>
      <c r="G105" s="374" t="s">
        <v>524</v>
      </c>
      <c r="H105" s="374"/>
      <c r="I105" s="374"/>
      <c r="J105" s="375"/>
      <c r="K105" s="369" t="s">
        <v>484</v>
      </c>
    </row>
    <row r="106" spans="1:11">
      <c r="A106" s="370" t="str">
        <f t="shared" si="3"/>
        <v>Juridische Capaciteit BestuursrechtN.v.t. bij BestuursrechtEiffel B.V.</v>
      </c>
      <c r="B106" s="374" t="s">
        <v>483</v>
      </c>
      <c r="C106" s="374" t="s">
        <v>848</v>
      </c>
      <c r="D106" s="374" t="s">
        <v>282</v>
      </c>
      <c r="E106" s="374" t="s">
        <v>282</v>
      </c>
      <c r="F106" s="374" t="s">
        <v>512</v>
      </c>
      <c r="G106" s="374" t="s">
        <v>488</v>
      </c>
      <c r="H106" s="374"/>
      <c r="I106" s="374"/>
      <c r="J106" s="375"/>
      <c r="K106" s="369" t="s">
        <v>282</v>
      </c>
    </row>
    <row r="107" spans="1:11">
      <c r="A107" s="370" t="str">
        <f t="shared" si="3"/>
        <v>Juridische Capaciteit BestuursrechtN.v.t. bij BestuursrechtResidentieprofs B.V.</v>
      </c>
      <c r="B107" s="374" t="s">
        <v>483</v>
      </c>
      <c r="C107" s="374" t="s">
        <v>848</v>
      </c>
      <c r="D107" s="374" t="s">
        <v>485</v>
      </c>
      <c r="E107" s="374" t="s">
        <v>485</v>
      </c>
      <c r="F107" s="374" t="s">
        <v>513</v>
      </c>
      <c r="G107" s="374" t="s">
        <v>489</v>
      </c>
      <c r="H107" s="374"/>
      <c r="I107" s="374"/>
      <c r="J107" s="375"/>
      <c r="K107" s="369" t="s">
        <v>485</v>
      </c>
    </row>
    <row r="108" spans="1:11">
      <c r="A108" s="370" t="str">
        <f t="shared" si="3"/>
        <v>Juridische Capaciteit BestuursrechtN.v.t. bij BestuursrechtUSG Professionals</v>
      </c>
      <c r="B108" s="374" t="s">
        <v>483</v>
      </c>
      <c r="C108" s="374" t="s">
        <v>848</v>
      </c>
      <c r="D108" s="374" t="s">
        <v>510</v>
      </c>
      <c r="E108" s="374" t="s">
        <v>486</v>
      </c>
      <c r="F108" s="374" t="s">
        <v>514</v>
      </c>
      <c r="G108" s="374" t="s">
        <v>490</v>
      </c>
      <c r="H108" s="374"/>
      <c r="I108" s="374"/>
      <c r="J108" s="375"/>
      <c r="K108" s="369" t="s">
        <v>486</v>
      </c>
    </row>
    <row r="109" spans="1:11">
      <c r="A109" s="370" t="str">
        <f t="shared" si="3"/>
        <v>Juridische Capaciteit BestuursrechtN.v.t. bij BestuursrechtVanberkel Professionals B.V.</v>
      </c>
      <c r="B109" s="374" t="s">
        <v>483</v>
      </c>
      <c r="C109" s="374" t="s">
        <v>848</v>
      </c>
      <c r="D109" s="374" t="s">
        <v>417</v>
      </c>
      <c r="E109" s="374" t="s">
        <v>417</v>
      </c>
      <c r="F109" s="374" t="s">
        <v>515</v>
      </c>
      <c r="G109" s="374" t="s">
        <v>491</v>
      </c>
      <c r="H109" s="374"/>
      <c r="I109" s="374"/>
      <c r="J109" s="375"/>
      <c r="K109" s="369" t="s">
        <v>417</v>
      </c>
    </row>
    <row r="110" spans="1:11" ht="14" thickBot="1">
      <c r="A110" s="370" t="str">
        <f t="shared" si="3"/>
        <v>Juridische Capaciteit BestuursrechtN.v.t. bij BestuursrechtYacht B.V.</v>
      </c>
      <c r="B110" s="374" t="s">
        <v>483</v>
      </c>
      <c r="C110" s="374" t="s">
        <v>848</v>
      </c>
      <c r="D110" s="374" t="s">
        <v>275</v>
      </c>
      <c r="E110" s="374" t="s">
        <v>275</v>
      </c>
      <c r="F110" s="374" t="s">
        <v>516</v>
      </c>
      <c r="G110" s="374" t="s">
        <v>492</v>
      </c>
      <c r="H110" s="374"/>
      <c r="I110" s="374"/>
      <c r="J110" s="375"/>
      <c r="K110" s="369" t="s">
        <v>275</v>
      </c>
    </row>
    <row r="111" spans="1:11" ht="15.5" thickBot="1">
      <c r="A111" s="367" t="s">
        <v>240</v>
      </c>
      <c r="B111" s="368" t="s">
        <v>208</v>
      </c>
      <c r="C111" s="368" t="s">
        <v>209</v>
      </c>
      <c r="D111" s="368" t="s">
        <v>853</v>
      </c>
      <c r="E111" s="368" t="s">
        <v>242</v>
      </c>
      <c r="F111" s="368" t="s">
        <v>243</v>
      </c>
      <c r="G111" s="368" t="s">
        <v>244</v>
      </c>
      <c r="H111" s="368" t="s">
        <v>245</v>
      </c>
      <c r="I111" s="368" t="s">
        <v>246</v>
      </c>
      <c r="J111" s="368" t="s">
        <v>247</v>
      </c>
    </row>
    <row r="112" spans="1:11">
      <c r="A112" s="370" t="str">
        <f t="shared" ref="A112:A118" si="6">CONCATENATE(B112,C112,D112)</f>
        <v>Juridische Capaciteit Arbeidsrecht en BedrijfsjuridischP1 Arbeidsjuridische DienstenBrunel Nederland B.V. (perc. 1)</v>
      </c>
      <c r="B112" s="386" t="s">
        <v>851</v>
      </c>
      <c r="C112" s="374" t="s">
        <v>849</v>
      </c>
      <c r="D112" s="374" t="s">
        <v>304</v>
      </c>
      <c r="E112" s="374" t="s">
        <v>305</v>
      </c>
      <c r="F112" s="374" t="s">
        <v>869</v>
      </c>
      <c r="G112" s="374" t="s">
        <v>487</v>
      </c>
      <c r="H112" s="372" t="s">
        <v>868</v>
      </c>
      <c r="I112" s="372"/>
      <c r="J112" s="373"/>
      <c r="K112" s="369" t="s">
        <v>919</v>
      </c>
    </row>
    <row r="113" spans="1:11">
      <c r="A113" s="370" t="str">
        <f t="shared" si="6"/>
        <v>Juridische Capaciteit Arbeidsrecht en BedrijfsjuridischP1 Arbeidsjuridische DienstenDPA Overheid B.V.  (perc. 1)</v>
      </c>
      <c r="B113" s="374" t="s">
        <v>851</v>
      </c>
      <c r="C113" s="374" t="s">
        <v>849</v>
      </c>
      <c r="D113" s="374" t="s">
        <v>859</v>
      </c>
      <c r="E113" s="374" t="s">
        <v>484</v>
      </c>
      <c r="F113" s="374" t="s">
        <v>871</v>
      </c>
      <c r="G113" s="374" t="s">
        <v>524</v>
      </c>
      <c r="H113" s="374" t="s">
        <v>870</v>
      </c>
      <c r="I113" s="374"/>
      <c r="J113" s="375"/>
      <c r="K113" s="369" t="s">
        <v>920</v>
      </c>
    </row>
    <row r="114" spans="1:11">
      <c r="A114" s="370" t="str">
        <f t="shared" si="6"/>
        <v>Juridische Capaciteit Arbeidsrecht en BedrijfsjuridischP1 Arbeidsjuridische DienstenEiffel B.V. (perc. 1)</v>
      </c>
      <c r="B114" s="374" t="s">
        <v>851</v>
      </c>
      <c r="C114" s="374" t="s">
        <v>849</v>
      </c>
      <c r="D114" s="374" t="s">
        <v>858</v>
      </c>
      <c r="E114" s="374" t="s">
        <v>282</v>
      </c>
      <c r="F114" s="374" t="s">
        <v>512</v>
      </c>
      <c r="G114" s="374" t="s">
        <v>488</v>
      </c>
      <c r="H114" s="374"/>
      <c r="I114" s="374"/>
      <c r="J114" s="375"/>
      <c r="K114" s="369" t="s">
        <v>921</v>
      </c>
    </row>
    <row r="115" spans="1:11">
      <c r="A115" s="370" t="str">
        <f t="shared" si="6"/>
        <v>Juridische Capaciteit Arbeidsrecht en BedrijfsjuridischP1 Arbeidsjuridische DienstenResidentieprofs B.V. (perc. 1)</v>
      </c>
      <c r="B115" s="374" t="s">
        <v>851</v>
      </c>
      <c r="C115" s="374" t="s">
        <v>849</v>
      </c>
      <c r="D115" s="374" t="s">
        <v>857</v>
      </c>
      <c r="E115" s="374" t="s">
        <v>485</v>
      </c>
      <c r="F115" s="374" t="s">
        <v>513</v>
      </c>
      <c r="G115" s="374" t="s">
        <v>489</v>
      </c>
      <c r="H115" s="374"/>
      <c r="I115" s="374"/>
      <c r="J115" s="375"/>
      <c r="K115" s="369" t="s">
        <v>922</v>
      </c>
    </row>
    <row r="116" spans="1:11">
      <c r="A116" s="370" t="str">
        <f t="shared" si="6"/>
        <v>Juridische Capaciteit Arbeidsrecht en BedrijfsjuridischP1 Arbeidsjuridische DienstenUSG Professionals (perc. 1)</v>
      </c>
      <c r="B116" s="374" t="s">
        <v>851</v>
      </c>
      <c r="C116" s="374" t="s">
        <v>849</v>
      </c>
      <c r="D116" s="374" t="s">
        <v>509</v>
      </c>
      <c r="E116" s="374" t="s">
        <v>486</v>
      </c>
      <c r="F116" s="374" t="s">
        <v>514</v>
      </c>
      <c r="G116" s="374" t="s">
        <v>490</v>
      </c>
      <c r="H116" s="374"/>
      <c r="I116" s="374"/>
      <c r="J116" s="375"/>
      <c r="K116" s="369" t="s">
        <v>923</v>
      </c>
    </row>
    <row r="117" spans="1:11">
      <c r="A117" s="370" t="str">
        <f t="shared" si="6"/>
        <v>Juridische Capaciteit Arbeidsrecht en BedrijfsjuridischP1 Arbeidsjuridische DienstenVanberkel Professionals B.V. (perc. 1)</v>
      </c>
      <c r="B117" s="374" t="s">
        <v>851</v>
      </c>
      <c r="C117" s="374" t="s">
        <v>849</v>
      </c>
      <c r="D117" s="374" t="s">
        <v>856</v>
      </c>
      <c r="E117" s="374" t="s">
        <v>417</v>
      </c>
      <c r="F117" s="374" t="s">
        <v>515</v>
      </c>
      <c r="G117" s="374" t="s">
        <v>491</v>
      </c>
      <c r="H117" s="374"/>
      <c r="I117" s="374"/>
      <c r="J117" s="375"/>
      <c r="K117" s="369" t="s">
        <v>924</v>
      </c>
    </row>
    <row r="118" spans="1:11">
      <c r="A118" s="370" t="str">
        <f t="shared" si="6"/>
        <v>Juridische Capaciteit Arbeidsrecht en BedrijfsjuridischP1 Arbeidsjuridische DienstenWeLegal B.V. (perc. 1)</v>
      </c>
      <c r="B118" s="374" t="s">
        <v>851</v>
      </c>
      <c r="C118" s="374" t="s">
        <v>849</v>
      </c>
      <c r="D118" s="374" t="s">
        <v>855</v>
      </c>
      <c r="E118" s="374" t="s">
        <v>854</v>
      </c>
      <c r="F118" s="374" t="s">
        <v>866</v>
      </c>
      <c r="G118" s="374" t="s">
        <v>865</v>
      </c>
      <c r="H118" s="374"/>
      <c r="I118" s="374"/>
      <c r="J118" s="375"/>
      <c r="K118" s="369" t="s">
        <v>912</v>
      </c>
    </row>
    <row r="119" spans="1:11">
      <c r="A119" s="370" t="str">
        <f t="shared" ref="A119:A124" si="7">CONCATENATE(B119,C119,D119)</f>
        <v>Juridische Capaciteit Arbeidsrecht en BedrijfsjuridischP2 Bedrijfsjuridische DienstenBrunel Nederland B.V. (perc. 2)</v>
      </c>
      <c r="B119" s="374" t="s">
        <v>851</v>
      </c>
      <c r="C119" s="374" t="s">
        <v>850</v>
      </c>
      <c r="D119" s="374" t="s">
        <v>306</v>
      </c>
      <c r="E119" s="374" t="s">
        <v>305</v>
      </c>
      <c r="F119" s="374" t="s">
        <v>869</v>
      </c>
      <c r="G119" s="374" t="s">
        <v>487</v>
      </c>
      <c r="H119" s="374" t="s">
        <v>868</v>
      </c>
      <c r="I119" s="374"/>
      <c r="J119" s="375"/>
      <c r="K119" s="369" t="s">
        <v>913</v>
      </c>
    </row>
    <row r="120" spans="1:11">
      <c r="A120" s="370" t="str">
        <f t="shared" si="7"/>
        <v>Juridische Capaciteit Arbeidsrecht en BedrijfsjuridischP2 Bedrijfsjuridische DienstenDPA Overheid B.V.  (perc. 2)</v>
      </c>
      <c r="B120" s="374" t="s">
        <v>851</v>
      </c>
      <c r="C120" s="374" t="s">
        <v>850</v>
      </c>
      <c r="D120" s="374" t="s">
        <v>860</v>
      </c>
      <c r="E120" s="374" t="s">
        <v>484</v>
      </c>
      <c r="F120" s="374" t="s">
        <v>871</v>
      </c>
      <c r="G120" s="374" t="s">
        <v>524</v>
      </c>
      <c r="H120" s="374" t="s">
        <v>870</v>
      </c>
      <c r="I120" s="374"/>
      <c r="J120" s="375"/>
      <c r="K120" s="369" t="s">
        <v>484</v>
      </c>
    </row>
    <row r="121" spans="1:11">
      <c r="A121" s="370" t="str">
        <f t="shared" si="7"/>
        <v>Juridische Capaciteit Arbeidsrecht en BedrijfsjuridischP2 Bedrijfsjuridische DienstenEiffel B.V. (perc. 2)</v>
      </c>
      <c r="B121" s="374" t="s">
        <v>851</v>
      </c>
      <c r="C121" s="374" t="s">
        <v>850</v>
      </c>
      <c r="D121" s="374" t="s">
        <v>861</v>
      </c>
      <c r="E121" s="374" t="s">
        <v>282</v>
      </c>
      <c r="F121" s="374" t="s">
        <v>512</v>
      </c>
      <c r="G121" s="374" t="s">
        <v>488</v>
      </c>
      <c r="H121" s="374"/>
      <c r="I121" s="374"/>
      <c r="J121" s="375"/>
      <c r="K121" s="369" t="s">
        <v>914</v>
      </c>
    </row>
    <row r="122" spans="1:11">
      <c r="A122" s="370" t="str">
        <f t="shared" si="7"/>
        <v>Juridische Capaciteit Arbeidsrecht en BedrijfsjuridischP2 Bedrijfsjuridische DienstenResidentieprofs B.V. (perc. 2)</v>
      </c>
      <c r="B122" s="374" t="s">
        <v>851</v>
      </c>
      <c r="C122" s="374" t="s">
        <v>850</v>
      </c>
      <c r="D122" s="374" t="s">
        <v>862</v>
      </c>
      <c r="E122" s="374" t="s">
        <v>485</v>
      </c>
      <c r="F122" s="374" t="s">
        <v>513</v>
      </c>
      <c r="G122" s="374" t="s">
        <v>489</v>
      </c>
      <c r="H122" s="374"/>
      <c r="I122" s="374"/>
      <c r="J122" s="375"/>
      <c r="K122" s="369" t="s">
        <v>915</v>
      </c>
    </row>
    <row r="123" spans="1:11">
      <c r="A123" s="370" t="str">
        <f t="shared" si="7"/>
        <v>Juridische Capaciteit Arbeidsrecht en BedrijfsjuridischP2 Bedrijfsjuridische DienstenUSG Professionals (perc. 2)</v>
      </c>
      <c r="B123" s="374" t="s">
        <v>851</v>
      </c>
      <c r="C123" s="374" t="s">
        <v>850</v>
      </c>
      <c r="D123" s="374" t="s">
        <v>863</v>
      </c>
      <c r="E123" s="374" t="s">
        <v>486</v>
      </c>
      <c r="F123" s="374" t="s">
        <v>514</v>
      </c>
      <c r="G123" s="374" t="s">
        <v>490</v>
      </c>
      <c r="H123" s="374"/>
      <c r="I123" s="374"/>
      <c r="J123" s="375"/>
      <c r="K123" s="369" t="s">
        <v>916</v>
      </c>
    </row>
    <row r="124" spans="1:11">
      <c r="A124" s="370" t="str">
        <f t="shared" si="7"/>
        <v>Juridische Capaciteit Arbeidsrecht en BedrijfsjuridischP2 Bedrijfsjuridische DienstenVanberkel Professionals B.V. (perc. 2)</v>
      </c>
      <c r="B124" s="374" t="s">
        <v>851</v>
      </c>
      <c r="C124" s="374" t="s">
        <v>850</v>
      </c>
      <c r="D124" s="374" t="s">
        <v>864</v>
      </c>
      <c r="E124" s="374" t="s">
        <v>417</v>
      </c>
      <c r="F124" s="374" t="s">
        <v>515</v>
      </c>
      <c r="G124" s="374" t="s">
        <v>491</v>
      </c>
      <c r="H124" s="374"/>
      <c r="I124" s="374"/>
      <c r="J124" s="375"/>
      <c r="K124" s="369" t="s">
        <v>917</v>
      </c>
    </row>
    <row r="125" spans="1:11" ht="14" thickBot="1">
      <c r="A125" s="370" t="str">
        <f t="shared" ref="A125" si="8">CONCATENATE(B125,C125,D125)</f>
        <v>Juridische Capaciteit Arbeidsrecht en BedrijfsjuridischP2 Bedrijfsjuridische DienstenWeLegal B.V. (perc. 2)</v>
      </c>
      <c r="B125" s="374" t="s">
        <v>851</v>
      </c>
      <c r="C125" s="374" t="s">
        <v>850</v>
      </c>
      <c r="D125" s="374" t="s">
        <v>867</v>
      </c>
      <c r="E125" s="374" t="s">
        <v>854</v>
      </c>
      <c r="F125" s="374" t="s">
        <v>866</v>
      </c>
      <c r="G125" s="374" t="s">
        <v>865</v>
      </c>
      <c r="H125" s="374"/>
      <c r="I125" s="374"/>
      <c r="J125" s="375"/>
      <c r="K125" s="369" t="s">
        <v>918</v>
      </c>
    </row>
    <row r="126" spans="1:11" ht="15.5" thickBot="1">
      <c r="A126" s="367" t="s">
        <v>240</v>
      </c>
      <c r="B126" s="368" t="s">
        <v>208</v>
      </c>
      <c r="C126" s="368" t="s">
        <v>209</v>
      </c>
      <c r="D126" s="368" t="s">
        <v>307</v>
      </c>
      <c r="E126" s="368" t="s">
        <v>242</v>
      </c>
      <c r="F126" s="368" t="s">
        <v>243</v>
      </c>
      <c r="G126" s="368" t="s">
        <v>244</v>
      </c>
      <c r="H126" s="368" t="s">
        <v>245</v>
      </c>
      <c r="I126" s="368" t="s">
        <v>246</v>
      </c>
      <c r="J126" s="368" t="s">
        <v>247</v>
      </c>
    </row>
    <row r="127" spans="1:11" ht="15" customHeight="1">
      <c r="A127" s="370" t="str">
        <f t="shared" ref="A127:A135" si="9">CONCATENATE(B127,C127,D127)</f>
        <v>EDI Specialisten op het gebied van Energie Duurzaamheid en InnovatieP1 Programmas en opdrachtenArcadis Nederland B.V. (perc. 1)</v>
      </c>
      <c r="B127" s="387" t="s">
        <v>895</v>
      </c>
      <c r="C127" s="374" t="s">
        <v>896</v>
      </c>
      <c r="D127" s="374" t="s">
        <v>903</v>
      </c>
      <c r="E127" s="374" t="s">
        <v>874</v>
      </c>
      <c r="F127" s="374" t="s">
        <v>891</v>
      </c>
      <c r="G127" s="372" t="s">
        <v>885</v>
      </c>
      <c r="H127" s="372"/>
      <c r="I127" s="372"/>
      <c r="J127" s="373"/>
      <c r="K127" s="369" t="s">
        <v>904</v>
      </c>
    </row>
    <row r="128" spans="1:11">
      <c r="A128" s="370" t="str">
        <f t="shared" si="9"/>
        <v>EDI Specialisten op het gebied van Energie Duurzaamheid en InnovatieP1 Programmas en opdrachtenBrunel Nederland B.V. (perc. 1)</v>
      </c>
      <c r="B128" s="374" t="s">
        <v>895</v>
      </c>
      <c r="C128" s="374" t="s">
        <v>896</v>
      </c>
      <c r="D128" s="374" t="s">
        <v>304</v>
      </c>
      <c r="E128" s="374" t="s">
        <v>305</v>
      </c>
      <c r="F128" s="374" t="s">
        <v>308</v>
      </c>
      <c r="G128" s="374" t="s">
        <v>886</v>
      </c>
      <c r="H128" s="374"/>
      <c r="I128" s="374"/>
      <c r="J128" s="375"/>
      <c r="K128" s="369" t="s">
        <v>905</v>
      </c>
    </row>
    <row r="129" spans="1:11">
      <c r="A129" s="370" t="str">
        <f t="shared" si="9"/>
        <v>EDI Specialisten op het gebied van Energie Duurzaamheid en InnovatieP1 Programmas en opdrachtenDeloitte Risk Advisory B.V.(perc. 1)</v>
      </c>
      <c r="B129" s="374" t="s">
        <v>895</v>
      </c>
      <c r="C129" s="374" t="s">
        <v>896</v>
      </c>
      <c r="D129" s="374" t="s">
        <v>878</v>
      </c>
      <c r="E129" s="374" t="s">
        <v>875</v>
      </c>
      <c r="F129" s="374" t="s">
        <v>892</v>
      </c>
      <c r="G129" s="374" t="s">
        <v>887</v>
      </c>
      <c r="H129" s="374"/>
      <c r="I129" s="374"/>
      <c r="J129" s="375"/>
      <c r="K129" s="369" t="s">
        <v>675</v>
      </c>
    </row>
    <row r="130" spans="1:11">
      <c r="A130" s="370" t="str">
        <f t="shared" si="9"/>
        <v>EDI Specialisten op het gebied van Energie Duurzaamheid en InnovatieP1 Programmas en opdrachtenkWh Management B.V. (perc. 1)</v>
      </c>
      <c r="B130" s="374" t="s">
        <v>895</v>
      </c>
      <c r="C130" s="374" t="s">
        <v>896</v>
      </c>
      <c r="D130" s="374" t="s">
        <v>879</v>
      </c>
      <c r="E130" s="374" t="s">
        <v>876</v>
      </c>
      <c r="F130" s="374" t="s">
        <v>893</v>
      </c>
      <c r="G130" s="374" t="s">
        <v>888</v>
      </c>
      <c r="H130" s="374" t="s">
        <v>889</v>
      </c>
      <c r="I130" s="374"/>
      <c r="J130" s="375"/>
      <c r="K130" s="369" t="s">
        <v>906</v>
      </c>
    </row>
    <row r="131" spans="1:11">
      <c r="A131" s="370" t="str">
        <f t="shared" si="9"/>
        <v>EDI Specialisten op het gebied van Energie Duurzaamheid en InnovatieP1 Programmas en opdrachtenTwynstra Gudde Holding B.V. (perc. 1)</v>
      </c>
      <c r="B131" s="374" t="s">
        <v>895</v>
      </c>
      <c r="C131" s="374" t="s">
        <v>896</v>
      </c>
      <c r="D131" s="374" t="s">
        <v>880</v>
      </c>
      <c r="E131" s="374" t="s">
        <v>877</v>
      </c>
      <c r="F131" s="374" t="s">
        <v>944</v>
      </c>
      <c r="G131" s="374" t="s">
        <v>943</v>
      </c>
      <c r="H131" s="374"/>
      <c r="I131" s="374"/>
      <c r="J131" s="375"/>
      <c r="K131" s="369" t="s">
        <v>907</v>
      </c>
    </row>
    <row r="132" spans="1:11">
      <c r="A132" s="370" t="str">
        <f t="shared" si="9"/>
        <v>EDI Specialisten op het gebied van Energie Duurzaamheid en InnovatieP2 RegelingenArcadis Nederland B.V. (perc. 2)</v>
      </c>
      <c r="B132" s="374" t="s">
        <v>895</v>
      </c>
      <c r="C132" s="374" t="s">
        <v>345</v>
      </c>
      <c r="D132" s="374" t="s">
        <v>881</v>
      </c>
      <c r="E132" s="374" t="s">
        <v>874</v>
      </c>
      <c r="F132" s="374" t="s">
        <v>891</v>
      </c>
      <c r="G132" s="369" t="s">
        <v>885</v>
      </c>
      <c r="J132" s="376"/>
      <c r="K132" s="369" t="s">
        <v>908</v>
      </c>
    </row>
    <row r="133" spans="1:11">
      <c r="A133" s="370" t="str">
        <f t="shared" si="9"/>
        <v>EDI Specialisten op het gebied van Energie Duurzaamheid en InnovatieP2 RegelingenBrunel Nederland B.V. (perc. 2)</v>
      </c>
      <c r="B133" s="374" t="s">
        <v>895</v>
      </c>
      <c r="C133" s="374" t="s">
        <v>345</v>
      </c>
      <c r="D133" s="374" t="s">
        <v>306</v>
      </c>
      <c r="E133" s="374" t="s">
        <v>305</v>
      </c>
      <c r="F133" s="374" t="s">
        <v>308</v>
      </c>
      <c r="G133" s="374" t="s">
        <v>886</v>
      </c>
      <c r="J133" s="376"/>
      <c r="K133" s="369" t="s">
        <v>909</v>
      </c>
    </row>
    <row r="134" spans="1:11">
      <c r="A134" s="370" t="str">
        <f t="shared" si="9"/>
        <v>EDI Specialisten op het gebied van Energie Duurzaamheid en InnovatieP2 RegelingenDeloitte Risk Advisory B.V. (perc. 2)</v>
      </c>
      <c r="B134" s="374" t="s">
        <v>895</v>
      </c>
      <c r="C134" s="374" t="s">
        <v>345</v>
      </c>
      <c r="D134" s="374" t="s">
        <v>882</v>
      </c>
      <c r="E134" s="374" t="s">
        <v>875</v>
      </c>
      <c r="F134" s="374" t="s">
        <v>892</v>
      </c>
      <c r="G134" s="369" t="s">
        <v>887</v>
      </c>
      <c r="J134" s="376"/>
      <c r="K134" s="369" t="s">
        <v>682</v>
      </c>
    </row>
    <row r="135" spans="1:11">
      <c r="A135" s="370" t="str">
        <f t="shared" si="9"/>
        <v>EDI Specialisten op het gebied van Energie Duurzaamheid en InnovatieP2 RegelingenkWh Management B.V. (perc. 2)</v>
      </c>
      <c r="B135" s="374" t="s">
        <v>895</v>
      </c>
      <c r="C135" s="374" t="s">
        <v>345</v>
      </c>
      <c r="D135" s="374" t="s">
        <v>883</v>
      </c>
      <c r="E135" s="374" t="s">
        <v>876</v>
      </c>
      <c r="F135" s="374" t="s">
        <v>893</v>
      </c>
      <c r="G135" s="369" t="s">
        <v>888</v>
      </c>
      <c r="H135" s="369" t="s">
        <v>889</v>
      </c>
      <c r="J135" s="376"/>
      <c r="K135" s="369" t="s">
        <v>910</v>
      </c>
    </row>
    <row r="136" spans="1:11" ht="14" thickBot="1">
      <c r="A136" s="370" t="str">
        <f t="shared" ref="A136" si="10">CONCATENATE(B136,C136,D136)</f>
        <v>EDI Specialisten op het gebied van Energie Duurzaamheid en InnovatieP2 RegelingenOrangeX B.V. (perc. 2)</v>
      </c>
      <c r="B136" s="374" t="s">
        <v>895</v>
      </c>
      <c r="C136" s="374" t="s">
        <v>345</v>
      </c>
      <c r="D136" s="374" t="s">
        <v>884</v>
      </c>
      <c r="E136" s="374" t="s">
        <v>277</v>
      </c>
      <c r="F136" s="374" t="s">
        <v>894</v>
      </c>
      <c r="G136" s="369" t="s">
        <v>890</v>
      </c>
      <c r="J136" s="376"/>
      <c r="K136" s="369" t="s">
        <v>911</v>
      </c>
    </row>
    <row r="137" spans="1:11" ht="15.5" thickBot="1">
      <c r="A137" s="367" t="s">
        <v>240</v>
      </c>
      <c r="B137" s="368" t="s">
        <v>208</v>
      </c>
      <c r="C137" s="368" t="s">
        <v>209</v>
      </c>
      <c r="D137" s="368" t="s">
        <v>310</v>
      </c>
      <c r="E137" s="368" t="s">
        <v>242</v>
      </c>
      <c r="F137" s="368" t="s">
        <v>243</v>
      </c>
      <c r="G137" s="368" t="s">
        <v>244</v>
      </c>
      <c r="H137" s="368" t="s">
        <v>245</v>
      </c>
      <c r="I137" s="368" t="s">
        <v>246</v>
      </c>
      <c r="J137" s="368" t="s">
        <v>247</v>
      </c>
    </row>
    <row r="138" spans="1:11" ht="14.5">
      <c r="A138" s="370" t="str">
        <f t="shared" ref="A138:A140" si="11">CONCATENATE(B138,C138,D138)</f>
        <v>CommunicatiecapaciteitP1 CommunicatieprofessionalsOnlyHuman (perc. 1)</v>
      </c>
      <c r="B138" s="387" t="s">
        <v>517</v>
      </c>
      <c r="C138" s="374" t="s">
        <v>449</v>
      </c>
      <c r="D138" s="374" t="s">
        <v>518</v>
      </c>
      <c r="E138" s="374" t="s">
        <v>309</v>
      </c>
      <c r="F138" s="374" t="s">
        <v>450</v>
      </c>
      <c r="G138" s="485" t="s">
        <v>451</v>
      </c>
      <c r="K138" s="496" t="s">
        <v>712</v>
      </c>
    </row>
    <row r="139" spans="1:11" ht="14.5">
      <c r="A139" s="370" t="str">
        <f t="shared" si="11"/>
        <v>CommunicatiecapaciteitP1 CommunicatieprofessionalsBabbage (perc. 1)</v>
      </c>
      <c r="B139" s="374" t="s">
        <v>517</v>
      </c>
      <c r="C139" s="374" t="s">
        <v>449</v>
      </c>
      <c r="D139" s="374" t="s">
        <v>519</v>
      </c>
      <c r="E139" s="374" t="s">
        <v>311</v>
      </c>
      <c r="F139" s="374" t="s">
        <v>452</v>
      </c>
      <c r="G139" s="485" t="s">
        <v>452</v>
      </c>
      <c r="K139" s="496" t="s">
        <v>713</v>
      </c>
    </row>
    <row r="140" spans="1:11">
      <c r="A140" s="370" t="str">
        <f t="shared" si="11"/>
        <v>CommunicatiecapaciteitP1 CommunicatieprofessionalsUSG Professionals (perc. 1)</v>
      </c>
      <c r="B140" s="374" t="s">
        <v>517</v>
      </c>
      <c r="C140" s="374" t="s">
        <v>449</v>
      </c>
      <c r="D140" s="374" t="s">
        <v>509</v>
      </c>
      <c r="E140" s="374" t="s">
        <v>486</v>
      </c>
      <c r="F140" s="374" t="s">
        <v>453</v>
      </c>
      <c r="G140" s="369" t="s">
        <v>453</v>
      </c>
      <c r="K140" s="496" t="s">
        <v>680</v>
      </c>
    </row>
    <row r="141" spans="1:11" ht="14.5">
      <c r="A141" s="370" t="str">
        <f t="shared" ref="A141" si="12">CONCATENATE(B141,C141,D141)</f>
        <v>CommunicatiecapaciteitP1 CommunicatieprofessionalsYacht B.V. (perc. 1)</v>
      </c>
      <c r="B141" s="374" t="s">
        <v>517</v>
      </c>
      <c r="C141" s="374" t="s">
        <v>449</v>
      </c>
      <c r="D141" s="374" t="s">
        <v>274</v>
      </c>
      <c r="E141" s="374" t="s">
        <v>275</v>
      </c>
      <c r="F141" s="374" t="s">
        <v>521</v>
      </c>
      <c r="G141" s="488" t="s">
        <v>521</v>
      </c>
      <c r="K141" s="496" t="s">
        <v>681</v>
      </c>
    </row>
    <row r="142" spans="1:11" ht="14.5">
      <c r="A142" s="370" t="str">
        <f t="shared" ref="A142:A144" si="13">CONCATENATE(B142,C142,D142)</f>
        <v>CommunicatiecapaciteitP2 WebredactieprofessionalsOnlyHuman (perc. 2)</v>
      </c>
      <c r="B142" s="374" t="s">
        <v>517</v>
      </c>
      <c r="C142" s="374" t="s">
        <v>532</v>
      </c>
      <c r="D142" s="374" t="s">
        <v>520</v>
      </c>
      <c r="E142" s="374" t="s">
        <v>309</v>
      </c>
      <c r="F142" s="374" t="s">
        <v>450</v>
      </c>
      <c r="G142" s="485" t="s">
        <v>451</v>
      </c>
      <c r="K142" s="496" t="s">
        <v>714</v>
      </c>
    </row>
    <row r="143" spans="1:11">
      <c r="A143" s="370" t="str">
        <f t="shared" si="13"/>
        <v>CommunicatiecapaciteitP2 WebredactieprofessionalsiO The Netherlands B.V.(perc. 2)</v>
      </c>
      <c r="B143" s="374" t="s">
        <v>517</v>
      </c>
      <c r="C143" s="374" t="s">
        <v>532</v>
      </c>
      <c r="D143" s="374" t="s">
        <v>955</v>
      </c>
      <c r="E143" s="374" t="s">
        <v>956</v>
      </c>
      <c r="F143" s="374" t="s">
        <v>1160</v>
      </c>
      <c r="G143" s="369" t="s">
        <v>1160</v>
      </c>
      <c r="K143" s="496" t="s">
        <v>957</v>
      </c>
    </row>
    <row r="144" spans="1:11" ht="14.5">
      <c r="A144" s="370" t="str">
        <f t="shared" si="13"/>
        <v>CommunicatiecapaciteitP2 WebredactieprofessionalsYacht B.V. (perc. 2)</v>
      </c>
      <c r="B144" s="374" t="s">
        <v>517</v>
      </c>
      <c r="C144" s="374" t="s">
        <v>532</v>
      </c>
      <c r="D144" s="374" t="s">
        <v>276</v>
      </c>
      <c r="E144" s="374" t="s">
        <v>275</v>
      </c>
      <c r="F144" s="374" t="s">
        <v>521</v>
      </c>
      <c r="G144" s="488" t="s">
        <v>521</v>
      </c>
      <c r="K144" s="496" t="s">
        <v>685</v>
      </c>
    </row>
    <row r="145" spans="1:11" ht="14" thickBot="1">
      <c r="A145" s="370" t="str">
        <f>CONCATENATE(B145,C145,D145)</f>
        <v>CommunicatiecapaciteitP2 WebredactieprofessionalsBabbage/De Redactie (perc. 2)</v>
      </c>
      <c r="B145" s="374" t="s">
        <v>517</v>
      </c>
      <c r="C145" s="374" t="s">
        <v>532</v>
      </c>
      <c r="D145" s="374" t="s">
        <v>527</v>
      </c>
      <c r="E145" s="374" t="s">
        <v>526</v>
      </c>
      <c r="F145" s="374" t="s">
        <v>523</v>
      </c>
      <c r="G145" s="369" t="s">
        <v>523</v>
      </c>
      <c r="K145" s="496" t="s">
        <v>715</v>
      </c>
    </row>
    <row r="146" spans="1:11" ht="15">
      <c r="A146" s="367" t="s">
        <v>240</v>
      </c>
      <c r="B146" s="368" t="s">
        <v>208</v>
      </c>
      <c r="C146" s="368" t="s">
        <v>209</v>
      </c>
      <c r="D146" s="368" t="s">
        <v>899</v>
      </c>
      <c r="E146" s="368" t="s">
        <v>242</v>
      </c>
      <c r="F146" s="368" t="s">
        <v>243</v>
      </c>
      <c r="G146" s="368" t="s">
        <v>244</v>
      </c>
      <c r="H146" s="368" t="s">
        <v>245</v>
      </c>
      <c r="I146" s="368" t="s">
        <v>246</v>
      </c>
      <c r="J146" s="368" t="s">
        <v>247</v>
      </c>
    </row>
    <row r="147" spans="1:11" ht="14" thickBot="1">
      <c r="A147" s="370" t="str">
        <f>CONCATENATE(B147,C147,D147)</f>
        <v>WoordvoeringscapaciteitN.v.t. bij WoordvoeringscapaciteitBabbage Company B.V.</v>
      </c>
      <c r="B147" s="374" t="s">
        <v>897</v>
      </c>
      <c r="C147" s="374" t="s">
        <v>898</v>
      </c>
      <c r="D147" s="374" t="s">
        <v>901</v>
      </c>
      <c r="E147" s="374" t="s">
        <v>901</v>
      </c>
      <c r="F147" s="374" t="s">
        <v>902</v>
      </c>
      <c r="G147" s="369" t="s">
        <v>902</v>
      </c>
      <c r="K147" s="522" t="s">
        <v>311</v>
      </c>
    </row>
    <row r="148" spans="1:11" ht="15">
      <c r="A148" s="367" t="s">
        <v>240</v>
      </c>
      <c r="B148" s="368" t="s">
        <v>208</v>
      </c>
      <c r="C148" s="368" t="s">
        <v>209</v>
      </c>
      <c r="D148" s="368" t="s">
        <v>312</v>
      </c>
      <c r="E148" s="368" t="s">
        <v>242</v>
      </c>
      <c r="F148" s="368" t="s">
        <v>243</v>
      </c>
      <c r="G148" s="368" t="s">
        <v>244</v>
      </c>
      <c r="H148" s="368" t="s">
        <v>245</v>
      </c>
      <c r="I148" s="368" t="s">
        <v>246</v>
      </c>
      <c r="J148" s="368" t="s">
        <v>247</v>
      </c>
    </row>
    <row r="149" spans="1:11">
      <c r="C149" s="374"/>
      <c r="D149" s="374" t="s">
        <v>313</v>
      </c>
      <c r="E149" s="374" t="s">
        <v>313</v>
      </c>
      <c r="F149" s="374"/>
    </row>
    <row r="150" spans="1:11">
      <c r="C150" s="374"/>
      <c r="D150" s="374" t="s">
        <v>314</v>
      </c>
      <c r="E150" s="374" t="s">
        <v>314</v>
      </c>
      <c r="F150" s="374"/>
    </row>
    <row r="151" spans="1:11">
      <c r="C151" s="374"/>
      <c r="D151" s="374" t="s">
        <v>315</v>
      </c>
      <c r="E151" s="374" t="s">
        <v>315</v>
      </c>
      <c r="F151" s="374"/>
    </row>
    <row r="152" spans="1:11">
      <c r="C152" s="374"/>
      <c r="D152" s="374" t="s">
        <v>316</v>
      </c>
      <c r="E152" s="374" t="s">
        <v>316</v>
      </c>
      <c r="F152" s="374"/>
    </row>
    <row r="153" spans="1:11">
      <c r="C153" s="374"/>
      <c r="D153" s="374" t="s">
        <v>317</v>
      </c>
      <c r="E153" s="374" t="s">
        <v>317</v>
      </c>
      <c r="F153" s="374"/>
    </row>
    <row r="154" spans="1:11">
      <c r="C154" s="374"/>
      <c r="D154" s="374" t="s">
        <v>318</v>
      </c>
      <c r="E154" s="374" t="s">
        <v>318</v>
      </c>
      <c r="F154" s="374"/>
    </row>
    <row r="155" spans="1:11">
      <c r="C155" s="374"/>
      <c r="D155" s="374" t="s">
        <v>319</v>
      </c>
      <c r="E155" s="374" t="s">
        <v>319</v>
      </c>
      <c r="F155" s="374"/>
    </row>
    <row r="156" spans="1:11" ht="14" thickBot="1">
      <c r="C156" s="374"/>
      <c r="D156" s="374" t="s">
        <v>320</v>
      </c>
      <c r="E156" s="374" t="s">
        <v>320</v>
      </c>
      <c r="F156" s="374"/>
    </row>
    <row r="157" spans="1:11" ht="15">
      <c r="A157" s="367" t="s">
        <v>240</v>
      </c>
      <c r="B157" s="368" t="s">
        <v>208</v>
      </c>
      <c r="C157" s="368" t="s">
        <v>209</v>
      </c>
      <c r="D157" s="368" t="s">
        <v>549</v>
      </c>
      <c r="E157" s="368" t="s">
        <v>242</v>
      </c>
      <c r="F157" s="368" t="s">
        <v>243</v>
      </c>
      <c r="G157" s="368" t="s">
        <v>244</v>
      </c>
      <c r="H157" s="368" t="s">
        <v>245</v>
      </c>
      <c r="I157" s="368" t="s">
        <v>246</v>
      </c>
      <c r="J157" s="368" t="s">
        <v>247</v>
      </c>
    </row>
    <row r="158" spans="1:11">
      <c r="A158" s="370" t="str">
        <f t="shared" ref="A158:A168" si="14">CONCATENATE(B158,C158,D158)</f>
        <v>Onderwijskunde en Digitale LeermiddelenP3 Onderwijskundige dienstenGroup Moovs B.V.(perc. 3)</v>
      </c>
      <c r="B158" s="374" t="s">
        <v>554</v>
      </c>
      <c r="C158" s="374" t="s">
        <v>547</v>
      </c>
      <c r="D158" s="374" t="s">
        <v>1240</v>
      </c>
      <c r="E158" s="374" t="s">
        <v>1241</v>
      </c>
      <c r="F158" s="374" t="s">
        <v>564</v>
      </c>
      <c r="G158" s="369" t="s">
        <v>564</v>
      </c>
      <c r="K158" s="496" t="s">
        <v>716</v>
      </c>
    </row>
    <row r="159" spans="1:11">
      <c r="A159" s="370" t="str">
        <f t="shared" si="14"/>
        <v>Onderwijskunde en Digitale LeermiddelenP3 Onderwijskundige dienstenTele’Train Education II B.V.(perc. 3)</v>
      </c>
      <c r="B159" s="374" t="s">
        <v>554</v>
      </c>
      <c r="C159" s="374" t="s">
        <v>547</v>
      </c>
      <c r="D159" s="374" t="s">
        <v>569</v>
      </c>
      <c r="E159" s="374" t="s">
        <v>557</v>
      </c>
      <c r="F159" s="374" t="s">
        <v>568</v>
      </c>
      <c r="G159" s="369" t="s">
        <v>568</v>
      </c>
      <c r="K159" s="496" t="s">
        <v>569</v>
      </c>
    </row>
    <row r="160" spans="1:11">
      <c r="A160" s="370" t="str">
        <f t="shared" si="14"/>
        <v>Onderwijskunde en Digitale LeermiddelenP3 Onderwijskundige dienstenTriamfloat B.V.(perc. 3)</v>
      </c>
      <c r="B160" s="374" t="s">
        <v>554</v>
      </c>
      <c r="C160" s="374" t="s">
        <v>547</v>
      </c>
      <c r="D160" s="374" t="s">
        <v>570</v>
      </c>
      <c r="E160" s="374" t="s">
        <v>558</v>
      </c>
      <c r="F160" s="374" t="s">
        <v>562</v>
      </c>
      <c r="G160" s="369" t="s">
        <v>562</v>
      </c>
      <c r="K160" s="496" t="s">
        <v>570</v>
      </c>
    </row>
    <row r="161" spans="1:11">
      <c r="A161" s="370" t="str">
        <f t="shared" si="14"/>
        <v>Onderwijskunde en Digitale LeermiddelenP4 Didactische trainingsdiensten EMC Advies B.V.(perc. 4)</v>
      </c>
      <c r="B161" s="374" t="s">
        <v>554</v>
      </c>
      <c r="C161" s="374" t="s">
        <v>548</v>
      </c>
      <c r="D161" s="374" t="s">
        <v>571</v>
      </c>
      <c r="E161" s="374" t="s">
        <v>555</v>
      </c>
      <c r="F161" s="374" t="s">
        <v>563</v>
      </c>
      <c r="G161" s="369" t="s">
        <v>563</v>
      </c>
      <c r="K161" s="496" t="s">
        <v>571</v>
      </c>
    </row>
    <row r="162" spans="1:11">
      <c r="A162" s="370" t="str">
        <f t="shared" si="14"/>
        <v>Onderwijskunde en Digitale LeermiddelenP4 Didactische trainingsdiensten Group Moovs B.V./Savant Learning Partners B.V.(perc. 4)</v>
      </c>
      <c r="B162" s="369" t="s">
        <v>554</v>
      </c>
      <c r="C162" s="374" t="s">
        <v>548</v>
      </c>
      <c r="D162" s="369" t="s">
        <v>590</v>
      </c>
      <c r="E162" s="374" t="s">
        <v>592</v>
      </c>
      <c r="F162" s="374" t="s">
        <v>564</v>
      </c>
      <c r="G162" s="369" t="s">
        <v>564</v>
      </c>
      <c r="K162" s="496" t="s">
        <v>717</v>
      </c>
    </row>
    <row r="163" spans="1:11">
      <c r="A163" s="370" t="str">
        <f t="shared" si="14"/>
        <v>Onderwijskunde en Digitale LeermiddelenP4 Didactische trainingsdiensten CINOP B.V.(perc. 4)</v>
      </c>
      <c r="B163" s="369" t="s">
        <v>554</v>
      </c>
      <c r="C163" s="374" t="s">
        <v>548</v>
      </c>
      <c r="D163" s="374" t="s">
        <v>572</v>
      </c>
      <c r="E163" s="374" t="s">
        <v>556</v>
      </c>
      <c r="F163" s="374" t="s">
        <v>565</v>
      </c>
      <c r="G163" s="369" t="s">
        <v>565</v>
      </c>
      <c r="K163" s="496" t="s">
        <v>572</v>
      </c>
    </row>
    <row r="164" spans="1:11">
      <c r="A164" s="370" t="str">
        <f t="shared" si="14"/>
        <v>Onderwijskunde en Digitale LeermiddelenP5 Maatwerk digitale leeractiviteitenBright Alley(perc. 5)</v>
      </c>
      <c r="B164" s="369" t="s">
        <v>554</v>
      </c>
      <c r="C164" s="374" t="s">
        <v>589</v>
      </c>
      <c r="D164" s="374" t="s">
        <v>573</v>
      </c>
      <c r="E164" s="374" t="s">
        <v>559</v>
      </c>
      <c r="F164" s="374" t="s">
        <v>566</v>
      </c>
      <c r="G164" s="369" t="s">
        <v>566</v>
      </c>
      <c r="K164" s="496" t="s">
        <v>573</v>
      </c>
    </row>
    <row r="165" spans="1:11">
      <c r="A165" s="370" t="str">
        <f t="shared" si="14"/>
        <v>Onderwijskunde en Digitale LeermiddelenP5 Maatwerk digitale leeractiviteitenGroup Moovs B.V./Savant Learning Partners B.V.(perc. 5)</v>
      </c>
      <c r="B165" s="369" t="s">
        <v>554</v>
      </c>
      <c r="C165" s="374" t="s">
        <v>589</v>
      </c>
      <c r="D165" s="374" t="s">
        <v>591</v>
      </c>
      <c r="E165" s="374" t="s">
        <v>592</v>
      </c>
      <c r="F165" s="374" t="s">
        <v>564</v>
      </c>
      <c r="G165" s="369" t="s">
        <v>564</v>
      </c>
      <c r="K165" s="496" t="s">
        <v>718</v>
      </c>
    </row>
    <row r="166" spans="1:11">
      <c r="A166" s="370" t="str">
        <f t="shared" si="14"/>
        <v>Onderwijskunde en Digitale LeermiddelenP5 Maatwerk digitale leeractiviteitenInbrain B.V.(perc. 5)</v>
      </c>
      <c r="B166" s="369" t="s">
        <v>554</v>
      </c>
      <c r="C166" s="374" t="s">
        <v>589</v>
      </c>
      <c r="D166" s="374" t="s">
        <v>574</v>
      </c>
      <c r="E166" s="374" t="s">
        <v>560</v>
      </c>
      <c r="F166" s="374" t="s">
        <v>567</v>
      </c>
      <c r="G166" s="369" t="s">
        <v>567</v>
      </c>
      <c r="K166" s="496" t="s">
        <v>574</v>
      </c>
    </row>
    <row r="167" spans="1:11">
      <c r="A167" s="370" t="str">
        <f t="shared" si="14"/>
        <v>Onderwijskunde en Digitale LeermiddelenP5 Maatwerk digitale leeractiviteitenTele’Train Education II B.V.(perc. 5)</v>
      </c>
      <c r="B167" s="369" t="s">
        <v>554</v>
      </c>
      <c r="C167" s="374" t="s">
        <v>589</v>
      </c>
      <c r="D167" s="374" t="s">
        <v>575</v>
      </c>
      <c r="E167" s="374" t="s">
        <v>557</v>
      </c>
      <c r="F167" s="374" t="s">
        <v>568</v>
      </c>
      <c r="G167" s="369" t="s">
        <v>568</v>
      </c>
      <c r="K167" s="496" t="s">
        <v>575</v>
      </c>
    </row>
    <row r="168" spans="1:11" ht="14" thickBot="1">
      <c r="A168" s="370" t="str">
        <f t="shared" si="14"/>
        <v>Onderwijskunde en Digitale LeermiddelenP5 Maatwerk digitale leeractiviteitenUplearning B.V.(perc. 5)</v>
      </c>
      <c r="B168" s="369" t="s">
        <v>554</v>
      </c>
      <c r="C168" s="374" t="s">
        <v>589</v>
      </c>
      <c r="D168" s="374" t="s">
        <v>576</v>
      </c>
      <c r="E168" s="374" t="s">
        <v>561</v>
      </c>
      <c r="F168" s="374" t="s">
        <v>577</v>
      </c>
      <c r="G168" s="374" t="s">
        <v>577</v>
      </c>
      <c r="K168" s="496" t="s">
        <v>576</v>
      </c>
    </row>
    <row r="169" spans="1:11" ht="15.5" thickBot="1">
      <c r="A169" s="367" t="s">
        <v>240</v>
      </c>
      <c r="B169" s="368" t="s">
        <v>208</v>
      </c>
      <c r="C169" s="368" t="s">
        <v>209</v>
      </c>
      <c r="D169" s="368" t="s">
        <v>442</v>
      </c>
      <c r="E169" s="368" t="s">
        <v>242</v>
      </c>
      <c r="F169" s="368" t="s">
        <v>243</v>
      </c>
      <c r="G169" s="368" t="s">
        <v>244</v>
      </c>
      <c r="H169" s="368" t="s">
        <v>245</v>
      </c>
      <c r="I169" s="368" t="s">
        <v>246</v>
      </c>
      <c r="J169" s="368" t="s">
        <v>247</v>
      </c>
    </row>
    <row r="170" spans="1:11">
      <c r="A170" s="370" t="str">
        <f t="shared" ref="A170:A181" si="15">CONCATENATE(B170,C170,D170)</f>
        <v>VergunningverlenersP1 Technische Vergunningverleners Mijnbouw voor Kernministerie EZKAntea (perc. 1)</v>
      </c>
      <c r="B170" s="387" t="s">
        <v>433</v>
      </c>
      <c r="C170" s="374" t="s">
        <v>434</v>
      </c>
      <c r="D170" s="374" t="s">
        <v>445</v>
      </c>
      <c r="E170" s="374" t="s">
        <v>443</v>
      </c>
      <c r="F170" s="374" t="s">
        <v>840</v>
      </c>
      <c r="G170" s="374" t="s">
        <v>840</v>
      </c>
      <c r="H170" s="372"/>
      <c r="I170" s="372"/>
      <c r="J170" s="373"/>
      <c r="K170" s="496" t="s">
        <v>708</v>
      </c>
    </row>
    <row r="171" spans="1:11">
      <c r="A171" s="370" t="str">
        <f t="shared" si="15"/>
        <v>VergunningverlenersP1 Technische Vergunningverleners Mijnbouw voor Kernministerie EZKWyzer (perc. 1)</v>
      </c>
      <c r="B171" s="374" t="s">
        <v>433</v>
      </c>
      <c r="C171" s="374" t="s">
        <v>434</v>
      </c>
      <c r="D171" s="374" t="s">
        <v>837</v>
      </c>
      <c r="E171" s="374" t="s">
        <v>835</v>
      </c>
      <c r="F171" s="374" t="s">
        <v>951</v>
      </c>
      <c r="G171" s="374" t="s">
        <v>951</v>
      </c>
      <c r="H171" s="374"/>
      <c r="I171" s="374"/>
      <c r="J171" s="375"/>
      <c r="K171" s="496" t="s">
        <v>838</v>
      </c>
    </row>
    <row r="172" spans="1:11">
      <c r="A172" s="370" t="str">
        <f t="shared" si="15"/>
        <v>VergunningverlenersP1 Technische Vergunningverleners Mijnbouw voor Kernministerie EZKYER (perc. 1)</v>
      </c>
      <c r="B172" s="374" t="s">
        <v>433</v>
      </c>
      <c r="C172" s="374" t="s">
        <v>434</v>
      </c>
      <c r="D172" s="374" t="s">
        <v>446</v>
      </c>
      <c r="E172" s="374" t="s">
        <v>444</v>
      </c>
      <c r="F172" s="374" t="s">
        <v>843</v>
      </c>
      <c r="G172" s="374" t="s">
        <v>460</v>
      </c>
      <c r="H172" s="374" t="s">
        <v>841</v>
      </c>
      <c r="I172" s="374" t="s">
        <v>842</v>
      </c>
      <c r="J172" s="375"/>
      <c r="K172" s="496" t="s">
        <v>709</v>
      </c>
    </row>
    <row r="173" spans="1:11">
      <c r="A173" s="370" t="str">
        <f t="shared" si="15"/>
        <v>VergunningverlenersP2 Technische Vergunningverleners Mijnbouw voor SodMAntea (perc. 2)</v>
      </c>
      <c r="B173" s="374" t="s">
        <v>433</v>
      </c>
      <c r="C173" s="374" t="s">
        <v>435</v>
      </c>
      <c r="D173" s="374" t="s">
        <v>447</v>
      </c>
      <c r="E173" s="374" t="s">
        <v>443</v>
      </c>
      <c r="F173" s="374" t="s">
        <v>840</v>
      </c>
      <c r="G173" s="374" t="s">
        <v>840</v>
      </c>
      <c r="H173" s="374"/>
      <c r="I173" s="374"/>
      <c r="J173" s="375"/>
      <c r="K173" s="496" t="s">
        <v>710</v>
      </c>
    </row>
    <row r="174" spans="1:11">
      <c r="A174" s="370" t="str">
        <f t="shared" si="15"/>
        <v>VergunningverlenersP2 Technische Vergunningverleners Mijnbouw voor SodMWyzer (perc. 2)</v>
      </c>
      <c r="B174" s="374" t="s">
        <v>433</v>
      </c>
      <c r="C174" s="374" t="s">
        <v>435</v>
      </c>
      <c r="D174" s="374" t="s">
        <v>836</v>
      </c>
      <c r="E174" s="374" t="s">
        <v>835</v>
      </c>
      <c r="F174" s="374" t="s">
        <v>946</v>
      </c>
      <c r="G174" s="374" t="s">
        <v>945</v>
      </c>
      <c r="H174" s="374" t="s">
        <v>834</v>
      </c>
      <c r="I174" s="374"/>
      <c r="J174" s="375"/>
      <c r="K174" s="496" t="s">
        <v>839</v>
      </c>
    </row>
    <row r="175" spans="1:11" ht="14" thickBot="1">
      <c r="A175" s="370" t="str">
        <f t="shared" si="15"/>
        <v>VergunningverlenersP2 Technische Vergunningverleners Mijnbouw voor SodMYER (perc. 2)</v>
      </c>
      <c r="B175" s="374" t="s">
        <v>433</v>
      </c>
      <c r="C175" s="374" t="s">
        <v>435</v>
      </c>
      <c r="D175" s="374" t="s">
        <v>448</v>
      </c>
      <c r="E175" s="374" t="s">
        <v>444</v>
      </c>
      <c r="F175" s="374" t="s">
        <v>843</v>
      </c>
      <c r="G175" s="374" t="s">
        <v>460</v>
      </c>
      <c r="H175" s="374" t="s">
        <v>841</v>
      </c>
      <c r="I175" s="374" t="s">
        <v>842</v>
      </c>
      <c r="J175" s="375"/>
      <c r="K175" s="496" t="s">
        <v>711</v>
      </c>
    </row>
    <row r="176" spans="1:11" ht="15">
      <c r="A176" s="367" t="s">
        <v>240</v>
      </c>
      <c r="B176" s="368" t="s">
        <v>208</v>
      </c>
      <c r="C176" s="368" t="s">
        <v>209</v>
      </c>
      <c r="D176" s="368" t="s">
        <v>1073</v>
      </c>
      <c r="E176" s="368" t="s">
        <v>242</v>
      </c>
      <c r="F176" s="368" t="s">
        <v>243</v>
      </c>
      <c r="G176" s="368" t="s">
        <v>244</v>
      </c>
      <c r="H176" s="368" t="s">
        <v>245</v>
      </c>
      <c r="I176" s="368" t="s">
        <v>246</v>
      </c>
      <c r="J176" s="368" t="s">
        <v>247</v>
      </c>
    </row>
    <row r="177" spans="1:11">
      <c r="A177" s="370" t="str">
        <f t="shared" si="15"/>
        <v>OrganisatieadviesN.v.t. bij OrganisatieadviesAEF, Organisatie en Informatie Adviseurs B.V.</v>
      </c>
      <c r="B177" s="374" t="s">
        <v>1061</v>
      </c>
      <c r="C177" s="374" t="s">
        <v>1072</v>
      </c>
      <c r="D177" s="374" t="s">
        <v>1078</v>
      </c>
      <c r="E177" s="374" t="s">
        <v>1074</v>
      </c>
      <c r="F177" s="374" t="s">
        <v>1075</v>
      </c>
      <c r="G177" s="374" t="s">
        <v>1075</v>
      </c>
      <c r="H177" s="374"/>
      <c r="I177" s="374"/>
      <c r="J177" s="375"/>
      <c r="K177" s="522"/>
    </row>
    <row r="178" spans="1:11">
      <c r="A178" s="370" t="str">
        <f t="shared" si="15"/>
        <v>OrganisatieadviesN.v.t. bij OrganisatieadviesDeloitte Consulting B.V.</v>
      </c>
      <c r="B178" s="374" t="s">
        <v>1061</v>
      </c>
      <c r="C178" s="374" t="s">
        <v>1072</v>
      </c>
      <c r="D178" s="374" t="s">
        <v>296</v>
      </c>
      <c r="E178" s="374" t="s">
        <v>296</v>
      </c>
      <c r="F178" s="374" t="s">
        <v>297</v>
      </c>
      <c r="G178" s="374" t="s">
        <v>297</v>
      </c>
      <c r="H178" s="374"/>
      <c r="I178" s="374"/>
      <c r="J178" s="375"/>
      <c r="K178" s="522"/>
    </row>
    <row r="179" spans="1:11">
      <c r="A179" s="370" t="str">
        <f t="shared" si="15"/>
        <v>OrganisatieadviesN.v.t. bij OrganisatieadviesEY Advisory Netherlands LLP</v>
      </c>
      <c r="B179" s="374" t="s">
        <v>1061</v>
      </c>
      <c r="C179" s="374" t="s">
        <v>1072</v>
      </c>
      <c r="D179" s="374" t="s">
        <v>461</v>
      </c>
      <c r="E179" s="374" t="s">
        <v>461</v>
      </c>
      <c r="F179" s="374" t="s">
        <v>1007</v>
      </c>
      <c r="G179" s="374" t="s">
        <v>1007</v>
      </c>
      <c r="H179" s="374"/>
      <c r="I179" s="374"/>
      <c r="J179" s="375"/>
      <c r="K179" s="522"/>
    </row>
    <row r="180" spans="1:11">
      <c r="A180" s="370" t="str">
        <f t="shared" si="15"/>
        <v>OrganisatieadviesN.v.t. bij OrganisatieadviesKPMG Advisory N.V.</v>
      </c>
      <c r="B180" s="374" t="s">
        <v>1061</v>
      </c>
      <c r="C180" s="374" t="s">
        <v>1072</v>
      </c>
      <c r="D180" s="374" t="s">
        <v>287</v>
      </c>
      <c r="E180" s="374" t="s">
        <v>287</v>
      </c>
      <c r="F180" s="374" t="s">
        <v>937</v>
      </c>
      <c r="G180" s="374" t="s">
        <v>937</v>
      </c>
      <c r="H180" s="374"/>
      <c r="I180" s="374"/>
      <c r="J180" s="375"/>
      <c r="K180" s="522"/>
    </row>
    <row r="181" spans="1:11" ht="15" customHeight="1" thickBot="1">
      <c r="A181" s="370" t="str">
        <f t="shared" si="15"/>
        <v>OrganisatieadviesN.v.t. bij OrganisatieadviesPricewaterhouseCoopers Advisory N.V.</v>
      </c>
      <c r="B181" s="374" t="s">
        <v>1061</v>
      </c>
      <c r="C181" s="374" t="s">
        <v>1072</v>
      </c>
      <c r="D181" s="374" t="s">
        <v>928</v>
      </c>
      <c r="E181" s="374" t="s">
        <v>928</v>
      </c>
      <c r="F181" s="374" t="s">
        <v>1076</v>
      </c>
      <c r="G181" s="374" t="s">
        <v>1076</v>
      </c>
      <c r="H181" s="374"/>
      <c r="I181" s="374"/>
      <c r="J181" s="375"/>
      <c r="K181" s="522"/>
    </row>
    <row r="182" spans="1:11" ht="15" customHeight="1">
      <c r="A182" s="367" t="s">
        <v>240</v>
      </c>
      <c r="B182" s="368" t="s">
        <v>208</v>
      </c>
      <c r="C182" s="368" t="s">
        <v>209</v>
      </c>
      <c r="D182" s="368" t="s">
        <v>321</v>
      </c>
      <c r="E182" s="368" t="s">
        <v>242</v>
      </c>
      <c r="F182" s="368" t="s">
        <v>243</v>
      </c>
      <c r="G182" s="368" t="s">
        <v>244</v>
      </c>
      <c r="H182" s="368" t="s">
        <v>245</v>
      </c>
      <c r="I182" s="368" t="s">
        <v>246</v>
      </c>
      <c r="J182" s="368" t="s">
        <v>247</v>
      </c>
    </row>
    <row r="183" spans="1:11" ht="14" thickBot="1">
      <c r="C183" s="374"/>
      <c r="D183" s="374" t="s">
        <v>322</v>
      </c>
      <c r="E183" s="374" t="s">
        <v>322</v>
      </c>
      <c r="F183" s="374"/>
    </row>
    <row r="184" spans="1:11" ht="15">
      <c r="A184" s="367" t="s">
        <v>240</v>
      </c>
      <c r="B184" s="368" t="s">
        <v>208</v>
      </c>
      <c r="C184" s="368" t="s">
        <v>209</v>
      </c>
      <c r="D184" s="368" t="s">
        <v>769</v>
      </c>
      <c r="E184" s="368" t="s">
        <v>242</v>
      </c>
      <c r="F184" s="368" t="s">
        <v>243</v>
      </c>
      <c r="G184" s="368" t="s">
        <v>244</v>
      </c>
      <c r="H184" s="368" t="s">
        <v>245</v>
      </c>
      <c r="I184" s="368" t="s">
        <v>246</v>
      </c>
      <c r="J184" s="368" t="s">
        <v>247</v>
      </c>
      <c r="K184" s="497"/>
    </row>
    <row r="185" spans="1:11" ht="15.5">
      <c r="A185" s="370" t="str">
        <f t="shared" ref="A185:A188" si="16">CONCATENATE(B185,C185,D185)</f>
        <v>MilieuInspecteursN.v.t. bij MilieuInspecteursYER</v>
      </c>
      <c r="B185" s="374" t="s">
        <v>768</v>
      </c>
      <c r="C185" s="374" t="s">
        <v>783</v>
      </c>
      <c r="D185" s="369" t="s">
        <v>444</v>
      </c>
      <c r="E185" t="s">
        <v>770</v>
      </c>
      <c r="F185" s="369" t="s">
        <v>844</v>
      </c>
      <c r="G185" s="369" t="s">
        <v>772</v>
      </c>
      <c r="H185" s="369" t="s">
        <v>841</v>
      </c>
      <c r="I185" s="369" t="s">
        <v>842</v>
      </c>
      <c r="K185" t="s">
        <v>770</v>
      </c>
    </row>
    <row r="186" spans="1:11" ht="16" thickBot="1">
      <c r="A186" s="370" t="str">
        <f t="shared" si="16"/>
        <v>MilieuInspecteursN.v.t. bij MilieuInspecteursStantec</v>
      </c>
      <c r="B186" s="374" t="s">
        <v>768</v>
      </c>
      <c r="C186" s="374" t="s">
        <v>783</v>
      </c>
      <c r="D186" s="369" t="s">
        <v>774</v>
      </c>
      <c r="E186" t="s">
        <v>771</v>
      </c>
      <c r="F186" s="369" t="s">
        <v>773</v>
      </c>
      <c r="K186" t="s">
        <v>771</v>
      </c>
    </row>
    <row r="187" spans="1:11" ht="15">
      <c r="A187" s="367" t="s">
        <v>240</v>
      </c>
      <c r="B187" s="368" t="s">
        <v>208</v>
      </c>
      <c r="C187" s="368" t="s">
        <v>209</v>
      </c>
      <c r="D187" s="368" t="s">
        <v>821</v>
      </c>
      <c r="E187" s="368" t="s">
        <v>242</v>
      </c>
      <c r="F187" s="368" t="s">
        <v>243</v>
      </c>
      <c r="G187" s="368" t="s">
        <v>244</v>
      </c>
      <c r="H187" s="368" t="s">
        <v>245</v>
      </c>
      <c r="I187" s="368" t="s">
        <v>246</v>
      </c>
      <c r="J187" s="368" t="s">
        <v>247</v>
      </c>
      <c r="K187" s="496"/>
    </row>
    <row r="188" spans="1:11" ht="14" thickBot="1">
      <c r="A188" s="370" t="str">
        <f t="shared" si="16"/>
        <v>Digital en webanalyticsN.v.t. bij Digital en webanalyticsDeloitte Consulting B.V.</v>
      </c>
      <c r="B188" s="374" t="s">
        <v>820</v>
      </c>
      <c r="C188" s="374" t="s">
        <v>823</v>
      </c>
      <c r="D188" s="369" t="s">
        <v>296</v>
      </c>
      <c r="E188" s="369" t="s">
        <v>296</v>
      </c>
      <c r="F188" s="369" t="s">
        <v>829</v>
      </c>
      <c r="G188" s="369" t="s">
        <v>828</v>
      </c>
      <c r="K188" s="369" t="s">
        <v>827</v>
      </c>
    </row>
    <row r="189" spans="1:11" ht="15">
      <c r="A189" s="367" t="s">
        <v>240</v>
      </c>
      <c r="B189" s="368" t="s">
        <v>208</v>
      </c>
      <c r="C189" s="368" t="s">
        <v>209</v>
      </c>
      <c r="D189" s="368" t="s">
        <v>1081</v>
      </c>
      <c r="E189" s="368" t="s">
        <v>242</v>
      </c>
      <c r="F189" s="368" t="s">
        <v>243</v>
      </c>
      <c r="G189" s="368" t="s">
        <v>244</v>
      </c>
      <c r="H189" s="368" t="s">
        <v>245</v>
      </c>
      <c r="I189" s="368" t="s">
        <v>246</v>
      </c>
      <c r="J189" s="368" t="s">
        <v>247</v>
      </c>
      <c r="K189" s="496"/>
    </row>
    <row r="190" spans="1:11">
      <c r="A190" s="568" t="str">
        <f>CONCATENATE(B190,C190,D190)</f>
        <v>BGT en GIS specialisten voor RVOPerceel 1 inhuur van BGT specialistenDigireg Netherlands (perc. 1)</v>
      </c>
      <c r="B190" s="374" t="s">
        <v>1080</v>
      </c>
      <c r="C190" s="374" t="s">
        <v>1082</v>
      </c>
      <c r="D190" s="570" t="s">
        <v>1094</v>
      </c>
      <c r="E190" s="570" t="s">
        <v>1084</v>
      </c>
      <c r="F190" s="571" t="s">
        <v>1089</v>
      </c>
      <c r="G190" s="374" t="s">
        <v>1088</v>
      </c>
      <c r="H190" s="374" t="s">
        <v>1093</v>
      </c>
      <c r="I190" s="374"/>
      <c r="J190" s="374"/>
      <c r="K190" s="572" t="s">
        <v>1152</v>
      </c>
    </row>
    <row r="191" spans="1:11">
      <c r="A191" s="568" t="str">
        <f t="shared" ref="A191:A207" si="17">CONCATENATE(B191,C191,D191)</f>
        <v>BGT en GIS specialisten voor RVOPerceel 1 inhuur van BGT specialistenLevel Professionals (perc. 1)</v>
      </c>
      <c r="B191" s="374" t="s">
        <v>1080</v>
      </c>
      <c r="C191" s="374" t="s">
        <v>1082</v>
      </c>
      <c r="D191" s="570" t="s">
        <v>1095</v>
      </c>
      <c r="E191" s="570" t="s">
        <v>1085</v>
      </c>
      <c r="F191" s="374" t="s">
        <v>1090</v>
      </c>
      <c r="G191" s="374"/>
      <c r="H191" s="374"/>
      <c r="I191" s="374"/>
      <c r="J191" s="374"/>
      <c r="K191" s="572" t="s">
        <v>1153</v>
      </c>
    </row>
    <row r="192" spans="1:11">
      <c r="A192" s="568" t="str">
        <f t="shared" si="17"/>
        <v>BGT en GIS specialisten voor RVOPerceel 1 inhuur van BGT specialistenLINKIT (perc. 1)</v>
      </c>
      <c r="B192" s="374" t="s">
        <v>1080</v>
      </c>
      <c r="C192" s="374" t="s">
        <v>1082</v>
      </c>
      <c r="D192" s="570" t="s">
        <v>1096</v>
      </c>
      <c r="E192" s="570" t="s">
        <v>1086</v>
      </c>
      <c r="F192" s="374" t="s">
        <v>1091</v>
      </c>
      <c r="G192" s="374"/>
      <c r="H192" s="374"/>
      <c r="I192" s="374"/>
      <c r="J192" s="374"/>
      <c r="K192" s="572" t="s">
        <v>1154</v>
      </c>
    </row>
    <row r="193" spans="1:11">
      <c r="A193" s="568" t="str">
        <f t="shared" si="17"/>
        <v>BGT en GIS specialisten voor RVOPerceel 1 inhuur van BGT specialistenVGI-Support (perc. 1)</v>
      </c>
      <c r="B193" s="374" t="s">
        <v>1080</v>
      </c>
      <c r="C193" s="374" t="s">
        <v>1082</v>
      </c>
      <c r="D193" s="570" t="s">
        <v>1097</v>
      </c>
      <c r="E193" s="570" t="s">
        <v>1087</v>
      </c>
      <c r="F193" s="374" t="s">
        <v>1092</v>
      </c>
      <c r="G193" s="374"/>
      <c r="H193" s="374"/>
      <c r="I193" s="374"/>
      <c r="J193" s="374"/>
      <c r="K193" s="572" t="s">
        <v>1155</v>
      </c>
    </row>
    <row r="194" spans="1:11">
      <c r="A194" s="568" t="str">
        <f t="shared" si="17"/>
        <v>BGT en GIS specialisten voor RVOPerceel 2 inhuur van GIS specialistenDigireg Netherlands (perc. 2)</v>
      </c>
      <c r="B194" s="374" t="s">
        <v>1080</v>
      </c>
      <c r="C194" s="374" t="s">
        <v>1083</v>
      </c>
      <c r="D194" s="570" t="s">
        <v>1098</v>
      </c>
      <c r="E194" s="570" t="s">
        <v>1084</v>
      </c>
      <c r="F194" s="374" t="s">
        <v>1089</v>
      </c>
      <c r="G194" s="374" t="s">
        <v>1088</v>
      </c>
      <c r="H194" s="374" t="s">
        <v>1093</v>
      </c>
      <c r="I194" s="374"/>
      <c r="J194" s="374"/>
      <c r="K194" s="572" t="s">
        <v>1156</v>
      </c>
    </row>
    <row r="195" spans="1:11">
      <c r="A195" s="568" t="str">
        <f t="shared" si="17"/>
        <v>BGT en GIS specialisten voor RVOPerceel 2 inhuur van GIS specialistenLevel Professionals (perc. 2)</v>
      </c>
      <c r="B195" s="374" t="s">
        <v>1080</v>
      </c>
      <c r="C195" s="374" t="s">
        <v>1083</v>
      </c>
      <c r="D195" s="570" t="s">
        <v>1099</v>
      </c>
      <c r="E195" s="570" t="s">
        <v>1085</v>
      </c>
      <c r="F195" s="374" t="s">
        <v>1090</v>
      </c>
      <c r="G195" s="374"/>
      <c r="H195" s="374"/>
      <c r="I195" s="374"/>
      <c r="J195" s="374"/>
      <c r="K195" s="572" t="s">
        <v>1157</v>
      </c>
    </row>
    <row r="196" spans="1:11" ht="14" thickBot="1">
      <c r="A196" s="568" t="str">
        <f t="shared" si="17"/>
        <v>BGT en GIS specialisten voor RVOPerceel 2 inhuur van GIS specialistenLINKIT (perc. 2)</v>
      </c>
      <c r="B196" s="374" t="s">
        <v>1080</v>
      </c>
      <c r="C196" s="374" t="s">
        <v>1083</v>
      </c>
      <c r="D196" s="570" t="s">
        <v>1100</v>
      </c>
      <c r="E196" s="570" t="s">
        <v>1086</v>
      </c>
      <c r="F196" s="374" t="s">
        <v>1091</v>
      </c>
      <c r="G196" s="374"/>
      <c r="H196" s="374"/>
      <c r="I196" s="374"/>
      <c r="J196" s="374"/>
      <c r="K196" s="572" t="s">
        <v>1158</v>
      </c>
    </row>
    <row r="197" spans="1:11" ht="15">
      <c r="A197" s="367" t="s">
        <v>240</v>
      </c>
      <c r="B197" s="368" t="s">
        <v>208</v>
      </c>
      <c r="C197" s="368" t="s">
        <v>209</v>
      </c>
      <c r="D197" s="368" t="s">
        <v>1229</v>
      </c>
      <c r="E197" s="368" t="s">
        <v>242</v>
      </c>
      <c r="F197" s="368" t="s">
        <v>243</v>
      </c>
      <c r="G197" s="368" t="s">
        <v>244</v>
      </c>
      <c r="H197" s="368" t="s">
        <v>245</v>
      </c>
      <c r="I197" s="368" t="s">
        <v>246</v>
      </c>
      <c r="J197" s="368" t="s">
        <v>247</v>
      </c>
      <c r="K197" s="496"/>
    </row>
    <row r="198" spans="1:11">
      <c r="A198" s="568" t="str">
        <f t="shared" si="17"/>
        <v>Human Resource inhuurWerkveld Werving en SelectieBetween Staffing(WervingEnSelectie)</v>
      </c>
      <c r="B198" s="369" t="s">
        <v>1184</v>
      </c>
      <c r="C198" s="1" t="s">
        <v>1250</v>
      </c>
      <c r="D198" s="369" t="s">
        <v>1252</v>
      </c>
      <c r="E198" s="369" t="s">
        <v>1189</v>
      </c>
      <c r="F198" s="369" t="s">
        <v>1193</v>
      </c>
      <c r="G198" s="369" t="s">
        <v>1192</v>
      </c>
      <c r="K198" s="369" t="s">
        <v>1223</v>
      </c>
    </row>
    <row r="199" spans="1:11">
      <c r="A199" s="568" t="str">
        <f t="shared" si="17"/>
        <v>Human Resource inhuurWerkveld Werving en SelectieCircle8(WervingEnSelectie)</v>
      </c>
      <c r="B199" s="369" t="s">
        <v>1184</v>
      </c>
      <c r="C199" s="1" t="s">
        <v>1250</v>
      </c>
      <c r="D199" s="369" t="s">
        <v>1251</v>
      </c>
      <c r="E199" s="369" t="s">
        <v>1190</v>
      </c>
      <c r="F199" s="369" t="s">
        <v>1194</v>
      </c>
      <c r="G199" s="369" t="s">
        <v>1191</v>
      </c>
      <c r="K199" s="369" t="s">
        <v>1224</v>
      </c>
    </row>
    <row r="200" spans="1:11">
      <c r="A200" s="568" t="str">
        <f t="shared" si="17"/>
        <v>Human Resource inhuurWerkveld MobiliteitBetween Staffing(Mobiliteit)</v>
      </c>
      <c r="B200" s="369" t="s">
        <v>1184</v>
      </c>
      <c r="C200" s="1" t="s">
        <v>1185</v>
      </c>
      <c r="D200" s="369" t="s">
        <v>1195</v>
      </c>
      <c r="E200" s="369" t="s">
        <v>1189</v>
      </c>
      <c r="F200" s="369" t="s">
        <v>1193</v>
      </c>
      <c r="G200" s="369" t="s">
        <v>1192</v>
      </c>
      <c r="K200" s="369" t="s">
        <v>1225</v>
      </c>
    </row>
    <row r="201" spans="1:11">
      <c r="A201" s="568" t="str">
        <f t="shared" si="17"/>
        <v>Human Resource inhuurWerkveld MobiliteitCircle8(Mobiliteit)</v>
      </c>
      <c r="B201" s="369" t="s">
        <v>1184</v>
      </c>
      <c r="C201" s="1" t="s">
        <v>1185</v>
      </c>
      <c r="D201" s="369" t="s">
        <v>1196</v>
      </c>
      <c r="E201" s="369" t="s">
        <v>1190</v>
      </c>
      <c r="F201" s="369" t="s">
        <v>1194</v>
      </c>
      <c r="G201" s="369" t="s">
        <v>1191</v>
      </c>
      <c r="K201" s="369" t="s">
        <v>1196</v>
      </c>
    </row>
    <row r="202" spans="1:11">
      <c r="A202" s="568" t="str">
        <f t="shared" si="17"/>
        <v>Human Resource inhuurWerkveld Human Resources AlgemeenBetween Staffing(Algemeen)</v>
      </c>
      <c r="B202" s="369" t="s">
        <v>1184</v>
      </c>
      <c r="C202" s="1" t="s">
        <v>1186</v>
      </c>
      <c r="D202" s="369" t="s">
        <v>1197</v>
      </c>
      <c r="E202" s="369" t="s">
        <v>1189</v>
      </c>
      <c r="F202" s="369" t="s">
        <v>1193</v>
      </c>
      <c r="G202" s="369" t="s">
        <v>1192</v>
      </c>
      <c r="K202" s="369" t="s">
        <v>1226</v>
      </c>
    </row>
    <row r="203" spans="1:11" ht="14" thickBot="1">
      <c r="A203" s="568" t="str">
        <f t="shared" si="17"/>
        <v>Human Resource inhuurWerkveld Human Resources AlgemeenCircle8(Algemeen)</v>
      </c>
      <c r="B203" s="369" t="s">
        <v>1184</v>
      </c>
      <c r="C203" s="1" t="s">
        <v>1186</v>
      </c>
      <c r="D203" s="369" t="s">
        <v>1198</v>
      </c>
      <c r="E203" s="369" t="s">
        <v>1190</v>
      </c>
      <c r="F203" s="369" t="s">
        <v>1194</v>
      </c>
      <c r="G203" s="369" t="s">
        <v>1191</v>
      </c>
      <c r="K203" s="369" t="s">
        <v>1198</v>
      </c>
    </row>
    <row r="204" spans="1:11" ht="15">
      <c r="A204" s="367" t="s">
        <v>240</v>
      </c>
      <c r="B204" s="368" t="s">
        <v>208</v>
      </c>
      <c r="C204" s="368" t="s">
        <v>209</v>
      </c>
      <c r="D204" s="368" t="s">
        <v>1183</v>
      </c>
      <c r="E204" s="368" t="s">
        <v>242</v>
      </c>
      <c r="F204" s="368" t="s">
        <v>243</v>
      </c>
      <c r="G204" s="368" t="s">
        <v>244</v>
      </c>
      <c r="H204" s="368" t="s">
        <v>245</v>
      </c>
      <c r="I204" s="368" t="s">
        <v>246</v>
      </c>
      <c r="J204" s="368" t="s">
        <v>247</v>
      </c>
      <c r="K204" s="496"/>
    </row>
    <row r="205" spans="1:11" ht="15.5">
      <c r="A205" s="568" t="str">
        <f t="shared" si="17"/>
        <v>Integrale oplossingsrichting Ontwerp en Consult voor IMGPerceel 3 ConsultArcadis Nederland B.V.(P3)</v>
      </c>
      <c r="B205" s="369" t="s">
        <v>1173</v>
      </c>
      <c r="C205" t="s">
        <v>1174</v>
      </c>
      <c r="D205" s="369" t="s">
        <v>1214</v>
      </c>
      <c r="E205" s="369" t="s">
        <v>1214</v>
      </c>
      <c r="F205" s="369" t="s">
        <v>1217</v>
      </c>
      <c r="G205" s="369" t="s">
        <v>1220</v>
      </c>
    </row>
    <row r="206" spans="1:11" ht="15.5">
      <c r="A206" s="568" t="str">
        <f t="shared" si="17"/>
        <v>Integrale oplossingsrichting Ontwerp en Consult voor IMGPerceel 3 ConsultCrux Enginering B.V.(P3)</v>
      </c>
      <c r="B206" s="369" t="s">
        <v>1173</v>
      </c>
      <c r="C206" t="s">
        <v>1174</v>
      </c>
      <c r="D206" s="369" t="s">
        <v>1215</v>
      </c>
      <c r="E206" s="369" t="s">
        <v>1215</v>
      </c>
      <c r="F206" s="369" t="s">
        <v>1218</v>
      </c>
      <c r="G206" s="369" t="s">
        <v>1221</v>
      </c>
    </row>
    <row r="207" spans="1:11" ht="16" thickBot="1">
      <c r="A207" s="568" t="str">
        <f t="shared" si="17"/>
        <v>Integrale oplossingsrichting Ontwerp en Consult voor IMGPerceel 3 ConsultGalan Interim Management B.V.(P3)</v>
      </c>
      <c r="B207" s="369" t="s">
        <v>1173</v>
      </c>
      <c r="C207" t="s">
        <v>1174</v>
      </c>
      <c r="D207" s="369" t="s">
        <v>1216</v>
      </c>
      <c r="E207" s="369" t="s">
        <v>1216</v>
      </c>
      <c r="F207" s="369" t="s">
        <v>1219</v>
      </c>
      <c r="G207" s="369" t="s">
        <v>1222</v>
      </c>
    </row>
    <row r="208" spans="1:11" ht="15">
      <c r="A208" s="367" t="s">
        <v>240</v>
      </c>
      <c r="B208" s="368" t="s">
        <v>208</v>
      </c>
      <c r="C208" s="368" t="s">
        <v>209</v>
      </c>
      <c r="D208" s="368" t="s">
        <v>1104</v>
      </c>
      <c r="E208" s="368" t="s">
        <v>242</v>
      </c>
      <c r="F208" s="368" t="s">
        <v>243</v>
      </c>
      <c r="G208" s="368" t="s">
        <v>244</v>
      </c>
      <c r="H208" s="368" t="s">
        <v>245</v>
      </c>
      <c r="I208" s="368" t="s">
        <v>246</v>
      </c>
      <c r="J208" s="368" t="s">
        <v>247</v>
      </c>
      <c r="K208" s="496"/>
    </row>
    <row r="209" spans="1:11">
      <c r="A209" s="568" t="str">
        <f>CONCATENATE(B209,C209,D209)</f>
        <v>Zaakbegeleiders in het kader van de Aanpak StikstofPerceel 1 Noord. Groningen Friesland Drenthe en OverijsselAntea(Perc. 1)</v>
      </c>
      <c r="B209" s="570" t="s">
        <v>1101</v>
      </c>
      <c r="C209" s="374" t="s">
        <v>1162</v>
      </c>
      <c r="D209" s="374" t="s">
        <v>1140</v>
      </c>
      <c r="E209" s="374" t="s">
        <v>1105</v>
      </c>
      <c r="F209" s="374" t="s">
        <v>1115</v>
      </c>
      <c r="G209" s="374" t="s">
        <v>1123</v>
      </c>
      <c r="H209" s="374"/>
      <c r="I209" s="374"/>
      <c r="J209" s="374"/>
      <c r="K209" s="496" t="s">
        <v>708</v>
      </c>
    </row>
    <row r="210" spans="1:11">
      <c r="A210" s="568" t="str">
        <f t="shared" ref="A210:A221" si="18">CONCATENATE(B210,C210,D210)</f>
        <v>Zaakbegeleiders in het kader van de Aanpak StikstofPerceel 1 Noord. Groningen Friesland Drenthe en OverijsselEeckhof(Perc. 1)</v>
      </c>
      <c r="B210" s="570" t="s">
        <v>1101</v>
      </c>
      <c r="C210" s="374" t="s">
        <v>1162</v>
      </c>
      <c r="D210" s="374" t="s">
        <v>1141</v>
      </c>
      <c r="E210" s="374" t="s">
        <v>1106</v>
      </c>
      <c r="F210" s="374" t="s">
        <v>1116</v>
      </c>
      <c r="G210" s="374" t="s">
        <v>1113</v>
      </c>
      <c r="H210" s="374"/>
      <c r="I210" s="374"/>
      <c r="J210" s="374"/>
      <c r="K210" s="496" t="s">
        <v>1130</v>
      </c>
    </row>
    <row r="211" spans="1:11">
      <c r="A211" s="568" t="str">
        <f t="shared" si="18"/>
        <v>Zaakbegeleiders in het kader van de Aanpak StikstofPerceel 1 Noord. Groningen Friesland Drenthe en OverijsselEelerwoude(Perc. 1)</v>
      </c>
      <c r="B211" s="570" t="s">
        <v>1101</v>
      </c>
      <c r="C211" s="374" t="s">
        <v>1162</v>
      </c>
      <c r="D211" s="374" t="s">
        <v>1142</v>
      </c>
      <c r="E211" s="374" t="s">
        <v>1107</v>
      </c>
      <c r="F211" s="374" t="s">
        <v>1117</v>
      </c>
      <c r="G211" s="374" t="s">
        <v>1124</v>
      </c>
      <c r="H211" s="374"/>
      <c r="I211" s="374"/>
      <c r="J211" s="374"/>
      <c r="K211" s="496" t="s">
        <v>1131</v>
      </c>
    </row>
    <row r="212" spans="1:11">
      <c r="A212" s="568" t="str">
        <f t="shared" si="18"/>
        <v>Zaakbegeleiders in het kader van de Aanpak StikstofPerceel 1 Noord. Groningen Friesland Drenthe en OverijsselWeCapital(Klaart)(Perc. 1)</v>
      </c>
      <c r="B212" s="570" t="s">
        <v>1101</v>
      </c>
      <c r="C212" s="374" t="s">
        <v>1162</v>
      </c>
      <c r="D212" s="374" t="s">
        <v>1166</v>
      </c>
      <c r="E212" s="374" t="s">
        <v>1108</v>
      </c>
      <c r="F212" s="374" t="s">
        <v>1118</v>
      </c>
      <c r="G212" s="374" t="s">
        <v>1125</v>
      </c>
      <c r="H212" s="374"/>
      <c r="I212" s="374"/>
      <c r="J212" s="374"/>
      <c r="K212" s="496" t="s">
        <v>1132</v>
      </c>
    </row>
    <row r="213" spans="1:11">
      <c r="A213" s="568" t="str">
        <f t="shared" si="18"/>
        <v>Zaakbegeleiders in het kader van de Aanpak StikstofPerceel 2 Oost. Gelderland en Utrecht OostAntea(Perc. 2)</v>
      </c>
      <c r="B213" s="570" t="s">
        <v>1101</v>
      </c>
      <c r="C213" s="374" t="s">
        <v>1163</v>
      </c>
      <c r="D213" s="374" t="s">
        <v>1143</v>
      </c>
      <c r="E213" s="374" t="s">
        <v>1105</v>
      </c>
      <c r="F213" s="374" t="s">
        <v>1115</v>
      </c>
      <c r="G213" s="374" t="s">
        <v>1123</v>
      </c>
      <c r="H213" s="374"/>
      <c r="I213" s="374"/>
      <c r="J213" s="374"/>
      <c r="K213" s="496" t="s">
        <v>710</v>
      </c>
    </row>
    <row r="214" spans="1:11">
      <c r="A214" s="568" t="str">
        <f t="shared" si="18"/>
        <v>Zaakbegeleiders in het kader van de Aanpak StikstofPerceel 2 Oost. Gelderland en Utrecht OostEelerwoude(Perc. 2)</v>
      </c>
      <c r="B214" s="570" t="s">
        <v>1101</v>
      </c>
      <c r="C214" s="374" t="s">
        <v>1163</v>
      </c>
      <c r="D214" s="374" t="s">
        <v>1144</v>
      </c>
      <c r="E214" s="374" t="s">
        <v>1107</v>
      </c>
      <c r="F214" s="374" t="s">
        <v>1117</v>
      </c>
      <c r="G214" s="374" t="s">
        <v>1124</v>
      </c>
      <c r="H214" s="374"/>
      <c r="I214" s="374"/>
      <c r="J214" s="374"/>
      <c r="K214" s="496" t="s">
        <v>1133</v>
      </c>
    </row>
    <row r="215" spans="1:11">
      <c r="A215" s="568" t="str">
        <f t="shared" si="18"/>
        <v>Zaakbegeleiders in het kader van de Aanpak StikstofPerceel 2 Oost. Gelderland en Utrecht OostLorijn(Perc. 2)</v>
      </c>
      <c r="B215" s="570" t="s">
        <v>1101</v>
      </c>
      <c r="C215" s="374" t="s">
        <v>1163</v>
      </c>
      <c r="D215" s="374" t="s">
        <v>1145</v>
      </c>
      <c r="E215" s="374" t="s">
        <v>1109</v>
      </c>
      <c r="F215" s="374" t="s">
        <v>1119</v>
      </c>
      <c r="G215" s="374" t="s">
        <v>1126</v>
      </c>
      <c r="H215" s="374"/>
      <c r="I215" s="374"/>
      <c r="J215" s="374"/>
      <c r="K215" s="496" t="s">
        <v>1139</v>
      </c>
    </row>
    <row r="216" spans="1:11">
      <c r="A216" s="568" t="str">
        <f t="shared" si="18"/>
        <v>Zaakbegeleiders in het kader van de Aanpak StikstofPerceel 2 Oost. Gelderland en Utrecht OostGloudemans(Perc. 2)</v>
      </c>
      <c r="B216" s="570" t="s">
        <v>1101</v>
      </c>
      <c r="C216" s="374" t="s">
        <v>1163</v>
      </c>
      <c r="D216" s="374" t="s">
        <v>1146</v>
      </c>
      <c r="E216" s="374" t="s">
        <v>1110</v>
      </c>
      <c r="F216" s="374" t="s">
        <v>1120</v>
      </c>
      <c r="G216" s="374" t="s">
        <v>1114</v>
      </c>
      <c r="H216" s="374"/>
      <c r="I216" s="374"/>
      <c r="J216" s="374"/>
      <c r="K216" s="496" t="s">
        <v>1134</v>
      </c>
    </row>
    <row r="217" spans="1:11">
      <c r="A217" s="568" t="str">
        <f t="shared" si="18"/>
        <v>Zaakbegeleiders in het kader van de Aanpak StikstofPerceel 2 Oost. Gelderland en Utrecht OostMeander(Perc. 2)</v>
      </c>
      <c r="B217" s="570" t="s">
        <v>1101</v>
      </c>
      <c r="C217" s="374" t="s">
        <v>1163</v>
      </c>
      <c r="D217" s="374" t="s">
        <v>1147</v>
      </c>
      <c r="E217" s="374" t="s">
        <v>1111</v>
      </c>
      <c r="F217" s="374" t="s">
        <v>1121</v>
      </c>
      <c r="G217" s="374" t="s">
        <v>1127</v>
      </c>
      <c r="H217" s="374"/>
      <c r="I217" s="374"/>
      <c r="J217" s="374"/>
      <c r="K217" s="496" t="s">
        <v>1135</v>
      </c>
    </row>
    <row r="218" spans="1:11">
      <c r="A218" s="568" t="str">
        <f t="shared" si="18"/>
        <v>Zaakbegeleiders in het kader van de Aanpak StikstofPerceel 3 Zuid. Limburg en Noord Brabant Klement(Perc. 3)</v>
      </c>
      <c r="B218" s="570" t="s">
        <v>1101</v>
      </c>
      <c r="C218" s="374" t="s">
        <v>1164</v>
      </c>
      <c r="D218" s="374" t="s">
        <v>1148</v>
      </c>
      <c r="E218" s="374" t="s">
        <v>1112</v>
      </c>
      <c r="F218" s="374" t="s">
        <v>1122</v>
      </c>
      <c r="G218" s="374" t="s">
        <v>1128</v>
      </c>
      <c r="H218" s="374"/>
      <c r="I218" s="374"/>
      <c r="J218" s="374"/>
      <c r="K218" s="496" t="s">
        <v>1136</v>
      </c>
    </row>
    <row r="219" spans="1:11">
      <c r="A219" s="568" t="str">
        <f t="shared" si="18"/>
        <v>Zaakbegeleiders in het kader van de Aanpak StikstofPerceel 3 Zuid. Limburg en Noord Brabant Meander(Perc. 3)</v>
      </c>
      <c r="B219" s="570" t="s">
        <v>1101</v>
      </c>
      <c r="C219" s="374" t="s">
        <v>1164</v>
      </c>
      <c r="D219" s="374" t="s">
        <v>1149</v>
      </c>
      <c r="E219" s="374" t="s">
        <v>1111</v>
      </c>
      <c r="F219" s="374" t="s">
        <v>1121</v>
      </c>
      <c r="G219" s="374" t="s">
        <v>1127</v>
      </c>
      <c r="H219" s="374"/>
      <c r="I219" s="374"/>
      <c r="J219" s="374"/>
      <c r="K219" s="496" t="s">
        <v>1137</v>
      </c>
    </row>
    <row r="220" spans="1:11">
      <c r="A220" s="568" t="str">
        <f t="shared" si="18"/>
        <v>Zaakbegeleiders in het kader van de Aanpak StikstofPerceel 4 West. Noord Holland Zuid Holland Flevoland Zeeland en Utrecht OverigAntea(Perc. 4)</v>
      </c>
      <c r="B220" s="570" t="s">
        <v>1101</v>
      </c>
      <c r="C220" s="374" t="s">
        <v>1165</v>
      </c>
      <c r="D220" s="374" t="s">
        <v>1150</v>
      </c>
      <c r="E220" s="374" t="s">
        <v>1105</v>
      </c>
      <c r="F220" s="374" t="s">
        <v>1115</v>
      </c>
      <c r="G220" s="374" t="s">
        <v>1123</v>
      </c>
      <c r="H220" s="374"/>
      <c r="I220" s="374"/>
      <c r="J220" s="374"/>
      <c r="K220" s="496" t="s">
        <v>1129</v>
      </c>
    </row>
    <row r="221" spans="1:11">
      <c r="A221" s="568" t="str">
        <f t="shared" si="18"/>
        <v>Zaakbegeleiders in het kader van de Aanpak StikstofPerceel 4 West. Noord Holland Zuid Holland Flevoland Zeeland en Utrecht OverigEelerwoude(Perc. 4)</v>
      </c>
      <c r="B221" s="570" t="s">
        <v>1101</v>
      </c>
      <c r="C221" s="374" t="s">
        <v>1165</v>
      </c>
      <c r="D221" s="374" t="s">
        <v>1151</v>
      </c>
      <c r="E221" s="374" t="s">
        <v>1107</v>
      </c>
      <c r="F221" s="374" t="s">
        <v>1117</v>
      </c>
      <c r="G221" s="374" t="s">
        <v>1124</v>
      </c>
      <c r="H221" s="374"/>
      <c r="I221" s="374"/>
      <c r="J221" s="374"/>
      <c r="K221" s="496" t="s">
        <v>1138</v>
      </c>
    </row>
  </sheetData>
  <sheetProtection selectLockedCells="1" selectUnlockedCells="1"/>
  <sortState xmlns:xlrd2="http://schemas.microsoft.com/office/spreadsheetml/2017/richdata2" ref="D2:G8">
    <sortCondition ref="D2"/>
  </sortState>
  <hyperlinks>
    <hyperlink ref="G21" r:id="rId1" display="mailto:detacheringsdesk@ortec.com" xr:uid="{50A7A1EC-E20D-44DF-B74B-11D33608BB5A}"/>
    <hyperlink ref="H64" r:id="rId2" display="mailto:das@dpapeoplegroup.nl" xr:uid="{12ECEDA8-6090-4FA8-A988-C5FB9CA1883F}"/>
    <hyperlink ref="H65" r:id="rId3" display="mailto:rijksoverheid@goedemensen.nu" xr:uid="{51A1DC02-ECEA-4720-BCC9-BF0F3A04D3BD}"/>
  </hyperlinks>
  <pageMargins left="0.7" right="0.7" top="0.75" bottom="0.75" header="0.3" footer="0.3"/>
  <pageSetup paperSize="9" orientation="portrait" r:id="rId4"/>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129</vt:i4>
      </vt:variant>
    </vt:vector>
  </HeadingPairs>
  <TitlesOfParts>
    <vt:vector size="130" baseType="lpstr">
      <vt:lpstr>Aanvraag inhuur</vt:lpstr>
      <vt:lpstr>'Aanvraag inhuur'!_GoBack</vt:lpstr>
      <vt:lpstr>'Aanvraag inhuur'!Afdrukbereik</vt:lpstr>
      <vt:lpstr>Beoordelingsformulier!Afdrukbereik</vt:lpstr>
      <vt:lpstr>Offerteformulier!Afdrukbereik</vt:lpstr>
      <vt:lpstr>'Overzicht inhuurdesk'!Afdrukbereik</vt:lpstr>
      <vt:lpstr>'Aanvraag inhuur'!Afdruktitels</vt:lpstr>
      <vt:lpstr>Beoordelingsformulier!Afdruktitels</vt:lpstr>
      <vt:lpstr>Offerteformulier!Afdruktitels</vt:lpstr>
      <vt:lpstr>'Overzicht inhuurdesk'!Afdruktitels</vt:lpstr>
      <vt:lpstr>Auditdiensten</vt:lpstr>
      <vt:lpstr>Bedrijfsonderdeel</vt:lpstr>
      <vt:lpstr>BGTenGISspecialistenvoorRVO</vt:lpstr>
      <vt:lpstr>Communicatiecapaciteit</vt:lpstr>
      <vt:lpstr>DataSpecialisten</vt:lpstr>
      <vt:lpstr>Departement</vt:lpstr>
      <vt:lpstr>DICTU</vt:lpstr>
      <vt:lpstr>Dienst</vt:lpstr>
      <vt:lpstr>DienstverleningvanBoorspecialisten</vt:lpstr>
      <vt:lpstr>DienstverleningvanFinanciëleSpecialistenBancaire</vt:lpstr>
      <vt:lpstr>Digitalenwebanalytics</vt:lpstr>
      <vt:lpstr>EDISpecialistenophetgebiedvanEnergieDuurzaamheidenInnovatie</vt:lpstr>
      <vt:lpstr>Facilitairadviseurs</vt:lpstr>
      <vt:lpstr>FacilitairadviseursRVO</vt:lpstr>
      <vt:lpstr>Feestdagen</vt:lpstr>
      <vt:lpstr>FinanciëleAdviesdiensten</vt:lpstr>
      <vt:lpstr>Financieringsexperts</vt:lpstr>
      <vt:lpstr>HumanResourceinhuur</vt:lpstr>
      <vt:lpstr>Inkoopadviesdiensten</vt:lpstr>
      <vt:lpstr>Inkoper</vt:lpstr>
      <vt:lpstr>IntegraleoplossingsrichtingOntwerpenConsultvoorIMG</vt:lpstr>
      <vt:lpstr>InterimManagementTussenovereenkomst</vt:lpstr>
      <vt:lpstr>JuridischeCapaciteitArbeidsrechtenBedrijfsjuridisch</vt:lpstr>
      <vt:lpstr>JuridischeCapaciteitBestuursrecht</vt:lpstr>
      <vt:lpstr>KD</vt:lpstr>
      <vt:lpstr>Lijst1</vt:lpstr>
      <vt:lpstr>Lijst2</vt:lpstr>
      <vt:lpstr>LNV</vt:lpstr>
      <vt:lpstr>Medewerkerslijst</vt:lpstr>
      <vt:lpstr>MilieuInspecteurs</vt:lpstr>
      <vt:lpstr>N.v.t._bij_Woordvoeringscapaciteit</vt:lpstr>
      <vt:lpstr>N.v.t.bijBestuursrecht</vt:lpstr>
      <vt:lpstr>N.v.t.bijdataspecialisten</vt:lpstr>
      <vt:lpstr>N.v.t.bijdienstverleningvanboorspecialisten</vt:lpstr>
      <vt:lpstr>N.v.t.bijDigitalenwebanalytics</vt:lpstr>
      <vt:lpstr>N.v.t.bijfacilitairadviseurs</vt:lpstr>
      <vt:lpstr>N.v.t.bijfacilitairadviseursRVO</vt:lpstr>
      <vt:lpstr>N.v.t.bijFinancieringsexperts</vt:lpstr>
      <vt:lpstr>N.v.t.bijHumanResourceinhuur</vt:lpstr>
      <vt:lpstr>N.v.t.bijMilieuInspecteurs</vt:lpstr>
      <vt:lpstr>N.v.t.bijOrganisatieadvies</vt:lpstr>
      <vt:lpstr>N.v.t.bijWoordvoeringscapaciteit</vt:lpstr>
      <vt:lpstr>ON_Audit</vt:lpstr>
      <vt:lpstr>ON_Bancair</vt:lpstr>
      <vt:lpstr>ON_BGT_en_GIS_specialisten_voor_RVO</vt:lpstr>
      <vt:lpstr>ON_Boorspecialisten</vt:lpstr>
      <vt:lpstr>ON_Communicatie</vt:lpstr>
      <vt:lpstr>ON_Data_Analist</vt:lpstr>
      <vt:lpstr>ON_Digital</vt:lpstr>
      <vt:lpstr>ON_energie_duurzaamheid_en_innovatie</vt:lpstr>
      <vt:lpstr>ON_Facilitair</vt:lpstr>
      <vt:lpstr>ON_FacilitairRVO</vt:lpstr>
      <vt:lpstr>ON_Financieel</vt:lpstr>
      <vt:lpstr>ON_Financieringsexperts</vt:lpstr>
      <vt:lpstr>ON_HumanResourceinhuur</vt:lpstr>
      <vt:lpstr>ON_IMOA</vt:lpstr>
      <vt:lpstr>ON_Inkoop</vt:lpstr>
      <vt:lpstr>ON_IntegraleoplossingsrichtingOntwerpenConsultvoorIMG</vt:lpstr>
      <vt:lpstr>ON_Juridische_Arbeidsrecht_en_Bedrijfsjuridisch</vt:lpstr>
      <vt:lpstr>ON_Juridische_Bestuursrecht</vt:lpstr>
      <vt:lpstr>ON_Milieu</vt:lpstr>
      <vt:lpstr>ON_Onderwijskundigen</vt:lpstr>
      <vt:lpstr>ON_Organisatieadvies</vt:lpstr>
      <vt:lpstr>ON_Vergunningverleners</vt:lpstr>
      <vt:lpstr>ON_Woordvoeringscapaciteit</vt:lpstr>
      <vt:lpstr>ON_Zaakbegeleiders_in_het_kader_van_de_Aanpak_Stikstof</vt:lpstr>
      <vt:lpstr>OnderwijskundeenDigitaleLeermiddelen</vt:lpstr>
      <vt:lpstr>Organisatieadvies</vt:lpstr>
      <vt:lpstr>P1_Arbeidsjuridische_Diensten</vt:lpstr>
      <vt:lpstr>P1AdministratieenProcessen</vt:lpstr>
      <vt:lpstr>P1ArbeidsjuridischeDiensten</vt:lpstr>
      <vt:lpstr>P1bemiddelingvanwebredacteuren</vt:lpstr>
      <vt:lpstr>P1Communicatieprofessionals</vt:lpstr>
      <vt:lpstr>P1FinanciëlespecalisteninzakeMKBfinancieringen</vt:lpstr>
      <vt:lpstr>P1InhuurAuditdiensten</vt:lpstr>
      <vt:lpstr>P1Inkoopdiensten</vt:lpstr>
      <vt:lpstr>P1Programmasenopdrachten</vt:lpstr>
      <vt:lpstr>P1StrategischInterimManagement</vt:lpstr>
      <vt:lpstr>P1TechnischeVergunningverlenersMijnbouwvoorKernministerieEZK</vt:lpstr>
      <vt:lpstr>P2_Bedrijfsjuridische_Diensten</vt:lpstr>
      <vt:lpstr>P2_Inhuur_IT_Auditdiensten</vt:lpstr>
      <vt:lpstr>P2_Strategisch_interim_management_2</vt:lpstr>
      <vt:lpstr>P2_Webredactieprofessionals</vt:lpstr>
      <vt:lpstr>P2BedrijfsjuridischeDiensten</vt:lpstr>
      <vt:lpstr>P2Beheerbeleidplanningencontrol</vt:lpstr>
      <vt:lpstr>P2Financiëlespecialisteninzakefinancieringvangrotebedrijven</vt:lpstr>
      <vt:lpstr>P2InhuurITAuditdiensten</vt:lpstr>
      <vt:lpstr>P2Regelingen</vt:lpstr>
      <vt:lpstr>P2TactischInterimManagement</vt:lpstr>
      <vt:lpstr>P2TechnischeVergunningverlenersMijnbouwvoorSodM</vt:lpstr>
      <vt:lpstr>P2Webredactieprofessionals</vt:lpstr>
      <vt:lpstr>P3_Tactisch_interim_management</vt:lpstr>
      <vt:lpstr>P3Contractenleveranciersmanagement</vt:lpstr>
      <vt:lpstr>P3Financiëlespecialisteninzakerisicokapitaalprivateequity</vt:lpstr>
      <vt:lpstr>P3Onderwijskundigediensten</vt:lpstr>
      <vt:lpstr>P3Subsidieondersteuning</vt:lpstr>
      <vt:lpstr>P3Tactischinterimmanagement</vt:lpstr>
      <vt:lpstr>P4Didactischetrainingsdiensten</vt:lpstr>
      <vt:lpstr>P4financiëleadviesdienstenfiscaal</vt:lpstr>
      <vt:lpstr>P4Financiëlespecialistenmetaanvullendebenodigdeexpertise</vt:lpstr>
      <vt:lpstr>P5Maatwerkdigitaleleeractiviteiten</vt:lpstr>
      <vt:lpstr>Perceel1inhuurvanBGTspecialisten</vt:lpstr>
      <vt:lpstr>Perceel1Noord.GroningenFrieslandDrentheenOverijssel</vt:lpstr>
      <vt:lpstr>Perceel2inhuurvanGISspecialisten</vt:lpstr>
      <vt:lpstr>Perceel2Oost.GelderlandenUtrechtOost</vt:lpstr>
      <vt:lpstr>Perceel3Consult</vt:lpstr>
      <vt:lpstr>Perceel3Zuid.LimburgenNoordBrabant</vt:lpstr>
      <vt:lpstr>Perceel4West.NoordHollandZuidHollandFlevolandZeelandenUtrechtOverig</vt:lpstr>
      <vt:lpstr>Raamovereenkomsten</vt:lpstr>
      <vt:lpstr>RDI</vt:lpstr>
      <vt:lpstr>RVO</vt:lpstr>
      <vt:lpstr>Specialistenophetvlakvanenergieenduurzaamheideninnovatie</vt:lpstr>
      <vt:lpstr>Status_Aanvraag</vt:lpstr>
      <vt:lpstr>Status_kandidaat</vt:lpstr>
      <vt:lpstr>Vergunningverleners</vt:lpstr>
      <vt:lpstr>WerkveldHumanResourcesAlgemeen</vt:lpstr>
      <vt:lpstr>WerkveldMobiliteit</vt:lpstr>
      <vt:lpstr>WerkveldWervingenSelectie</vt:lpstr>
      <vt:lpstr>Woordvoeringscapaciteit</vt:lpstr>
      <vt:lpstr>ZaakbegeleidersinhetkadervandeAanpakStikstof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Niek.Meijerink@rvo.nl</dc:creator>
  <cp:lastModifiedBy>Cornello, P. (Patrick)</cp:lastModifiedBy>
  <cp:lastPrinted>2025-01-30T20:18:00Z</cp:lastPrinted>
  <dcterms:created xsi:type="dcterms:W3CDTF">2015-10-07T09:38:38Z</dcterms:created>
  <dcterms:modified xsi:type="dcterms:W3CDTF">2025-02-20T04:26:44Z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2022-09-21T07:36:59Z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659fc090-c514-4558-9e62-2a9e3c269d3b</vt:lpwstr>
  </property>
  <property fmtid="{D5CDD505-2E9C-101B-9397-08002B2CF9AE}" pid="8" name="MSIP_Label_4bde8109-f994-4a60-a1d3-5c95e2ff3620_ContentBits">
    <vt:lpwstr>0</vt:lpwstr>
  </property>
</Properties>
</file>