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8_{49EB21B9-4B8B-45DC-A567-D42727D4FEAB}" xr6:coauthVersionLast="47" xr6:coauthVersionMax="47" xr10:uidLastSave="{00000000-0000-0000-0000-000000000000}"/>
  <bookViews>
    <workbookView xWindow="780" yWindow="615" windowWidth="15390" windowHeight="15585" xr2:uid="{00000000-000D-0000-FFFF-FFFF00000000}"/>
  </bookViews>
  <sheets>
    <sheet name="Overzicht belangen" sheetId="1" r:id="rId1"/>
  </sheets>
  <definedNames>
    <definedName name="_xlnm._FilterDatabase" localSheetId="0" hidden="1">'Overzicht belangen'!#REF!</definedName>
    <definedName name="_xlnm.Print_Area" localSheetId="0">'Overzicht belangen'!$A$1:$R$82</definedName>
    <definedName name="_xlnm.Print_Titles" localSheetId="0">'Overzicht belangen'!$1:$4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8" i="1" l="1"/>
  <c r="I28" i="1"/>
  <c r="M28" i="1" s="1"/>
  <c r="G28" i="1"/>
  <c r="F28" i="1"/>
  <c r="H28" i="1" s="1"/>
  <c r="N28" i="1" l="1"/>
  <c r="M58" i="1"/>
  <c r="N58" i="1" s="1"/>
  <c r="L57" i="1"/>
  <c r="L59" i="1"/>
  <c r="K57" i="1"/>
  <c r="M57" i="1" s="1"/>
  <c r="L56" i="1"/>
  <c r="L55" i="1"/>
  <c r="K55" i="1"/>
  <c r="M55" i="1" s="1"/>
  <c r="K56" i="1"/>
  <c r="M56" i="1" s="1"/>
  <c r="M52" i="1"/>
  <c r="L54" i="1"/>
  <c r="K54" i="1"/>
  <c r="M54" i="1" s="1"/>
  <c r="L53" i="1"/>
  <c r="K53" i="1"/>
  <c r="M53" i="1" s="1"/>
  <c r="N54" i="1" l="1"/>
  <c r="N56" i="1"/>
  <c r="N55" i="1"/>
  <c r="N53" i="1"/>
  <c r="N57" i="1"/>
  <c r="L49" i="1"/>
  <c r="I49" i="1"/>
  <c r="K49" i="1" s="1"/>
  <c r="M49" i="1" s="1"/>
  <c r="F49" i="1"/>
  <c r="H49" i="1" s="1"/>
  <c r="E49" i="1"/>
  <c r="G49" i="1" s="1"/>
  <c r="L46" i="1"/>
  <c r="I46" i="1"/>
  <c r="K46" i="1" s="1"/>
  <c r="M46" i="1" s="1"/>
  <c r="G46" i="1"/>
  <c r="F46" i="1"/>
  <c r="H46" i="1" s="1"/>
  <c r="L47" i="1"/>
  <c r="I47" i="1"/>
  <c r="K47" i="1" s="1"/>
  <c r="M47" i="1" s="1"/>
  <c r="G47" i="1"/>
  <c r="F47" i="1"/>
  <c r="H47" i="1" s="1"/>
  <c r="F27" i="1"/>
  <c r="H27" i="1" s="1"/>
  <c r="L27" i="1" s="1"/>
  <c r="G27" i="1"/>
  <c r="I27" i="1"/>
  <c r="K27" i="1" s="1"/>
  <c r="M27" i="1" s="1"/>
  <c r="L40" i="1"/>
  <c r="I40" i="1"/>
  <c r="K40" i="1" s="1"/>
  <c r="M40" i="1" s="1"/>
  <c r="G40" i="1"/>
  <c r="F40" i="1"/>
  <c r="H40" i="1" s="1"/>
  <c r="L39" i="1"/>
  <c r="I39" i="1"/>
  <c r="K39" i="1" s="1"/>
  <c r="M39" i="1" s="1"/>
  <c r="G39" i="1"/>
  <c r="F39" i="1"/>
  <c r="H39" i="1" s="1"/>
  <c r="L34" i="1"/>
  <c r="I34" i="1"/>
  <c r="K34" i="1" s="1"/>
  <c r="M34" i="1" s="1"/>
  <c r="G34" i="1"/>
  <c r="F34" i="1"/>
  <c r="H34" i="1" s="1"/>
  <c r="L15" i="1"/>
  <c r="I15" i="1"/>
  <c r="K15" i="1" s="1"/>
  <c r="M15" i="1" s="1"/>
  <c r="G15" i="1"/>
  <c r="F15" i="1"/>
  <c r="H15" i="1" s="1"/>
  <c r="L12" i="1"/>
  <c r="I12" i="1"/>
  <c r="K12" i="1" s="1"/>
  <c r="M12" i="1" s="1"/>
  <c r="G12" i="1"/>
  <c r="F12" i="1"/>
  <c r="H12" i="1" s="1"/>
  <c r="L11" i="1"/>
  <c r="I11" i="1"/>
  <c r="K11" i="1" s="1"/>
  <c r="M11" i="1" s="1"/>
  <c r="G11" i="1"/>
  <c r="F11" i="1"/>
  <c r="H11" i="1" s="1"/>
  <c r="L10" i="1"/>
  <c r="I10" i="1"/>
  <c r="K10" i="1" s="1"/>
  <c r="M10" i="1" s="1"/>
  <c r="G10" i="1"/>
  <c r="F10" i="1"/>
  <c r="H10" i="1" s="1"/>
  <c r="L6" i="1"/>
  <c r="I6" i="1"/>
  <c r="K6" i="1" s="1"/>
  <c r="M6" i="1" s="1"/>
  <c r="E6" i="1"/>
  <c r="G6" i="1" s="1"/>
  <c r="D6" i="1"/>
  <c r="F6" i="1" s="1"/>
  <c r="H6" i="1" s="1"/>
  <c r="M43" i="1"/>
  <c r="L43" i="1"/>
  <c r="L60" i="1"/>
  <c r="L8" i="1"/>
  <c r="L14" i="1"/>
  <c r="L20" i="1"/>
  <c r="L23" i="1"/>
  <c r="L24" i="1"/>
  <c r="L25" i="1"/>
  <c r="L26" i="1"/>
  <c r="L29" i="1"/>
  <c r="L32" i="1"/>
  <c r="L48" i="1"/>
  <c r="N47" i="1" l="1"/>
  <c r="N11" i="1"/>
  <c r="N39" i="1"/>
  <c r="N34" i="1"/>
  <c r="N15" i="1"/>
  <c r="N27" i="1"/>
  <c r="N49" i="1"/>
  <c r="N43" i="1"/>
  <c r="N12" i="1"/>
  <c r="N40" i="1"/>
  <c r="N10" i="1"/>
  <c r="N46" i="1"/>
  <c r="N6" i="1"/>
  <c r="J60" i="1" l="1"/>
  <c r="I60" i="1" l="1"/>
  <c r="M59" i="1"/>
  <c r="N59" i="1" s="1"/>
  <c r="I42" i="1"/>
  <c r="H42" i="1"/>
  <c r="J42" i="1" s="1"/>
  <c r="L42" i="1" s="1"/>
  <c r="I41" i="1"/>
  <c r="H41" i="1"/>
  <c r="J41" i="1" s="1"/>
  <c r="L41" i="1" s="1"/>
  <c r="I37" i="1"/>
  <c r="H37" i="1"/>
  <c r="J37" i="1" s="1"/>
  <c r="L37" i="1" s="1"/>
  <c r="I36" i="1"/>
  <c r="H36" i="1"/>
  <c r="J36" i="1" s="1"/>
  <c r="L36" i="1" s="1"/>
  <c r="I22" i="1"/>
  <c r="H22" i="1"/>
  <c r="J22" i="1" s="1"/>
  <c r="L22" i="1" s="1"/>
  <c r="I13" i="1"/>
  <c r="H13" i="1"/>
  <c r="J13" i="1" s="1"/>
  <c r="L13" i="1" s="1"/>
  <c r="I9" i="1"/>
  <c r="H9" i="1"/>
  <c r="J9" i="1" s="1"/>
  <c r="L9" i="1" s="1"/>
  <c r="M60" i="1" l="1"/>
  <c r="N52" i="1"/>
  <c r="K60" i="1"/>
  <c r="I7" i="1"/>
  <c r="H7" i="1"/>
  <c r="J7" i="1" s="1"/>
  <c r="L7" i="1" s="1"/>
  <c r="N60" i="1" l="1"/>
  <c r="N76" i="1" s="1"/>
  <c r="K35" i="1"/>
  <c r="M35" i="1" s="1"/>
  <c r="K36" i="1"/>
  <c r="M36" i="1" s="1"/>
  <c r="N36" i="1" s="1"/>
  <c r="K37" i="1"/>
  <c r="M37" i="1" s="1"/>
  <c r="N37" i="1" s="1"/>
  <c r="K41" i="1"/>
  <c r="M41" i="1" s="1"/>
  <c r="N41" i="1" s="1"/>
  <c r="K42" i="1"/>
  <c r="M42" i="1" s="1"/>
  <c r="N42" i="1" s="1"/>
  <c r="K22" i="1"/>
  <c r="M22" i="1" s="1"/>
  <c r="N22" i="1" s="1"/>
  <c r="K9" i="1"/>
  <c r="M9" i="1" s="1"/>
  <c r="N9" i="1" s="1"/>
  <c r="K13" i="1"/>
  <c r="M13" i="1" s="1"/>
  <c r="N13" i="1" s="1"/>
  <c r="K7" i="1"/>
  <c r="M7" i="1" s="1"/>
  <c r="I38" i="1"/>
  <c r="K38" i="1" s="1"/>
  <c r="M38" i="1" s="1"/>
  <c r="I33" i="1"/>
  <c r="K33" i="1" s="1"/>
  <c r="I32" i="1"/>
  <c r="K32" i="1" s="1"/>
  <c r="I31" i="1"/>
  <c r="K31" i="1" s="1"/>
  <c r="M31" i="1" s="1"/>
  <c r="I48" i="1"/>
  <c r="K48" i="1" s="1"/>
  <c r="M48" i="1" s="1"/>
  <c r="N48" i="1" s="1"/>
  <c r="I30" i="1"/>
  <c r="K30" i="1" s="1"/>
  <c r="M30" i="1" s="1"/>
  <c r="I29" i="1"/>
  <c r="K29" i="1" s="1"/>
  <c r="M29" i="1" s="1"/>
  <c r="N29" i="1" s="1"/>
  <c r="I26" i="1"/>
  <c r="K26" i="1" s="1"/>
  <c r="M26" i="1" s="1"/>
  <c r="N26" i="1" s="1"/>
  <c r="N7" i="1" l="1"/>
  <c r="M32" i="1"/>
  <c r="M33" i="1"/>
  <c r="I25" i="1"/>
  <c r="K25" i="1" s="1"/>
  <c r="I24" i="1"/>
  <c r="K24" i="1" s="1"/>
  <c r="I23" i="1"/>
  <c r="K23" i="1" s="1"/>
  <c r="I21" i="1"/>
  <c r="K21" i="1" s="1"/>
  <c r="M21" i="1" s="1"/>
  <c r="I20" i="1"/>
  <c r="K20" i="1" s="1"/>
  <c r="M20" i="1" s="1"/>
  <c r="N20" i="1" s="1"/>
  <c r="I19" i="1"/>
  <c r="K19" i="1" s="1"/>
  <c r="M19" i="1" s="1"/>
  <c r="I18" i="1"/>
  <c r="K18" i="1" s="1"/>
  <c r="M18" i="1" s="1"/>
  <c r="I17" i="1"/>
  <c r="K17" i="1" s="1"/>
  <c r="M17" i="1" s="1"/>
  <c r="I16" i="1"/>
  <c r="K16" i="1" s="1"/>
  <c r="M16" i="1" s="1"/>
  <c r="I14" i="1"/>
  <c r="K14" i="1" s="1"/>
  <c r="I8" i="1"/>
  <c r="K8" i="1" s="1"/>
  <c r="M8" i="1" s="1"/>
  <c r="N8" i="1" s="1"/>
  <c r="M50" i="1"/>
  <c r="N33" i="1" l="1"/>
  <c r="N32" i="1"/>
  <c r="M25" i="1"/>
  <c r="M24" i="1"/>
  <c r="M14" i="1"/>
  <c r="N14" i="1" s="1"/>
  <c r="M23" i="1"/>
  <c r="M44" i="1" s="1"/>
  <c r="D50" i="1"/>
  <c r="E18" i="1"/>
  <c r="G18" i="1" s="1"/>
  <c r="D44" i="1"/>
  <c r="G7" i="1"/>
  <c r="G9" i="1"/>
  <c r="G35" i="1"/>
  <c r="G36" i="1"/>
  <c r="G37" i="1"/>
  <c r="G38" i="1"/>
  <c r="G30" i="1"/>
  <c r="G19" i="1"/>
  <c r="G17" i="1"/>
  <c r="G21" i="1"/>
  <c r="G41" i="1"/>
  <c r="G13" i="1"/>
  <c r="G31" i="1"/>
  <c r="G16" i="1"/>
  <c r="G22" i="1"/>
  <c r="G45" i="1"/>
  <c r="F45" i="1"/>
  <c r="H45" i="1" s="1"/>
  <c r="N25" i="1" l="1"/>
  <c r="N23" i="1"/>
  <c r="M62" i="1"/>
  <c r="N24" i="1"/>
  <c r="K50" i="1"/>
  <c r="K44" i="1"/>
  <c r="D62" i="1"/>
  <c r="I50" i="1"/>
  <c r="I44" i="1"/>
  <c r="G44" i="1"/>
  <c r="G50" i="1"/>
  <c r="I62" i="1" l="1"/>
  <c r="K62" i="1"/>
  <c r="F22" i="1"/>
  <c r="F16" i="1" l="1"/>
  <c r="H16" i="1" s="1"/>
  <c r="J16" i="1" s="1"/>
  <c r="L16" i="1" s="1"/>
  <c r="N16" i="1" l="1"/>
  <c r="F36" i="1"/>
  <c r="F37" i="1"/>
  <c r="F21" i="1"/>
  <c r="H21" i="1" s="1"/>
  <c r="J21" i="1" s="1"/>
  <c r="L21" i="1" s="1"/>
  <c r="N21" i="1" s="1"/>
  <c r="F31" i="1"/>
  <c r="H31" i="1" s="1"/>
  <c r="J31" i="1" s="1"/>
  <c r="L31" i="1" s="1"/>
  <c r="N31" i="1" s="1"/>
  <c r="F38" i="1"/>
  <c r="H38" i="1" s="1"/>
  <c r="J38" i="1" s="1"/>
  <c r="L38" i="1" s="1"/>
  <c r="N38" i="1" s="1"/>
  <c r="F41" i="1"/>
  <c r="F9" i="1"/>
  <c r="H50" i="1" l="1"/>
  <c r="F13" i="1"/>
  <c r="E44" i="1"/>
  <c r="E50" i="1"/>
  <c r="L50" i="1" l="1"/>
  <c r="J50" i="1"/>
  <c r="E62" i="1"/>
  <c r="F17" i="1"/>
  <c r="F50" i="1"/>
  <c r="F30" i="1"/>
  <c r="F19" i="1"/>
  <c r="F18" i="1"/>
  <c r="F35" i="1"/>
  <c r="N50" i="1" l="1"/>
  <c r="N75" i="1" s="1"/>
  <c r="H35" i="1"/>
  <c r="H18" i="1"/>
  <c r="H19" i="1"/>
  <c r="H30" i="1"/>
  <c r="H17" i="1"/>
  <c r="F7" i="1"/>
  <c r="J17" i="1" l="1"/>
  <c r="L17" i="1" s="1"/>
  <c r="J35" i="1"/>
  <c r="L35" i="1" s="1"/>
  <c r="N35" i="1" s="1"/>
  <c r="J30" i="1"/>
  <c r="L30" i="1" s="1"/>
  <c r="N30" i="1" s="1"/>
  <c r="J19" i="1"/>
  <c r="L19" i="1" s="1"/>
  <c r="N19" i="1" s="1"/>
  <c r="J18" i="1"/>
  <c r="L18" i="1" s="1"/>
  <c r="N18" i="1" s="1"/>
  <c r="H44" i="1"/>
  <c r="H62" i="1" s="1"/>
  <c r="F44" i="1"/>
  <c r="F62" i="1" s="1"/>
  <c r="N17" i="1" l="1"/>
  <c r="N44" i="1"/>
  <c r="J44" i="1"/>
  <c r="J62" i="1" s="1"/>
  <c r="G62" i="1"/>
  <c r="L44" i="1" l="1"/>
  <c r="L62" i="1" l="1"/>
  <c r="N62" i="1"/>
  <c r="N74" i="1"/>
  <c r="N7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P6" authorId="0" shapeId="0" xr:uid="{FEF2F48A-00A9-4109-A452-36777697E9CF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10" authorId="0" shapeId="0" xr:uid="{A9D6EA3A-CE28-4525-A8DF-EEE887991ECE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11" authorId="0" shapeId="0" xr:uid="{B93CB930-0CEB-4863-8F75-B685A507C725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12" authorId="0" shapeId="0" xr:uid="{59287A62-36C3-4022-A817-6FE93CBF6E27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15" authorId="0" shapeId="0" xr:uid="{50AA660C-42D6-4161-B0FE-4F26E51955C6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28" authorId="0" shapeId="0" xr:uid="{F5B00D11-AD9C-4FB7-9B89-8C76D31F09B9}">
      <text>
        <r>
          <rPr>
            <sz val="9"/>
            <color indexed="81"/>
            <rFont val="Tahoma"/>
            <family val="2"/>
          </rPr>
          <t>exclusief fundering
betreft een verdiepingsdeel van VvE-complex</t>
        </r>
      </text>
    </comment>
    <comment ref="P34" authorId="0" shapeId="0" xr:uid="{6FE86593-5B9C-40BF-992B-3C6659EE3EAB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39" authorId="0" shapeId="0" xr:uid="{BBA502E8-07E8-48D0-A3B7-6D9A79FF4261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40" authorId="0" shapeId="0" xr:uid="{568402CD-6F35-4E26-A239-7A062B83724F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46" authorId="0" shapeId="0" xr:uid="{8A6F001C-4BA2-4182-99A9-39B56227563C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47" authorId="0" shapeId="0" xr:uid="{2F2E9BFB-77A6-4CD2-9437-0E792C282D90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P49" authorId="0" shapeId="0" xr:uid="{94BF4809-4D6C-4E2C-8711-2A7B7047570B}">
      <text>
        <r>
          <rPr>
            <sz val="9"/>
            <color indexed="81"/>
            <rFont val="Tahoma"/>
            <family val="2"/>
          </rPr>
          <t>exclusief fundering</t>
        </r>
      </text>
    </comment>
  </commentList>
</comments>
</file>

<file path=xl/sharedStrings.xml><?xml version="1.0" encoding="utf-8"?>
<sst xmlns="http://schemas.openxmlformats.org/spreadsheetml/2006/main" count="290" uniqueCount="179">
  <si>
    <t>1213 NW</t>
  </si>
  <si>
    <t>Hilversum</t>
  </si>
  <si>
    <t>Arena 303 (G&amp;V)</t>
  </si>
  <si>
    <t>Bijlmerdreef 1289 CEC</t>
  </si>
  <si>
    <t>1103  TV</t>
  </si>
  <si>
    <t>Amsterdam Zuidoost</t>
  </si>
  <si>
    <t>1053 ZN</t>
  </si>
  <si>
    <t>Amsterdam</t>
  </si>
  <si>
    <t>Da Costastraat 60-64</t>
  </si>
  <si>
    <t>1053 ZP</t>
  </si>
  <si>
    <t>Da Costastraat 91</t>
  </si>
  <si>
    <t>1053 ZH</t>
  </si>
  <si>
    <t>Elandstraat 175</t>
  </si>
  <si>
    <t>1016 SB</t>
  </si>
  <si>
    <t>1102 CV</t>
  </si>
  <si>
    <t>Opaallaan 25</t>
  </si>
  <si>
    <t>2132 XV</t>
  </si>
  <si>
    <t>Hoofddorp</t>
  </si>
  <si>
    <t>Parallelweg 1</t>
  </si>
  <si>
    <t>1405 AE</t>
  </si>
  <si>
    <t>Bussum</t>
  </si>
  <si>
    <t xml:space="preserve">Postjesweg 1 </t>
  </si>
  <si>
    <t>1057 DT</t>
  </si>
  <si>
    <t>1071 VE</t>
  </si>
  <si>
    <t>1071 SX</t>
  </si>
  <si>
    <t>Ruysdaelstraat 67</t>
  </si>
  <si>
    <t>1071 XB</t>
  </si>
  <si>
    <t>1043 EB</t>
  </si>
  <si>
    <t>1112 AX</t>
  </si>
  <si>
    <t>Diemen</t>
  </si>
  <si>
    <t>1185ZC</t>
  </si>
  <si>
    <t>Amstelveen</t>
  </si>
  <si>
    <t>Gare du Nord 5-13</t>
  </si>
  <si>
    <t>1022 LD</t>
  </si>
  <si>
    <t>Europaboulevard 13</t>
  </si>
  <si>
    <t>1079 LD</t>
  </si>
  <si>
    <t>1334 PA</t>
  </si>
  <si>
    <t>Almere</t>
  </si>
  <si>
    <t>Agorawagenplein 1</t>
  </si>
  <si>
    <t>8224 KP</t>
  </si>
  <si>
    <t>Lelystad</t>
  </si>
  <si>
    <t>1097 DP</t>
  </si>
  <si>
    <t xml:space="preserve">Rietwijkerstraat 55 </t>
  </si>
  <si>
    <t>1059 VX</t>
  </si>
  <si>
    <t xml:space="preserve">E. de Roodestraat 18 </t>
  </si>
  <si>
    <t xml:space="preserve">1056 AM </t>
  </si>
  <si>
    <t>Meeuwenlaan 132</t>
  </si>
  <si>
    <t xml:space="preserve">Buiksloterweg 85 </t>
  </si>
  <si>
    <t>1031 CG</t>
  </si>
  <si>
    <t>Javaplantsoen 24</t>
  </si>
  <si>
    <t>1095 CS</t>
  </si>
  <si>
    <t>Totaal ROC van Amsterdam</t>
  </si>
  <si>
    <t>Totaal ROC Flevoland</t>
  </si>
  <si>
    <t>Totaal</t>
  </si>
  <si>
    <t>Adres</t>
  </si>
  <si>
    <t>Postcode</t>
  </si>
  <si>
    <t>Plaats</t>
  </si>
  <si>
    <t>Da Costastraat 36-38</t>
  </si>
  <si>
    <t>Object</t>
  </si>
  <si>
    <t>Gebouw</t>
  </si>
  <si>
    <t>Inventaris</t>
  </si>
  <si>
    <t>Datum</t>
  </si>
  <si>
    <t>Nr.</t>
  </si>
  <si>
    <t>Taxatie Troostwijk</t>
  </si>
  <si>
    <t>00226776001-7</t>
  </si>
  <si>
    <t>Geldigheidsduur</t>
  </si>
  <si>
    <t>Gebouwen</t>
  </si>
  <si>
    <t>6 jaar</t>
  </si>
  <si>
    <t>3 jaar</t>
  </si>
  <si>
    <t>taxatierapporten:</t>
  </si>
  <si>
    <t>Maalderij 37</t>
  </si>
  <si>
    <t>1217 WJ</t>
  </si>
  <si>
    <t>Diamantlaan 29</t>
  </si>
  <si>
    <t>2132 WV</t>
  </si>
  <si>
    <t>1217 ZE</t>
  </si>
  <si>
    <t>Joop van der Endeplein 17</t>
  </si>
  <si>
    <t>Foekje Dillemastraat 1</t>
  </si>
  <si>
    <t>1095 MK</t>
  </si>
  <si>
    <t>Winterspelenplein 25</t>
  </si>
  <si>
    <t xml:space="preserve">totaal </t>
  </si>
  <si>
    <t>Economisch v/d. 
Gemeente Amsterdam (code 6):</t>
  </si>
  <si>
    <t>Pierre de Coubertinlaan 1</t>
  </si>
  <si>
    <t>Badhuiskade 361</t>
  </si>
  <si>
    <t>1031 KV</t>
  </si>
  <si>
    <t>1362 LA</t>
  </si>
  <si>
    <t>ROC van Amsterdam &amp; ROC Flevoland</t>
  </si>
  <si>
    <t>Gebouwen /  
Huurdersbelangen  2020</t>
  </si>
  <si>
    <t>Bedrijfsuitrusting / Inventaris 2020</t>
  </si>
  <si>
    <t>Kabelweg 88</t>
  </si>
  <si>
    <t>Gebouwen /  
Huurdersbelangen  2021</t>
  </si>
  <si>
    <t>Bedrijfsuitrusting / Inventaris 2021</t>
  </si>
  <si>
    <t>Arena 301 (G&amp;V), inclusief zonnepanelen</t>
  </si>
  <si>
    <t>Fraijlemaborg 135-141, inclusief zonnepanelen</t>
  </si>
  <si>
    <t>Bedrijfsuitrusting / Inventaris 2022</t>
  </si>
  <si>
    <t>Gebouwen /  
Huurdersbelangen  2022</t>
  </si>
  <si>
    <t>Straat van Florida 1, 2, 4 
(inclusief zonnepanelen)</t>
  </si>
  <si>
    <t>meeverzekeren holobox zie mail 180722 en 270722
Holobox tijdelijk naar college Westpoort zie mail 241022</t>
  </si>
  <si>
    <t>Bedrijfsuitrusting / Inventaris 2023</t>
  </si>
  <si>
    <t>indexcijfer 124,9</t>
  </si>
  <si>
    <t>indexcijfer 122,5</t>
  </si>
  <si>
    <t>Bob Spaaklaantje 2a</t>
  </si>
  <si>
    <t>1217 ZG</t>
  </si>
  <si>
    <t>Dr. Jan van Bremenstraat 1</t>
  </si>
  <si>
    <t>1056 AB</t>
  </si>
  <si>
    <t>1014 BC</t>
  </si>
  <si>
    <t>Hannie Dankbaarpassage 22</t>
  </si>
  <si>
    <t>1053 RT</t>
  </si>
  <si>
    <t>Karspeldreef 501</t>
  </si>
  <si>
    <t>1102 BX</t>
  </si>
  <si>
    <t>Kees Buurmanlaan 2</t>
  </si>
  <si>
    <t>1217 GP</t>
  </si>
  <si>
    <t>Kerkstraat 6327</t>
  </si>
  <si>
    <t>1211 CL</t>
  </si>
  <si>
    <t>Koos Postemalaan 4</t>
  </si>
  <si>
    <t>1217 ZC</t>
  </si>
  <si>
    <t>1061 MA
1061 MB</t>
  </si>
  <si>
    <t>Amsterdam
Amsterdam</t>
  </si>
  <si>
    <t>Louwesweg 6</t>
  </si>
  <si>
    <t>1066 CE</t>
  </si>
  <si>
    <t>Maraboeweg 12</t>
  </si>
  <si>
    <t>8212 NV</t>
  </si>
  <si>
    <t>Mart Smeetslaan 1 (Heideheuvel 1)</t>
  </si>
  <si>
    <t>Mart Smeetslaan 2 (Heideheuvel 3)</t>
  </si>
  <si>
    <t>Mijehof 406</t>
  </si>
  <si>
    <t>1106 HW</t>
  </si>
  <si>
    <t>Roelof Hartstraat 6-8</t>
  </si>
  <si>
    <t>Reijnier Vinkeleskade 62</t>
  </si>
  <si>
    <t>Verrijnstuartweg 48/
Volmersstraat 11</t>
  </si>
  <si>
    <t>Wassenaarseweg 75</t>
  </si>
  <si>
    <t>2223 LA</t>
  </si>
  <si>
    <t>Katwijk</t>
  </si>
  <si>
    <t>247477-02-0</t>
  </si>
  <si>
    <t>226776-02-0-1</t>
  </si>
  <si>
    <t>aanpassing vs gebouwen ivm taxatie zie mail 010923</t>
  </si>
  <si>
    <t>226776-02-0-2</t>
  </si>
  <si>
    <t>226776-02-0-3</t>
  </si>
  <si>
    <t>226776-02-0-4</t>
  </si>
  <si>
    <t>226776-02-0-5</t>
  </si>
  <si>
    <t>226776-02-0-6</t>
  </si>
  <si>
    <t>226776-02-0-7</t>
  </si>
  <si>
    <t>226776-02-0-8</t>
  </si>
  <si>
    <t>226776-02-0-9</t>
  </si>
  <si>
    <t>226776-02-0-10</t>
  </si>
  <si>
    <t>226776-02-0-11</t>
  </si>
  <si>
    <t>226776-02-0-12</t>
  </si>
  <si>
    <t>Vlaardingenlaan 15</t>
  </si>
  <si>
    <t>1062 HM</t>
  </si>
  <si>
    <t>Burgerweeshuispad 54</t>
  </si>
  <si>
    <t>1076 EP</t>
  </si>
  <si>
    <t>Wibautstraat 135-139</t>
  </si>
  <si>
    <t>1097 DN</t>
  </si>
  <si>
    <t>NDSM-straat 1</t>
  </si>
  <si>
    <t>1033 SB</t>
  </si>
  <si>
    <t>Bos &amp; Lommerplein 154</t>
  </si>
  <si>
    <t>1055 EK</t>
  </si>
  <si>
    <t>Javaplantsoen 17-19</t>
  </si>
  <si>
    <t>1095 CR</t>
  </si>
  <si>
    <t>Louwesweg 6 
(gedeelte van het gebouw 5e en 6e verdieping)(inventaris)</t>
  </si>
  <si>
    <t>1066 EC</t>
  </si>
  <si>
    <t>Louwesweg 6 
(gedeelte van het gebouw 5e en 6e verdieping)(huurdersbelang)</t>
  </si>
  <si>
    <t>Totaal voorheen ROC TOP</t>
  </si>
  <si>
    <t>1095 PN</t>
  </si>
  <si>
    <t>1362 LE</t>
  </si>
  <si>
    <t>Bauschplein 4 (laboratorium)</t>
  </si>
  <si>
    <t>Bedrijfsuitrusting / Inventaris 2024</t>
  </si>
  <si>
    <t>indexcijfer 130,8</t>
  </si>
  <si>
    <t>indexcijfer 127,2</t>
  </si>
  <si>
    <t>Laan van Spartaan 2/
Rinus Michielslaan 20</t>
  </si>
  <si>
    <t>Lengkeek 4090714-5</t>
  </si>
  <si>
    <t>Lengkeek 4090714-4</t>
  </si>
  <si>
    <t>huurdersbelang</t>
  </si>
  <si>
    <t>Lengkeek 4090714-3</t>
  </si>
  <si>
    <t>Lengkeek 4090714-1</t>
  </si>
  <si>
    <t>Lengkeek 4090714-2</t>
  </si>
  <si>
    <t>Lengkeek 4090714-6</t>
  </si>
  <si>
    <t>Lengkeek 4090714-7</t>
  </si>
  <si>
    <t>1061 MB</t>
  </si>
  <si>
    <t>Rinus Michielslaan 20</t>
  </si>
  <si>
    <t>Tempelhofstraat 74-84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</si>
</sst>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-2]\ * #,##0.00_-;_-[$€-2]\ * #,##0.00\-;_-[$€-2]\ * &quot;-&quot;??_-"/>
    <numFmt numFmtId="167" formatCode="_-* #,##0_-;_-* #,##0\-;_-* &quot;-&quot;??_-;_-@_-"/>
    <numFmt numFmtId="168" formatCode="_ [$€-413]\ * #,##0.00_ ;_ [$€-413]\ * \-#,##0.00_ ;_ [$€-413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6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3" applyNumberFormat="0" applyAlignment="0" applyProtection="0"/>
    <xf numFmtId="0" fontId="7" fillId="22" borderId="4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5" applyNumberFormat="0" applyFill="0" applyAlignment="0" applyProtection="0"/>
    <xf numFmtId="0" fontId="9" fillId="5" borderId="0" applyNumberFormat="0" applyBorder="0" applyAlignment="0" applyProtection="0"/>
    <xf numFmtId="0" fontId="10" fillId="8" borderId="3" applyNumberFormat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23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5" fillId="4" borderId="0" applyNumberFormat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1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center"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2" xfId="0" applyFont="1" applyBorder="1" applyAlignment="1">
      <alignment vertical="top" wrapText="1"/>
    </xf>
    <xf numFmtId="14" fontId="21" fillId="0" borderId="2" xfId="0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top" wrapText="1"/>
    </xf>
    <xf numFmtId="14" fontId="21" fillId="0" borderId="1" xfId="0" applyNumberFormat="1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165" fontId="21" fillId="0" borderId="1" xfId="3" applyFont="1" applyFill="1" applyBorder="1" applyAlignment="1">
      <alignment horizontal="left" vertical="top" wrapText="1"/>
    </xf>
    <xf numFmtId="167" fontId="21" fillId="0" borderId="1" xfId="3" applyNumberFormat="1" applyFont="1" applyFill="1" applyBorder="1" applyAlignment="1">
      <alignment horizontal="left" vertical="top" wrapText="1"/>
    </xf>
    <xf numFmtId="0" fontId="23" fillId="0" borderId="1" xfId="1" applyFont="1" applyFill="1" applyBorder="1" applyAlignment="1">
      <alignment horizontal="left" vertical="top" wrapText="1"/>
    </xf>
    <xf numFmtId="165" fontId="23" fillId="0" borderId="1" xfId="3" applyFont="1" applyFill="1" applyBorder="1" applyAlignment="1">
      <alignment horizontal="left" vertical="top" wrapText="1"/>
    </xf>
    <xf numFmtId="167" fontId="23" fillId="0" borderId="1" xfId="3" applyNumberFormat="1" applyFont="1" applyFill="1" applyBorder="1" applyAlignment="1">
      <alignment horizontal="left" vertical="top" wrapText="1"/>
    </xf>
    <xf numFmtId="0" fontId="21" fillId="0" borderId="0" xfId="0" applyFont="1" applyBorder="1" applyAlignment="1">
      <alignment horizontal="center" vertical="top" wrapText="1"/>
    </xf>
    <xf numFmtId="167" fontId="21" fillId="0" borderId="1" xfId="0" applyNumberFormat="1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164" fontId="21" fillId="0" borderId="1" xfId="2" applyFont="1" applyFill="1" applyBorder="1" applyAlignment="1">
      <alignment horizontal="left" vertical="top" wrapText="1"/>
    </xf>
    <xf numFmtId="165" fontId="23" fillId="0" borderId="1" xfId="0" applyNumberFormat="1" applyFont="1" applyFill="1" applyBorder="1" applyAlignment="1">
      <alignment horizontal="left" vertical="top" wrapText="1"/>
    </xf>
    <xf numFmtId="167" fontId="23" fillId="0" borderId="1" xfId="0" applyNumberFormat="1" applyFont="1" applyFill="1" applyBorder="1" applyAlignment="1">
      <alignment horizontal="left" vertical="top" wrapText="1"/>
    </xf>
    <xf numFmtId="167" fontId="21" fillId="0" borderId="0" xfId="0" applyNumberFormat="1" applyFont="1" applyAlignment="1">
      <alignment vertical="top" wrapText="1"/>
    </xf>
    <xf numFmtId="167" fontId="23" fillId="0" borderId="0" xfId="0" applyNumberFormat="1" applyFont="1" applyAlignment="1">
      <alignment vertical="top" wrapText="1"/>
    </xf>
    <xf numFmtId="0" fontId="23" fillId="0" borderId="1" xfId="1" applyFont="1" applyFill="1" applyBorder="1" applyAlignment="1">
      <alignment horizontal="center" vertical="top" wrapText="1"/>
    </xf>
    <xf numFmtId="0" fontId="21" fillId="0" borderId="21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  <xf numFmtId="44" fontId="21" fillId="0" borderId="1" xfId="359" applyFont="1" applyFill="1" applyBorder="1" applyAlignment="1">
      <alignment horizontal="left" vertical="top" wrapText="1"/>
    </xf>
    <xf numFmtId="44" fontId="23" fillId="0" borderId="1" xfId="359" applyFont="1" applyFill="1" applyBorder="1" applyAlignment="1">
      <alignment horizontal="left" vertical="top" wrapText="1"/>
    </xf>
    <xf numFmtId="44" fontId="24" fillId="0" borderId="1" xfId="359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165" fontId="22" fillId="2" borderId="16" xfId="3" applyFont="1" applyFill="1" applyBorder="1" applyAlignment="1">
      <alignment horizontal="center" vertical="top" wrapText="1"/>
    </xf>
    <xf numFmtId="165" fontId="22" fillId="2" borderId="1" xfId="3" applyFont="1" applyFill="1" applyBorder="1" applyAlignment="1">
      <alignment horizontal="center" vertical="top" wrapText="1"/>
    </xf>
    <xf numFmtId="165" fontId="22" fillId="2" borderId="21" xfId="3" applyFont="1" applyFill="1" applyBorder="1" applyAlignment="1">
      <alignment horizontal="center" vertical="top" wrapText="1"/>
    </xf>
    <xf numFmtId="165" fontId="22" fillId="2" borderId="2" xfId="3" applyFont="1" applyFill="1" applyBorder="1" applyAlignment="1">
      <alignment horizontal="center" vertical="top" wrapText="1"/>
    </xf>
    <xf numFmtId="0" fontId="22" fillId="2" borderId="1" xfId="1" applyFont="1" applyFill="1" applyBorder="1" applyAlignment="1">
      <alignment horizontal="left" vertical="top" wrapText="1"/>
    </xf>
    <xf numFmtId="0" fontId="22" fillId="2" borderId="1" xfId="1" applyFont="1" applyFill="1" applyBorder="1" applyAlignment="1">
      <alignment horizontal="center" vertical="top" wrapText="1"/>
    </xf>
    <xf numFmtId="0" fontId="22" fillId="2" borderId="18" xfId="1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4" fontId="21" fillId="0" borderId="1" xfId="359" applyFont="1" applyBorder="1" applyAlignment="1">
      <alignment vertical="top" wrapText="1"/>
    </xf>
    <xf numFmtId="14" fontId="21" fillId="0" borderId="1" xfId="0" applyNumberFormat="1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left" vertical="top"/>
    </xf>
    <xf numFmtId="9" fontId="21" fillId="0" borderId="0" xfId="0" applyNumberFormat="1" applyFont="1" applyAlignment="1">
      <alignment vertical="top" wrapText="1"/>
    </xf>
    <xf numFmtId="168" fontId="21" fillId="0" borderId="1" xfId="359" applyNumberFormat="1" applyFont="1" applyFill="1" applyBorder="1" applyAlignment="1">
      <alignment horizontal="left" vertical="top"/>
    </xf>
    <xf numFmtId="168" fontId="21" fillId="0" borderId="1" xfId="359" applyNumberFormat="1" applyFont="1" applyBorder="1" applyAlignment="1">
      <alignment vertical="top"/>
    </xf>
    <xf numFmtId="168" fontId="23" fillId="0" borderId="1" xfId="359" applyNumberFormat="1" applyFont="1" applyFill="1" applyBorder="1" applyAlignment="1">
      <alignment horizontal="left" vertical="top"/>
    </xf>
    <xf numFmtId="44" fontId="21" fillId="0" borderId="0" xfId="359" applyFont="1" applyAlignment="1">
      <alignment vertical="top" wrapText="1"/>
    </xf>
    <xf numFmtId="44" fontId="21" fillId="0" borderId="0" xfId="0" applyNumberFormat="1" applyFont="1" applyAlignment="1">
      <alignment vertical="top" wrapText="1"/>
    </xf>
    <xf numFmtId="165" fontId="22" fillId="2" borderId="12" xfId="3" applyFont="1" applyFill="1" applyBorder="1" applyAlignment="1">
      <alignment horizontal="center" vertical="top" wrapText="1"/>
    </xf>
    <xf numFmtId="165" fontId="22" fillId="2" borderId="2" xfId="3" applyFont="1" applyFill="1" applyBorder="1" applyAlignment="1">
      <alignment horizontal="center" vertical="top" wrapText="1"/>
    </xf>
    <xf numFmtId="165" fontId="22" fillId="2" borderId="1" xfId="3" applyFont="1" applyFill="1" applyBorder="1" applyAlignment="1">
      <alignment horizontal="center" vertical="top" wrapText="1"/>
    </xf>
    <xf numFmtId="165" fontId="22" fillId="2" borderId="19" xfId="3" applyFont="1" applyFill="1" applyBorder="1" applyAlignment="1">
      <alignment horizontal="center" vertical="top" wrapText="1"/>
    </xf>
    <xf numFmtId="165" fontId="22" fillId="2" borderId="20" xfId="3" applyFont="1" applyFill="1" applyBorder="1" applyAlignment="1">
      <alignment horizontal="center" vertical="top" wrapText="1"/>
    </xf>
    <xf numFmtId="165" fontId="22" fillId="2" borderId="21" xfId="3" applyFont="1" applyFill="1" applyBorder="1" applyAlignment="1">
      <alignment horizontal="center" vertical="top" wrapText="1"/>
    </xf>
    <xf numFmtId="0" fontId="22" fillId="2" borderId="13" xfId="1" applyFont="1" applyFill="1" applyBorder="1" applyAlignment="1">
      <alignment horizontal="center" vertical="top" wrapText="1"/>
    </xf>
    <xf numFmtId="0" fontId="22" fillId="2" borderId="14" xfId="1" applyFont="1" applyFill="1" applyBorder="1" applyAlignment="1">
      <alignment horizontal="center" vertical="top" wrapText="1"/>
    </xf>
    <xf numFmtId="0" fontId="22" fillId="2" borderId="15" xfId="1" applyFont="1" applyFill="1" applyBorder="1" applyAlignment="1">
      <alignment horizontal="center" vertical="top" wrapText="1"/>
    </xf>
    <xf numFmtId="0" fontId="22" fillId="2" borderId="19" xfId="1" applyFont="1" applyFill="1" applyBorder="1" applyAlignment="1">
      <alignment horizontal="center" vertical="top" wrapText="1"/>
    </xf>
    <xf numFmtId="0" fontId="22" fillId="2" borderId="0" xfId="1" applyFont="1" applyFill="1" applyBorder="1" applyAlignment="1">
      <alignment horizontal="center" vertical="top" wrapText="1"/>
    </xf>
    <xf numFmtId="0" fontId="22" fillId="2" borderId="20" xfId="1" applyFont="1" applyFill="1" applyBorder="1" applyAlignment="1">
      <alignment horizontal="center" vertical="top" wrapText="1"/>
    </xf>
    <xf numFmtId="0" fontId="22" fillId="2" borderId="16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left" vertical="top" wrapText="1"/>
    </xf>
    <xf numFmtId="165" fontId="22" fillId="2" borderId="0" xfId="3" applyFont="1" applyFill="1" applyBorder="1" applyAlignment="1">
      <alignment horizontal="center" vertical="top" wrapText="1"/>
    </xf>
    <xf numFmtId="0" fontId="22" fillId="2" borderId="1" xfId="1" applyFont="1" applyFill="1" applyBorder="1" applyAlignment="1">
      <alignment horizontal="left" vertical="top" wrapText="1"/>
    </xf>
    <xf numFmtId="0" fontId="22" fillId="2" borderId="1" xfId="1" applyFont="1" applyFill="1" applyBorder="1" applyAlignment="1">
      <alignment horizontal="center" vertical="top" wrapText="1"/>
    </xf>
    <xf numFmtId="0" fontId="22" fillId="2" borderId="16" xfId="1" applyFont="1" applyFill="1" applyBorder="1" applyAlignment="1">
      <alignment horizontal="center" vertical="top" wrapText="1"/>
    </xf>
    <xf numFmtId="0" fontId="22" fillId="2" borderId="18" xfId="1" applyFont="1" applyFill="1" applyBorder="1" applyAlignment="1">
      <alignment horizontal="center" vertical="top" wrapText="1"/>
    </xf>
  </cellXfs>
  <cellStyles count="360">
    <cellStyle name="20% - Accent1 2" xfId="19" xr:uid="{00000000-0005-0000-0000-000000000000}"/>
    <cellStyle name="20% - Accent2 2" xfId="20" xr:uid="{00000000-0005-0000-0000-000001000000}"/>
    <cellStyle name="20% - Accent3 2" xfId="21" xr:uid="{00000000-0005-0000-0000-000002000000}"/>
    <cellStyle name="20% - Accent4 2" xfId="22" xr:uid="{00000000-0005-0000-0000-000003000000}"/>
    <cellStyle name="20% - Accent5 2" xfId="23" xr:uid="{00000000-0005-0000-0000-000004000000}"/>
    <cellStyle name="20% - Accent6 2" xfId="24" xr:uid="{00000000-0005-0000-0000-000005000000}"/>
    <cellStyle name="40% - Accent1 2" xfId="25" xr:uid="{00000000-0005-0000-0000-000006000000}"/>
    <cellStyle name="40% - Accent2 2" xfId="26" xr:uid="{00000000-0005-0000-0000-000007000000}"/>
    <cellStyle name="40% - Accent3 2" xfId="27" xr:uid="{00000000-0005-0000-0000-000008000000}"/>
    <cellStyle name="40% - Accent4 2" xfId="28" xr:uid="{00000000-0005-0000-0000-000009000000}"/>
    <cellStyle name="40% - Accent5 2" xfId="29" xr:uid="{00000000-0005-0000-0000-00000A000000}"/>
    <cellStyle name="40% - Accent6 2" xfId="30" xr:uid="{00000000-0005-0000-0000-00000B000000}"/>
    <cellStyle name="60% - Accent1 2" xfId="31" xr:uid="{00000000-0005-0000-0000-00000C000000}"/>
    <cellStyle name="60% - Accent2 2" xfId="32" xr:uid="{00000000-0005-0000-0000-00000D000000}"/>
    <cellStyle name="60% - Accent3 2" xfId="33" xr:uid="{00000000-0005-0000-0000-00000E000000}"/>
    <cellStyle name="60% - Accent4 2" xfId="34" xr:uid="{00000000-0005-0000-0000-00000F000000}"/>
    <cellStyle name="60% - Accent5 2" xfId="35" xr:uid="{00000000-0005-0000-0000-000010000000}"/>
    <cellStyle name="60% - Accent6 2" xfId="36" xr:uid="{00000000-0005-0000-0000-000011000000}"/>
    <cellStyle name="Accent1 2" xfId="37" xr:uid="{00000000-0005-0000-0000-000012000000}"/>
    <cellStyle name="Accent2 2" xfId="38" xr:uid="{00000000-0005-0000-0000-000013000000}"/>
    <cellStyle name="Accent3 2" xfId="39" xr:uid="{00000000-0005-0000-0000-000014000000}"/>
    <cellStyle name="Accent4 2" xfId="40" xr:uid="{00000000-0005-0000-0000-000015000000}"/>
    <cellStyle name="Accent5 2" xfId="41" xr:uid="{00000000-0005-0000-0000-000016000000}"/>
    <cellStyle name="Accent6 2" xfId="42" xr:uid="{00000000-0005-0000-0000-000017000000}"/>
    <cellStyle name="Berekening 2" xfId="43" xr:uid="{00000000-0005-0000-0000-000018000000}"/>
    <cellStyle name="Controlecel 2" xfId="44" xr:uid="{00000000-0005-0000-0000-000019000000}"/>
    <cellStyle name="Euro" xfId="2" xr:uid="{00000000-0005-0000-0000-00001A000000}"/>
    <cellStyle name="Euro 2" xfId="5" xr:uid="{00000000-0005-0000-0000-00001B000000}"/>
    <cellStyle name="Euro 2 2" xfId="45" xr:uid="{00000000-0005-0000-0000-00001C000000}"/>
    <cellStyle name="Euro 2 2 2" xfId="46" xr:uid="{00000000-0005-0000-0000-00001D000000}"/>
    <cellStyle name="Euro 2 2 3" xfId="47" xr:uid="{00000000-0005-0000-0000-00001E000000}"/>
    <cellStyle name="Euro 2 2 4" xfId="48" xr:uid="{00000000-0005-0000-0000-00001F000000}"/>
    <cellStyle name="Euro 2 3" xfId="49" xr:uid="{00000000-0005-0000-0000-000020000000}"/>
    <cellStyle name="Euro 2 3 2" xfId="50" xr:uid="{00000000-0005-0000-0000-000021000000}"/>
    <cellStyle name="Euro 2 4" xfId="51" xr:uid="{00000000-0005-0000-0000-000022000000}"/>
    <cellStyle name="Euro 2 5" xfId="52" xr:uid="{00000000-0005-0000-0000-000023000000}"/>
    <cellStyle name="Euro 2 6" xfId="53" xr:uid="{00000000-0005-0000-0000-000024000000}"/>
    <cellStyle name="Euro 3" xfId="54" xr:uid="{00000000-0005-0000-0000-000025000000}"/>
    <cellStyle name="Euro 3 2" xfId="55" xr:uid="{00000000-0005-0000-0000-000026000000}"/>
    <cellStyle name="Euro 4" xfId="56" xr:uid="{00000000-0005-0000-0000-000027000000}"/>
    <cellStyle name="Euro 4 2" xfId="57" xr:uid="{00000000-0005-0000-0000-000028000000}"/>
    <cellStyle name="Euro 5" xfId="58" xr:uid="{00000000-0005-0000-0000-000029000000}"/>
    <cellStyle name="Euro 6" xfId="59" xr:uid="{00000000-0005-0000-0000-00002A000000}"/>
    <cellStyle name="Euro 7" xfId="60" xr:uid="{00000000-0005-0000-0000-00002B000000}"/>
    <cellStyle name="Gekoppelde cel 2" xfId="61" xr:uid="{00000000-0005-0000-0000-00002C000000}"/>
    <cellStyle name="Goed 2" xfId="62" xr:uid="{00000000-0005-0000-0000-00002D000000}"/>
    <cellStyle name="Invoer 2" xfId="63" xr:uid="{00000000-0005-0000-0000-00002E000000}"/>
    <cellStyle name="Komma 10" xfId="65" xr:uid="{00000000-0005-0000-0000-000030000000}"/>
    <cellStyle name="Komma 11" xfId="66" xr:uid="{00000000-0005-0000-0000-000031000000}"/>
    <cellStyle name="Komma 12" xfId="67" xr:uid="{00000000-0005-0000-0000-000032000000}"/>
    <cellStyle name="Komma 13" xfId="64" xr:uid="{00000000-0005-0000-0000-000033000000}"/>
    <cellStyle name="Komma 14" xfId="8" xr:uid="{00000000-0005-0000-0000-000034000000}"/>
    <cellStyle name="Komma 2" xfId="3" xr:uid="{00000000-0005-0000-0000-000035000000}"/>
    <cellStyle name="Komma 2 2" xfId="69" xr:uid="{00000000-0005-0000-0000-000036000000}"/>
    <cellStyle name="Komma 2 2 2" xfId="70" xr:uid="{00000000-0005-0000-0000-000037000000}"/>
    <cellStyle name="Komma 2 2 2 2" xfId="71" xr:uid="{00000000-0005-0000-0000-000038000000}"/>
    <cellStyle name="Komma 2 2 3" xfId="72" xr:uid="{00000000-0005-0000-0000-000039000000}"/>
    <cellStyle name="Komma 2 2 3 2" xfId="73" xr:uid="{00000000-0005-0000-0000-00003A000000}"/>
    <cellStyle name="Komma 2 2 4" xfId="74" xr:uid="{00000000-0005-0000-0000-00003B000000}"/>
    <cellStyle name="Komma 2 3" xfId="75" xr:uid="{00000000-0005-0000-0000-00003C000000}"/>
    <cellStyle name="Komma 2 3 2" xfId="76" xr:uid="{00000000-0005-0000-0000-00003D000000}"/>
    <cellStyle name="Komma 2 4" xfId="77" xr:uid="{00000000-0005-0000-0000-00003E000000}"/>
    <cellStyle name="Komma 2 5" xfId="78" xr:uid="{00000000-0005-0000-0000-00003F000000}"/>
    <cellStyle name="Komma 2 6" xfId="68" xr:uid="{00000000-0005-0000-0000-000040000000}"/>
    <cellStyle name="Komma 2 7" xfId="10" xr:uid="{00000000-0005-0000-0000-000041000000}"/>
    <cellStyle name="Komma 3" xfId="6" xr:uid="{00000000-0005-0000-0000-000042000000}"/>
    <cellStyle name="Komma 3 2" xfId="11" xr:uid="{00000000-0005-0000-0000-000043000000}"/>
    <cellStyle name="Komma 3 2 2" xfId="80" xr:uid="{00000000-0005-0000-0000-000044000000}"/>
    <cellStyle name="Komma 3 3" xfId="81" xr:uid="{00000000-0005-0000-0000-000045000000}"/>
    <cellStyle name="Komma 3 4" xfId="79" xr:uid="{00000000-0005-0000-0000-000046000000}"/>
    <cellStyle name="Komma 4" xfId="12" xr:uid="{00000000-0005-0000-0000-000047000000}"/>
    <cellStyle name="Komma 4 2" xfId="13" xr:uid="{00000000-0005-0000-0000-000048000000}"/>
    <cellStyle name="Komma 4 2 2" xfId="84" xr:uid="{00000000-0005-0000-0000-000049000000}"/>
    <cellStyle name="Komma 4 2 3" xfId="83" xr:uid="{00000000-0005-0000-0000-00004A000000}"/>
    <cellStyle name="Komma 4 3" xfId="85" xr:uid="{00000000-0005-0000-0000-00004B000000}"/>
    <cellStyle name="Komma 4 3 2" xfId="86" xr:uid="{00000000-0005-0000-0000-00004C000000}"/>
    <cellStyle name="Komma 4 4" xfId="87" xr:uid="{00000000-0005-0000-0000-00004D000000}"/>
    <cellStyle name="Komma 4 5" xfId="82" xr:uid="{00000000-0005-0000-0000-00004E000000}"/>
    <cellStyle name="Komma 5" xfId="14" xr:uid="{00000000-0005-0000-0000-00004F000000}"/>
    <cellStyle name="Komma 5 2" xfId="16" xr:uid="{00000000-0005-0000-0000-000050000000}"/>
    <cellStyle name="Komma 5 2 2" xfId="89" xr:uid="{00000000-0005-0000-0000-000051000000}"/>
    <cellStyle name="Komma 5 2 3" xfId="88" xr:uid="{00000000-0005-0000-0000-000052000000}"/>
    <cellStyle name="Komma 5 3" xfId="90" xr:uid="{00000000-0005-0000-0000-000053000000}"/>
    <cellStyle name="Komma 5 3 2" xfId="91" xr:uid="{00000000-0005-0000-0000-000054000000}"/>
    <cellStyle name="Komma 5 4" xfId="92" xr:uid="{00000000-0005-0000-0000-000055000000}"/>
    <cellStyle name="Komma 5 5" xfId="93" xr:uid="{00000000-0005-0000-0000-000056000000}"/>
    <cellStyle name="Komma 6" xfId="9" xr:uid="{00000000-0005-0000-0000-000057000000}"/>
    <cellStyle name="Komma 6 2" xfId="94" xr:uid="{00000000-0005-0000-0000-000058000000}"/>
    <cellStyle name="Komma 7" xfId="95" xr:uid="{00000000-0005-0000-0000-000059000000}"/>
    <cellStyle name="Komma 7 2" xfId="96" xr:uid="{00000000-0005-0000-0000-00005A000000}"/>
    <cellStyle name="Komma 7 2 2" xfId="97" xr:uid="{00000000-0005-0000-0000-00005B000000}"/>
    <cellStyle name="Komma 7 2 3" xfId="98" xr:uid="{00000000-0005-0000-0000-00005C000000}"/>
    <cellStyle name="Komma 7 3" xfId="99" xr:uid="{00000000-0005-0000-0000-00005D000000}"/>
    <cellStyle name="Komma 8" xfId="100" xr:uid="{00000000-0005-0000-0000-00005E000000}"/>
    <cellStyle name="Komma 8 2" xfId="101" xr:uid="{00000000-0005-0000-0000-00005F000000}"/>
    <cellStyle name="Komma 8 3" xfId="102" xr:uid="{00000000-0005-0000-0000-000060000000}"/>
    <cellStyle name="Komma 9" xfId="103" xr:uid="{00000000-0005-0000-0000-000061000000}"/>
    <cellStyle name="Komma 9 2" xfId="104" xr:uid="{00000000-0005-0000-0000-000062000000}"/>
    <cellStyle name="Komma 9 3" xfId="105" xr:uid="{00000000-0005-0000-0000-000063000000}"/>
    <cellStyle name="Kop 1 2" xfId="106" xr:uid="{00000000-0005-0000-0000-000064000000}"/>
    <cellStyle name="Kop 2 2" xfId="107" xr:uid="{00000000-0005-0000-0000-000065000000}"/>
    <cellStyle name="Kop 3 2" xfId="108" xr:uid="{00000000-0005-0000-0000-000066000000}"/>
    <cellStyle name="Kop 4 2" xfId="109" xr:uid="{00000000-0005-0000-0000-000067000000}"/>
    <cellStyle name="Neutraal 2" xfId="110" xr:uid="{00000000-0005-0000-0000-000068000000}"/>
    <cellStyle name="Normal_Estland" xfId="111" xr:uid="{00000000-0005-0000-0000-000069000000}"/>
    <cellStyle name="Notitie 2" xfId="112" xr:uid="{00000000-0005-0000-0000-00006A000000}"/>
    <cellStyle name="Ongeldig 2" xfId="113" xr:uid="{00000000-0005-0000-0000-00006B000000}"/>
    <cellStyle name="Procent 2" xfId="115" xr:uid="{00000000-0005-0000-0000-00006D000000}"/>
    <cellStyle name="Procent 3" xfId="116" xr:uid="{00000000-0005-0000-0000-00006E000000}"/>
    <cellStyle name="Procent 4" xfId="117" xr:uid="{00000000-0005-0000-0000-00006F000000}"/>
    <cellStyle name="Procent 5" xfId="114" xr:uid="{00000000-0005-0000-0000-000070000000}"/>
    <cellStyle name="Standaard" xfId="0" builtinId="0"/>
    <cellStyle name="Standaard 10" xfId="7" xr:uid="{00000000-0005-0000-0000-000072000000}"/>
    <cellStyle name="Standaard 2" xfId="1" xr:uid="{00000000-0005-0000-0000-000073000000}"/>
    <cellStyle name="Standaard 2 2" xfId="119" xr:uid="{00000000-0005-0000-0000-000074000000}"/>
    <cellStyle name="Standaard 2 2 2" xfId="120" xr:uid="{00000000-0005-0000-0000-000075000000}"/>
    <cellStyle name="Standaard 2 3" xfId="121" xr:uid="{00000000-0005-0000-0000-000076000000}"/>
    <cellStyle name="Standaard 2 3 2" xfId="122" xr:uid="{00000000-0005-0000-0000-000077000000}"/>
    <cellStyle name="Standaard 2 4" xfId="123" xr:uid="{00000000-0005-0000-0000-000078000000}"/>
    <cellStyle name="Standaard 2 5" xfId="118" xr:uid="{00000000-0005-0000-0000-000079000000}"/>
    <cellStyle name="Standaard 2 6" xfId="15" xr:uid="{00000000-0005-0000-0000-00007A000000}"/>
    <cellStyle name="Standaard 3" xfId="4" xr:uid="{00000000-0005-0000-0000-00007B000000}"/>
    <cellStyle name="Standaard 3 2" xfId="124" xr:uid="{00000000-0005-0000-0000-00007C000000}"/>
    <cellStyle name="Standaard 4" xfId="17" xr:uid="{00000000-0005-0000-0000-00007D000000}"/>
    <cellStyle name="Standaard 4 2" xfId="126" xr:uid="{00000000-0005-0000-0000-00007E000000}"/>
    <cellStyle name="Standaard 4 3" xfId="125" xr:uid="{00000000-0005-0000-0000-00007F000000}"/>
    <cellStyle name="Standaard 5" xfId="127" xr:uid="{00000000-0005-0000-0000-000080000000}"/>
    <cellStyle name="Standaard 5 10" xfId="128" xr:uid="{00000000-0005-0000-0000-000081000000}"/>
    <cellStyle name="Standaard 5 10 2" xfId="129" xr:uid="{00000000-0005-0000-0000-000082000000}"/>
    <cellStyle name="Standaard 5 10 3" xfId="130" xr:uid="{00000000-0005-0000-0000-000083000000}"/>
    <cellStyle name="Standaard 5 11" xfId="131" xr:uid="{00000000-0005-0000-0000-000084000000}"/>
    <cellStyle name="Standaard 5 11 2" xfId="132" xr:uid="{00000000-0005-0000-0000-000085000000}"/>
    <cellStyle name="Standaard 5 12" xfId="133" xr:uid="{00000000-0005-0000-0000-000086000000}"/>
    <cellStyle name="Standaard 5 13" xfId="134" xr:uid="{00000000-0005-0000-0000-000087000000}"/>
    <cellStyle name="Standaard 5 2" xfId="135" xr:uid="{00000000-0005-0000-0000-000088000000}"/>
    <cellStyle name="Standaard 5 2 10" xfId="136" xr:uid="{00000000-0005-0000-0000-000089000000}"/>
    <cellStyle name="Standaard 5 2 2" xfId="137" xr:uid="{00000000-0005-0000-0000-00008A000000}"/>
    <cellStyle name="Standaard 5 2 2 2" xfId="138" xr:uid="{00000000-0005-0000-0000-00008B000000}"/>
    <cellStyle name="Standaard 5 2 2 2 2" xfId="139" xr:uid="{00000000-0005-0000-0000-00008C000000}"/>
    <cellStyle name="Standaard 5 2 2 2 2 2" xfId="140" xr:uid="{00000000-0005-0000-0000-00008D000000}"/>
    <cellStyle name="Standaard 5 2 2 2 2 3" xfId="141" xr:uid="{00000000-0005-0000-0000-00008E000000}"/>
    <cellStyle name="Standaard 5 2 2 2 3" xfId="142" xr:uid="{00000000-0005-0000-0000-00008F000000}"/>
    <cellStyle name="Standaard 5 2 2 2 3 2" xfId="143" xr:uid="{00000000-0005-0000-0000-000090000000}"/>
    <cellStyle name="Standaard 5 2 2 2 4" xfId="144" xr:uid="{00000000-0005-0000-0000-000091000000}"/>
    <cellStyle name="Standaard 5 2 2 2 5" xfId="145" xr:uid="{00000000-0005-0000-0000-000092000000}"/>
    <cellStyle name="Standaard 5 2 2 3" xfId="146" xr:uid="{00000000-0005-0000-0000-000093000000}"/>
    <cellStyle name="Standaard 5 2 2 3 2" xfId="147" xr:uid="{00000000-0005-0000-0000-000094000000}"/>
    <cellStyle name="Standaard 5 2 2 3 3" xfId="148" xr:uid="{00000000-0005-0000-0000-000095000000}"/>
    <cellStyle name="Standaard 5 2 2 4" xfId="149" xr:uid="{00000000-0005-0000-0000-000096000000}"/>
    <cellStyle name="Standaard 5 2 2 4 2" xfId="150" xr:uid="{00000000-0005-0000-0000-000097000000}"/>
    <cellStyle name="Standaard 5 2 2 5" xfId="151" xr:uid="{00000000-0005-0000-0000-000098000000}"/>
    <cellStyle name="Standaard 5 2 2 6" xfId="152" xr:uid="{00000000-0005-0000-0000-000099000000}"/>
    <cellStyle name="Standaard 5 2 3" xfId="153" xr:uid="{00000000-0005-0000-0000-00009A000000}"/>
    <cellStyle name="Standaard 5 2 3 2" xfId="154" xr:uid="{00000000-0005-0000-0000-00009B000000}"/>
    <cellStyle name="Standaard 5 2 3 2 2" xfId="155" xr:uid="{00000000-0005-0000-0000-00009C000000}"/>
    <cellStyle name="Standaard 5 2 3 2 3" xfId="156" xr:uid="{00000000-0005-0000-0000-00009D000000}"/>
    <cellStyle name="Standaard 5 2 3 3" xfId="157" xr:uid="{00000000-0005-0000-0000-00009E000000}"/>
    <cellStyle name="Standaard 5 2 3 3 2" xfId="158" xr:uid="{00000000-0005-0000-0000-00009F000000}"/>
    <cellStyle name="Standaard 5 2 3 4" xfId="159" xr:uid="{00000000-0005-0000-0000-0000A0000000}"/>
    <cellStyle name="Standaard 5 2 3 5" xfId="160" xr:uid="{00000000-0005-0000-0000-0000A1000000}"/>
    <cellStyle name="Standaard 5 2 4" xfId="161" xr:uid="{00000000-0005-0000-0000-0000A2000000}"/>
    <cellStyle name="Standaard 5 2 4 2" xfId="162" xr:uid="{00000000-0005-0000-0000-0000A3000000}"/>
    <cellStyle name="Standaard 5 2 4 2 2" xfId="163" xr:uid="{00000000-0005-0000-0000-0000A4000000}"/>
    <cellStyle name="Standaard 5 2 4 2 3" xfId="164" xr:uid="{00000000-0005-0000-0000-0000A5000000}"/>
    <cellStyle name="Standaard 5 2 4 3" xfId="165" xr:uid="{00000000-0005-0000-0000-0000A6000000}"/>
    <cellStyle name="Standaard 5 2 4 3 2" xfId="166" xr:uid="{00000000-0005-0000-0000-0000A7000000}"/>
    <cellStyle name="Standaard 5 2 4 4" xfId="167" xr:uid="{00000000-0005-0000-0000-0000A8000000}"/>
    <cellStyle name="Standaard 5 2 4 5" xfId="168" xr:uid="{00000000-0005-0000-0000-0000A9000000}"/>
    <cellStyle name="Standaard 5 2 5" xfId="169" xr:uid="{00000000-0005-0000-0000-0000AA000000}"/>
    <cellStyle name="Standaard 5 2 5 2" xfId="170" xr:uid="{00000000-0005-0000-0000-0000AB000000}"/>
    <cellStyle name="Standaard 5 2 5 2 2" xfId="171" xr:uid="{00000000-0005-0000-0000-0000AC000000}"/>
    <cellStyle name="Standaard 5 2 5 2 3" xfId="172" xr:uid="{00000000-0005-0000-0000-0000AD000000}"/>
    <cellStyle name="Standaard 5 2 5 3" xfId="173" xr:uid="{00000000-0005-0000-0000-0000AE000000}"/>
    <cellStyle name="Standaard 5 2 5 3 2" xfId="174" xr:uid="{00000000-0005-0000-0000-0000AF000000}"/>
    <cellStyle name="Standaard 5 2 5 4" xfId="175" xr:uid="{00000000-0005-0000-0000-0000B0000000}"/>
    <cellStyle name="Standaard 5 2 5 5" xfId="176" xr:uid="{00000000-0005-0000-0000-0000B1000000}"/>
    <cellStyle name="Standaard 5 2 6" xfId="177" xr:uid="{00000000-0005-0000-0000-0000B2000000}"/>
    <cellStyle name="Standaard 5 2 6 2" xfId="178" xr:uid="{00000000-0005-0000-0000-0000B3000000}"/>
    <cellStyle name="Standaard 5 2 6 2 2" xfId="179" xr:uid="{00000000-0005-0000-0000-0000B4000000}"/>
    <cellStyle name="Standaard 5 2 6 2 3" xfId="180" xr:uid="{00000000-0005-0000-0000-0000B5000000}"/>
    <cellStyle name="Standaard 5 2 6 3" xfId="181" xr:uid="{00000000-0005-0000-0000-0000B6000000}"/>
    <cellStyle name="Standaard 5 2 6 3 2" xfId="182" xr:uid="{00000000-0005-0000-0000-0000B7000000}"/>
    <cellStyle name="Standaard 5 2 6 4" xfId="183" xr:uid="{00000000-0005-0000-0000-0000B8000000}"/>
    <cellStyle name="Standaard 5 2 6 5" xfId="184" xr:uid="{00000000-0005-0000-0000-0000B9000000}"/>
    <cellStyle name="Standaard 5 2 7" xfId="185" xr:uid="{00000000-0005-0000-0000-0000BA000000}"/>
    <cellStyle name="Standaard 5 2 7 2" xfId="186" xr:uid="{00000000-0005-0000-0000-0000BB000000}"/>
    <cellStyle name="Standaard 5 2 7 3" xfId="187" xr:uid="{00000000-0005-0000-0000-0000BC000000}"/>
    <cellStyle name="Standaard 5 2 8" xfId="188" xr:uid="{00000000-0005-0000-0000-0000BD000000}"/>
    <cellStyle name="Standaard 5 2 8 2" xfId="189" xr:uid="{00000000-0005-0000-0000-0000BE000000}"/>
    <cellStyle name="Standaard 5 2 9" xfId="190" xr:uid="{00000000-0005-0000-0000-0000BF000000}"/>
    <cellStyle name="Standaard 5 3" xfId="191" xr:uid="{00000000-0005-0000-0000-0000C0000000}"/>
    <cellStyle name="Standaard 5 3 10" xfId="192" xr:uid="{00000000-0005-0000-0000-0000C1000000}"/>
    <cellStyle name="Standaard 5 3 2" xfId="193" xr:uid="{00000000-0005-0000-0000-0000C2000000}"/>
    <cellStyle name="Standaard 5 3 2 2" xfId="194" xr:uid="{00000000-0005-0000-0000-0000C3000000}"/>
    <cellStyle name="Standaard 5 3 2 2 2" xfId="195" xr:uid="{00000000-0005-0000-0000-0000C4000000}"/>
    <cellStyle name="Standaard 5 3 2 2 2 2" xfId="196" xr:uid="{00000000-0005-0000-0000-0000C5000000}"/>
    <cellStyle name="Standaard 5 3 2 2 2 3" xfId="197" xr:uid="{00000000-0005-0000-0000-0000C6000000}"/>
    <cellStyle name="Standaard 5 3 2 2 3" xfId="198" xr:uid="{00000000-0005-0000-0000-0000C7000000}"/>
    <cellStyle name="Standaard 5 3 2 2 3 2" xfId="199" xr:uid="{00000000-0005-0000-0000-0000C8000000}"/>
    <cellStyle name="Standaard 5 3 2 2 4" xfId="200" xr:uid="{00000000-0005-0000-0000-0000C9000000}"/>
    <cellStyle name="Standaard 5 3 2 2 5" xfId="201" xr:uid="{00000000-0005-0000-0000-0000CA000000}"/>
    <cellStyle name="Standaard 5 3 2 3" xfId="202" xr:uid="{00000000-0005-0000-0000-0000CB000000}"/>
    <cellStyle name="Standaard 5 3 2 3 2" xfId="203" xr:uid="{00000000-0005-0000-0000-0000CC000000}"/>
    <cellStyle name="Standaard 5 3 2 3 3" xfId="204" xr:uid="{00000000-0005-0000-0000-0000CD000000}"/>
    <cellStyle name="Standaard 5 3 2 4" xfId="205" xr:uid="{00000000-0005-0000-0000-0000CE000000}"/>
    <cellStyle name="Standaard 5 3 2 4 2" xfId="206" xr:uid="{00000000-0005-0000-0000-0000CF000000}"/>
    <cellStyle name="Standaard 5 3 2 5" xfId="207" xr:uid="{00000000-0005-0000-0000-0000D0000000}"/>
    <cellStyle name="Standaard 5 3 2 6" xfId="208" xr:uid="{00000000-0005-0000-0000-0000D1000000}"/>
    <cellStyle name="Standaard 5 3 3" xfId="209" xr:uid="{00000000-0005-0000-0000-0000D2000000}"/>
    <cellStyle name="Standaard 5 3 3 2" xfId="210" xr:uid="{00000000-0005-0000-0000-0000D3000000}"/>
    <cellStyle name="Standaard 5 3 3 2 2" xfId="211" xr:uid="{00000000-0005-0000-0000-0000D4000000}"/>
    <cellStyle name="Standaard 5 3 3 2 3" xfId="212" xr:uid="{00000000-0005-0000-0000-0000D5000000}"/>
    <cellStyle name="Standaard 5 3 3 3" xfId="213" xr:uid="{00000000-0005-0000-0000-0000D6000000}"/>
    <cellStyle name="Standaard 5 3 3 3 2" xfId="214" xr:uid="{00000000-0005-0000-0000-0000D7000000}"/>
    <cellStyle name="Standaard 5 3 3 4" xfId="215" xr:uid="{00000000-0005-0000-0000-0000D8000000}"/>
    <cellStyle name="Standaard 5 3 3 5" xfId="216" xr:uid="{00000000-0005-0000-0000-0000D9000000}"/>
    <cellStyle name="Standaard 5 3 4" xfId="217" xr:uid="{00000000-0005-0000-0000-0000DA000000}"/>
    <cellStyle name="Standaard 5 3 4 2" xfId="218" xr:uid="{00000000-0005-0000-0000-0000DB000000}"/>
    <cellStyle name="Standaard 5 3 4 2 2" xfId="219" xr:uid="{00000000-0005-0000-0000-0000DC000000}"/>
    <cellStyle name="Standaard 5 3 4 2 3" xfId="220" xr:uid="{00000000-0005-0000-0000-0000DD000000}"/>
    <cellStyle name="Standaard 5 3 4 3" xfId="221" xr:uid="{00000000-0005-0000-0000-0000DE000000}"/>
    <cellStyle name="Standaard 5 3 4 3 2" xfId="222" xr:uid="{00000000-0005-0000-0000-0000DF000000}"/>
    <cellStyle name="Standaard 5 3 4 4" xfId="223" xr:uid="{00000000-0005-0000-0000-0000E0000000}"/>
    <cellStyle name="Standaard 5 3 4 5" xfId="224" xr:uid="{00000000-0005-0000-0000-0000E1000000}"/>
    <cellStyle name="Standaard 5 3 5" xfId="225" xr:uid="{00000000-0005-0000-0000-0000E2000000}"/>
    <cellStyle name="Standaard 5 3 5 2" xfId="226" xr:uid="{00000000-0005-0000-0000-0000E3000000}"/>
    <cellStyle name="Standaard 5 3 5 2 2" xfId="227" xr:uid="{00000000-0005-0000-0000-0000E4000000}"/>
    <cellStyle name="Standaard 5 3 5 2 3" xfId="228" xr:uid="{00000000-0005-0000-0000-0000E5000000}"/>
    <cellStyle name="Standaard 5 3 5 3" xfId="229" xr:uid="{00000000-0005-0000-0000-0000E6000000}"/>
    <cellStyle name="Standaard 5 3 5 3 2" xfId="230" xr:uid="{00000000-0005-0000-0000-0000E7000000}"/>
    <cellStyle name="Standaard 5 3 5 4" xfId="231" xr:uid="{00000000-0005-0000-0000-0000E8000000}"/>
    <cellStyle name="Standaard 5 3 5 5" xfId="232" xr:uid="{00000000-0005-0000-0000-0000E9000000}"/>
    <cellStyle name="Standaard 5 3 6" xfId="233" xr:uid="{00000000-0005-0000-0000-0000EA000000}"/>
    <cellStyle name="Standaard 5 3 6 2" xfId="234" xr:uid="{00000000-0005-0000-0000-0000EB000000}"/>
    <cellStyle name="Standaard 5 3 6 2 2" xfId="235" xr:uid="{00000000-0005-0000-0000-0000EC000000}"/>
    <cellStyle name="Standaard 5 3 6 2 3" xfId="236" xr:uid="{00000000-0005-0000-0000-0000ED000000}"/>
    <cellStyle name="Standaard 5 3 6 3" xfId="237" xr:uid="{00000000-0005-0000-0000-0000EE000000}"/>
    <cellStyle name="Standaard 5 3 6 3 2" xfId="238" xr:uid="{00000000-0005-0000-0000-0000EF000000}"/>
    <cellStyle name="Standaard 5 3 6 4" xfId="239" xr:uid="{00000000-0005-0000-0000-0000F0000000}"/>
    <cellStyle name="Standaard 5 3 6 5" xfId="240" xr:uid="{00000000-0005-0000-0000-0000F1000000}"/>
    <cellStyle name="Standaard 5 3 7" xfId="241" xr:uid="{00000000-0005-0000-0000-0000F2000000}"/>
    <cellStyle name="Standaard 5 3 7 2" xfId="242" xr:uid="{00000000-0005-0000-0000-0000F3000000}"/>
    <cellStyle name="Standaard 5 3 7 3" xfId="243" xr:uid="{00000000-0005-0000-0000-0000F4000000}"/>
    <cellStyle name="Standaard 5 3 8" xfId="244" xr:uid="{00000000-0005-0000-0000-0000F5000000}"/>
    <cellStyle name="Standaard 5 3 8 2" xfId="245" xr:uid="{00000000-0005-0000-0000-0000F6000000}"/>
    <cellStyle name="Standaard 5 3 9" xfId="246" xr:uid="{00000000-0005-0000-0000-0000F7000000}"/>
    <cellStyle name="Standaard 5 4" xfId="247" xr:uid="{00000000-0005-0000-0000-0000F8000000}"/>
    <cellStyle name="Standaard 5 4 10" xfId="248" xr:uid="{00000000-0005-0000-0000-0000F9000000}"/>
    <cellStyle name="Standaard 5 4 2" xfId="249" xr:uid="{00000000-0005-0000-0000-0000FA000000}"/>
    <cellStyle name="Standaard 5 4 2 2" xfId="250" xr:uid="{00000000-0005-0000-0000-0000FB000000}"/>
    <cellStyle name="Standaard 5 4 2 2 2" xfId="251" xr:uid="{00000000-0005-0000-0000-0000FC000000}"/>
    <cellStyle name="Standaard 5 4 2 2 2 2" xfId="252" xr:uid="{00000000-0005-0000-0000-0000FD000000}"/>
    <cellStyle name="Standaard 5 4 2 2 2 3" xfId="253" xr:uid="{00000000-0005-0000-0000-0000FE000000}"/>
    <cellStyle name="Standaard 5 4 2 2 3" xfId="254" xr:uid="{00000000-0005-0000-0000-0000FF000000}"/>
    <cellStyle name="Standaard 5 4 2 2 3 2" xfId="255" xr:uid="{00000000-0005-0000-0000-000000010000}"/>
    <cellStyle name="Standaard 5 4 2 2 4" xfId="256" xr:uid="{00000000-0005-0000-0000-000001010000}"/>
    <cellStyle name="Standaard 5 4 2 2 5" xfId="257" xr:uid="{00000000-0005-0000-0000-000002010000}"/>
    <cellStyle name="Standaard 5 4 2 3" xfId="258" xr:uid="{00000000-0005-0000-0000-000003010000}"/>
    <cellStyle name="Standaard 5 4 2 3 2" xfId="259" xr:uid="{00000000-0005-0000-0000-000004010000}"/>
    <cellStyle name="Standaard 5 4 2 3 3" xfId="260" xr:uid="{00000000-0005-0000-0000-000005010000}"/>
    <cellStyle name="Standaard 5 4 2 4" xfId="261" xr:uid="{00000000-0005-0000-0000-000006010000}"/>
    <cellStyle name="Standaard 5 4 2 4 2" xfId="262" xr:uid="{00000000-0005-0000-0000-000007010000}"/>
    <cellStyle name="Standaard 5 4 2 5" xfId="263" xr:uid="{00000000-0005-0000-0000-000008010000}"/>
    <cellStyle name="Standaard 5 4 2 6" xfId="264" xr:uid="{00000000-0005-0000-0000-000009010000}"/>
    <cellStyle name="Standaard 5 4 3" xfId="265" xr:uid="{00000000-0005-0000-0000-00000A010000}"/>
    <cellStyle name="Standaard 5 4 3 2" xfId="266" xr:uid="{00000000-0005-0000-0000-00000B010000}"/>
    <cellStyle name="Standaard 5 4 3 2 2" xfId="267" xr:uid="{00000000-0005-0000-0000-00000C010000}"/>
    <cellStyle name="Standaard 5 4 3 2 3" xfId="268" xr:uid="{00000000-0005-0000-0000-00000D010000}"/>
    <cellStyle name="Standaard 5 4 3 3" xfId="269" xr:uid="{00000000-0005-0000-0000-00000E010000}"/>
    <cellStyle name="Standaard 5 4 3 3 2" xfId="270" xr:uid="{00000000-0005-0000-0000-00000F010000}"/>
    <cellStyle name="Standaard 5 4 3 4" xfId="271" xr:uid="{00000000-0005-0000-0000-000010010000}"/>
    <cellStyle name="Standaard 5 4 3 5" xfId="272" xr:uid="{00000000-0005-0000-0000-000011010000}"/>
    <cellStyle name="Standaard 5 4 4" xfId="273" xr:uid="{00000000-0005-0000-0000-000012010000}"/>
    <cellStyle name="Standaard 5 4 4 2" xfId="274" xr:uid="{00000000-0005-0000-0000-000013010000}"/>
    <cellStyle name="Standaard 5 4 4 2 2" xfId="275" xr:uid="{00000000-0005-0000-0000-000014010000}"/>
    <cellStyle name="Standaard 5 4 4 2 3" xfId="276" xr:uid="{00000000-0005-0000-0000-000015010000}"/>
    <cellStyle name="Standaard 5 4 4 3" xfId="277" xr:uid="{00000000-0005-0000-0000-000016010000}"/>
    <cellStyle name="Standaard 5 4 4 3 2" xfId="278" xr:uid="{00000000-0005-0000-0000-000017010000}"/>
    <cellStyle name="Standaard 5 4 4 4" xfId="279" xr:uid="{00000000-0005-0000-0000-000018010000}"/>
    <cellStyle name="Standaard 5 4 4 5" xfId="280" xr:uid="{00000000-0005-0000-0000-000019010000}"/>
    <cellStyle name="Standaard 5 4 5" xfId="281" xr:uid="{00000000-0005-0000-0000-00001A010000}"/>
    <cellStyle name="Standaard 5 4 5 2" xfId="282" xr:uid="{00000000-0005-0000-0000-00001B010000}"/>
    <cellStyle name="Standaard 5 4 5 2 2" xfId="283" xr:uid="{00000000-0005-0000-0000-00001C010000}"/>
    <cellStyle name="Standaard 5 4 5 2 3" xfId="284" xr:uid="{00000000-0005-0000-0000-00001D010000}"/>
    <cellStyle name="Standaard 5 4 5 3" xfId="285" xr:uid="{00000000-0005-0000-0000-00001E010000}"/>
    <cellStyle name="Standaard 5 4 5 3 2" xfId="286" xr:uid="{00000000-0005-0000-0000-00001F010000}"/>
    <cellStyle name="Standaard 5 4 5 4" xfId="287" xr:uid="{00000000-0005-0000-0000-000020010000}"/>
    <cellStyle name="Standaard 5 4 5 5" xfId="288" xr:uid="{00000000-0005-0000-0000-000021010000}"/>
    <cellStyle name="Standaard 5 4 6" xfId="289" xr:uid="{00000000-0005-0000-0000-000022010000}"/>
    <cellStyle name="Standaard 5 4 6 2" xfId="290" xr:uid="{00000000-0005-0000-0000-000023010000}"/>
    <cellStyle name="Standaard 5 4 6 2 2" xfId="291" xr:uid="{00000000-0005-0000-0000-000024010000}"/>
    <cellStyle name="Standaard 5 4 6 2 3" xfId="292" xr:uid="{00000000-0005-0000-0000-000025010000}"/>
    <cellStyle name="Standaard 5 4 6 3" xfId="293" xr:uid="{00000000-0005-0000-0000-000026010000}"/>
    <cellStyle name="Standaard 5 4 6 3 2" xfId="294" xr:uid="{00000000-0005-0000-0000-000027010000}"/>
    <cellStyle name="Standaard 5 4 6 4" xfId="295" xr:uid="{00000000-0005-0000-0000-000028010000}"/>
    <cellStyle name="Standaard 5 4 6 5" xfId="296" xr:uid="{00000000-0005-0000-0000-000029010000}"/>
    <cellStyle name="Standaard 5 4 7" xfId="297" xr:uid="{00000000-0005-0000-0000-00002A010000}"/>
    <cellStyle name="Standaard 5 4 7 2" xfId="298" xr:uid="{00000000-0005-0000-0000-00002B010000}"/>
    <cellStyle name="Standaard 5 4 7 3" xfId="299" xr:uid="{00000000-0005-0000-0000-00002C010000}"/>
    <cellStyle name="Standaard 5 4 8" xfId="300" xr:uid="{00000000-0005-0000-0000-00002D010000}"/>
    <cellStyle name="Standaard 5 4 8 2" xfId="301" xr:uid="{00000000-0005-0000-0000-00002E010000}"/>
    <cellStyle name="Standaard 5 4 9" xfId="302" xr:uid="{00000000-0005-0000-0000-00002F010000}"/>
    <cellStyle name="Standaard 5 5" xfId="303" xr:uid="{00000000-0005-0000-0000-000030010000}"/>
    <cellStyle name="Standaard 5 5 2" xfId="304" xr:uid="{00000000-0005-0000-0000-000031010000}"/>
    <cellStyle name="Standaard 5 5 2 2" xfId="305" xr:uid="{00000000-0005-0000-0000-000032010000}"/>
    <cellStyle name="Standaard 5 5 2 2 2" xfId="306" xr:uid="{00000000-0005-0000-0000-000033010000}"/>
    <cellStyle name="Standaard 5 5 2 2 3" xfId="307" xr:uid="{00000000-0005-0000-0000-000034010000}"/>
    <cellStyle name="Standaard 5 5 2 3" xfId="308" xr:uid="{00000000-0005-0000-0000-000035010000}"/>
    <cellStyle name="Standaard 5 5 2 3 2" xfId="309" xr:uid="{00000000-0005-0000-0000-000036010000}"/>
    <cellStyle name="Standaard 5 5 2 4" xfId="310" xr:uid="{00000000-0005-0000-0000-000037010000}"/>
    <cellStyle name="Standaard 5 5 2 5" xfId="311" xr:uid="{00000000-0005-0000-0000-000038010000}"/>
    <cellStyle name="Standaard 5 5 3" xfId="312" xr:uid="{00000000-0005-0000-0000-000039010000}"/>
    <cellStyle name="Standaard 5 5 3 2" xfId="313" xr:uid="{00000000-0005-0000-0000-00003A010000}"/>
    <cellStyle name="Standaard 5 5 3 3" xfId="314" xr:uid="{00000000-0005-0000-0000-00003B010000}"/>
    <cellStyle name="Standaard 5 5 4" xfId="315" xr:uid="{00000000-0005-0000-0000-00003C010000}"/>
    <cellStyle name="Standaard 5 5 4 2" xfId="316" xr:uid="{00000000-0005-0000-0000-00003D010000}"/>
    <cellStyle name="Standaard 5 5 5" xfId="317" xr:uid="{00000000-0005-0000-0000-00003E010000}"/>
    <cellStyle name="Standaard 5 5 6" xfId="318" xr:uid="{00000000-0005-0000-0000-00003F010000}"/>
    <cellStyle name="Standaard 5 6" xfId="319" xr:uid="{00000000-0005-0000-0000-000040010000}"/>
    <cellStyle name="Standaard 5 6 2" xfId="320" xr:uid="{00000000-0005-0000-0000-000041010000}"/>
    <cellStyle name="Standaard 5 6 2 2" xfId="321" xr:uid="{00000000-0005-0000-0000-000042010000}"/>
    <cellStyle name="Standaard 5 6 2 3" xfId="322" xr:uid="{00000000-0005-0000-0000-000043010000}"/>
    <cellStyle name="Standaard 5 6 3" xfId="323" xr:uid="{00000000-0005-0000-0000-000044010000}"/>
    <cellStyle name="Standaard 5 6 3 2" xfId="324" xr:uid="{00000000-0005-0000-0000-000045010000}"/>
    <cellStyle name="Standaard 5 6 4" xfId="325" xr:uid="{00000000-0005-0000-0000-000046010000}"/>
    <cellStyle name="Standaard 5 6 5" xfId="326" xr:uid="{00000000-0005-0000-0000-000047010000}"/>
    <cellStyle name="Standaard 5 7" xfId="327" xr:uid="{00000000-0005-0000-0000-000048010000}"/>
    <cellStyle name="Standaard 5 7 2" xfId="328" xr:uid="{00000000-0005-0000-0000-000049010000}"/>
    <cellStyle name="Standaard 5 7 2 2" xfId="329" xr:uid="{00000000-0005-0000-0000-00004A010000}"/>
    <cellStyle name="Standaard 5 7 2 3" xfId="330" xr:uid="{00000000-0005-0000-0000-00004B010000}"/>
    <cellStyle name="Standaard 5 7 3" xfId="331" xr:uid="{00000000-0005-0000-0000-00004C010000}"/>
    <cellStyle name="Standaard 5 7 3 2" xfId="332" xr:uid="{00000000-0005-0000-0000-00004D010000}"/>
    <cellStyle name="Standaard 5 7 4" xfId="333" xr:uid="{00000000-0005-0000-0000-00004E010000}"/>
    <cellStyle name="Standaard 5 7 5" xfId="334" xr:uid="{00000000-0005-0000-0000-00004F010000}"/>
    <cellStyle name="Standaard 5 8" xfId="335" xr:uid="{00000000-0005-0000-0000-000050010000}"/>
    <cellStyle name="Standaard 5 8 2" xfId="336" xr:uid="{00000000-0005-0000-0000-000051010000}"/>
    <cellStyle name="Standaard 5 8 2 2" xfId="337" xr:uid="{00000000-0005-0000-0000-000052010000}"/>
    <cellStyle name="Standaard 5 8 2 3" xfId="338" xr:uid="{00000000-0005-0000-0000-000053010000}"/>
    <cellStyle name="Standaard 5 8 3" xfId="339" xr:uid="{00000000-0005-0000-0000-000054010000}"/>
    <cellStyle name="Standaard 5 8 3 2" xfId="340" xr:uid="{00000000-0005-0000-0000-000055010000}"/>
    <cellStyle name="Standaard 5 8 4" xfId="341" xr:uid="{00000000-0005-0000-0000-000056010000}"/>
    <cellStyle name="Standaard 5 8 5" xfId="342" xr:uid="{00000000-0005-0000-0000-000057010000}"/>
    <cellStyle name="Standaard 5 9" xfId="343" xr:uid="{00000000-0005-0000-0000-000058010000}"/>
    <cellStyle name="Standaard 5 9 2" xfId="344" xr:uid="{00000000-0005-0000-0000-000059010000}"/>
    <cellStyle name="Standaard 5 9 2 2" xfId="345" xr:uid="{00000000-0005-0000-0000-00005A010000}"/>
    <cellStyle name="Standaard 5 9 2 3" xfId="346" xr:uid="{00000000-0005-0000-0000-00005B010000}"/>
    <cellStyle name="Standaard 5 9 3" xfId="347" xr:uid="{00000000-0005-0000-0000-00005C010000}"/>
    <cellStyle name="Standaard 5 9 3 2" xfId="348" xr:uid="{00000000-0005-0000-0000-00005D010000}"/>
    <cellStyle name="Standaard 5 9 4" xfId="349" xr:uid="{00000000-0005-0000-0000-00005E010000}"/>
    <cellStyle name="Standaard 5 9 5" xfId="350" xr:uid="{00000000-0005-0000-0000-00005F010000}"/>
    <cellStyle name="Standaard 6" xfId="351" xr:uid="{00000000-0005-0000-0000-000060010000}"/>
    <cellStyle name="Standaard 7" xfId="352" xr:uid="{00000000-0005-0000-0000-000061010000}"/>
    <cellStyle name="Standaard 8" xfId="18" xr:uid="{00000000-0005-0000-0000-000062010000}"/>
    <cellStyle name="Standaard 9" xfId="358" xr:uid="{00000000-0005-0000-0000-000063010000}"/>
    <cellStyle name="Titel 2" xfId="353" xr:uid="{00000000-0005-0000-0000-000064010000}"/>
    <cellStyle name="Totaal 2" xfId="354" xr:uid="{00000000-0005-0000-0000-000065010000}"/>
    <cellStyle name="Uitvoer 2" xfId="355" xr:uid="{00000000-0005-0000-0000-000066010000}"/>
    <cellStyle name="Valuta" xfId="359" builtinId="4"/>
    <cellStyle name="Verklarende tekst 2" xfId="356" xr:uid="{00000000-0005-0000-0000-000068010000}"/>
    <cellStyle name="Waarschuwingstekst 2" xfId="357" xr:uid="{00000000-0005-0000-0000-00006901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Meijers">
      <a:dk1>
        <a:srgbClr val="5E6578"/>
      </a:dk1>
      <a:lt1>
        <a:srgbClr val="00D2B3"/>
      </a:lt1>
      <a:dk2>
        <a:srgbClr val="5E6578"/>
      </a:dk2>
      <a:lt2>
        <a:srgbClr val="00D2B3"/>
      </a:lt2>
      <a:accent1>
        <a:srgbClr val="FE6672"/>
      </a:accent1>
      <a:accent2>
        <a:srgbClr val="F7AD50"/>
      </a:accent2>
      <a:accent3>
        <a:srgbClr val="8DD0DE"/>
      </a:accent3>
      <a:accent4>
        <a:srgbClr val="DDDDDD"/>
      </a:accent4>
      <a:accent5>
        <a:srgbClr val="FFB7BC"/>
      </a:accent5>
      <a:accent6>
        <a:srgbClr val="AFFFF4"/>
      </a:accent6>
      <a:hlink>
        <a:srgbClr val="8DD0DE"/>
      </a:hlink>
      <a:folHlink>
        <a:srgbClr val="F7AD5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7"/>
  <sheetViews>
    <sheetView tabSelected="1" zoomScaleNormal="100" workbookViewId="0">
      <selection activeCell="A40" sqref="A40"/>
    </sheetView>
  </sheetViews>
  <sheetFormatPr defaultColWidth="9.140625" defaultRowHeight="15" x14ac:dyDescent="0.25"/>
  <cols>
    <col min="1" max="1" width="32.7109375" style="1" bestFit="1" customWidth="1"/>
    <col min="2" max="2" width="11.7109375" style="1" bestFit="1" customWidth="1"/>
    <col min="3" max="3" width="19.7109375" style="1" customWidth="1"/>
    <col min="4" max="4" width="22.7109375" style="1" hidden="1" customWidth="1"/>
    <col min="5" max="5" width="20.5703125" style="1" hidden="1" customWidth="1"/>
    <col min="6" max="6" width="22.7109375" style="1" hidden="1" customWidth="1"/>
    <col min="7" max="7" width="20.5703125" style="1" hidden="1" customWidth="1"/>
    <col min="8" max="8" width="26" style="1" hidden="1" customWidth="1"/>
    <col min="9" max="11" width="20.5703125" style="1" hidden="1" customWidth="1"/>
    <col min="12" max="13" width="20.5703125" style="1" customWidth="1"/>
    <col min="14" max="14" width="23" style="1" bestFit="1" customWidth="1"/>
    <col min="15" max="15" width="11.5703125" style="2" bestFit="1" customWidth="1"/>
    <col min="16" max="16" width="15.140625" style="2" bestFit="1" customWidth="1"/>
    <col min="17" max="17" width="10.85546875" style="2" bestFit="1" customWidth="1"/>
    <col min="18" max="18" width="19.42578125" style="2" bestFit="1" customWidth="1"/>
    <col min="19" max="19" width="1.7109375" style="1" customWidth="1"/>
    <col min="20" max="20" width="88.42578125" style="1" customWidth="1"/>
    <col min="21" max="16384" width="9.140625" style="1"/>
  </cols>
  <sheetData>
    <row r="1" spans="1:20" x14ac:dyDescent="0.25">
      <c r="A1" s="65" t="s">
        <v>85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57" t="s">
        <v>63</v>
      </c>
      <c r="P1" s="58"/>
      <c r="Q1" s="58"/>
      <c r="R1" s="59"/>
      <c r="S1" s="51"/>
    </row>
    <row r="2" spans="1:20" x14ac:dyDescent="0.25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0" t="s">
        <v>58</v>
      </c>
      <c r="P2" s="61"/>
      <c r="Q2" s="61"/>
      <c r="R2" s="62"/>
      <c r="S2" s="56"/>
    </row>
    <row r="3" spans="1:20" ht="15" customHeight="1" x14ac:dyDescent="0.25">
      <c r="A3" s="68" t="s">
        <v>54</v>
      </c>
      <c r="B3" s="69" t="s">
        <v>55</v>
      </c>
      <c r="C3" s="69" t="s">
        <v>56</v>
      </c>
      <c r="D3" s="53" t="s">
        <v>86</v>
      </c>
      <c r="E3" s="52" t="s">
        <v>87</v>
      </c>
      <c r="F3" s="53" t="s">
        <v>89</v>
      </c>
      <c r="G3" s="52" t="s">
        <v>90</v>
      </c>
      <c r="H3" s="51" t="s">
        <v>94</v>
      </c>
      <c r="I3" s="52" t="s">
        <v>93</v>
      </c>
      <c r="J3" s="51" t="s">
        <v>94</v>
      </c>
      <c r="K3" s="52" t="s">
        <v>97</v>
      </c>
      <c r="L3" s="51" t="s">
        <v>94</v>
      </c>
      <c r="M3" s="52" t="s">
        <v>164</v>
      </c>
      <c r="N3" s="70" t="s">
        <v>53</v>
      </c>
      <c r="O3" s="54" t="s">
        <v>59</v>
      </c>
      <c r="P3" s="67"/>
      <c r="Q3" s="54" t="s">
        <v>60</v>
      </c>
      <c r="R3" s="55"/>
      <c r="S3" s="56"/>
      <c r="T3" s="45"/>
    </row>
    <row r="4" spans="1:20" x14ac:dyDescent="0.25">
      <c r="A4" s="68"/>
      <c r="B4" s="69"/>
      <c r="C4" s="69"/>
      <c r="D4" s="53"/>
      <c r="E4" s="53"/>
      <c r="F4" s="53"/>
      <c r="G4" s="53"/>
      <c r="H4" s="52"/>
      <c r="I4" s="53"/>
      <c r="J4" s="52"/>
      <c r="K4" s="53"/>
      <c r="L4" s="52"/>
      <c r="M4" s="53"/>
      <c r="N4" s="71"/>
      <c r="O4" s="32" t="s">
        <v>61</v>
      </c>
      <c r="P4" s="35" t="s">
        <v>62</v>
      </c>
      <c r="Q4" s="32" t="s">
        <v>61</v>
      </c>
      <c r="R4" s="35" t="s">
        <v>62</v>
      </c>
      <c r="S4" s="52"/>
    </row>
    <row r="5" spans="1:20" x14ac:dyDescent="0.25">
      <c r="A5" s="36"/>
      <c r="B5" s="37"/>
      <c r="C5" s="37"/>
      <c r="D5" s="33"/>
      <c r="E5" s="33"/>
      <c r="F5" s="33"/>
      <c r="G5" s="33"/>
      <c r="H5" s="35"/>
      <c r="I5" s="33"/>
      <c r="J5" s="35" t="s">
        <v>98</v>
      </c>
      <c r="K5" s="35" t="s">
        <v>99</v>
      </c>
      <c r="L5" s="35" t="s">
        <v>165</v>
      </c>
      <c r="M5" s="35" t="s">
        <v>166</v>
      </c>
      <c r="N5" s="38"/>
      <c r="O5" s="32"/>
      <c r="P5" s="35"/>
      <c r="Q5" s="32"/>
      <c r="R5" s="35"/>
      <c r="S5" s="34"/>
    </row>
    <row r="6" spans="1:20" ht="30" x14ac:dyDescent="0.25">
      <c r="A6" s="7" t="s">
        <v>91</v>
      </c>
      <c r="B6" s="7" t="s">
        <v>0</v>
      </c>
      <c r="C6" s="7" t="s">
        <v>1</v>
      </c>
      <c r="D6" s="26">
        <f>55084851</f>
        <v>55084851</v>
      </c>
      <c r="E6" s="26">
        <f>11403330+(ROUND(287638*1.21,0))</f>
        <v>11751372</v>
      </c>
      <c r="F6" s="26">
        <f>ROUND(D6/147.5*154.9,0)</f>
        <v>57848430</v>
      </c>
      <c r="G6" s="26">
        <f>ROUND(E6/123.1*125.4,0)</f>
        <v>11970935</v>
      </c>
      <c r="H6" s="26">
        <f>ROUND(F6/154.9*163.4,0)</f>
        <v>61022811</v>
      </c>
      <c r="I6" s="26">
        <f>11460000*1.21</f>
        <v>13866600</v>
      </c>
      <c r="J6" s="26">
        <v>63500000</v>
      </c>
      <c r="K6" s="26">
        <f>ROUND(I6/122.5*122.5,0)</f>
        <v>13866600</v>
      </c>
      <c r="L6" s="46">
        <f>ROUND(J6/124*130.8,-2)</f>
        <v>66982300</v>
      </c>
      <c r="M6" s="46">
        <f t="shared" ref="M6" si="0">ROUND(K6/122.5*127.2,-2)</f>
        <v>14398600</v>
      </c>
      <c r="N6" s="46">
        <f t="shared" ref="N6:N43" si="1">L6+M6</f>
        <v>81380900</v>
      </c>
      <c r="O6" s="8">
        <v>44987</v>
      </c>
      <c r="P6" s="8" t="s">
        <v>132</v>
      </c>
      <c r="Q6" s="8">
        <v>44989</v>
      </c>
      <c r="R6" s="4" t="s">
        <v>131</v>
      </c>
      <c r="S6" s="5"/>
      <c r="T6" s="1" t="s">
        <v>133</v>
      </c>
    </row>
    <row r="7" spans="1:20" x14ac:dyDescent="0.25">
      <c r="A7" s="7" t="s">
        <v>2</v>
      </c>
      <c r="B7" s="7" t="s">
        <v>0</v>
      </c>
      <c r="C7" s="7" t="s">
        <v>1</v>
      </c>
      <c r="D7" s="26">
        <v>0</v>
      </c>
      <c r="E7" s="26">
        <v>511551</v>
      </c>
      <c r="F7" s="26">
        <f t="shared" ref="F7:F45" si="2">ROUND(D7/147.5*154.9,0)</f>
        <v>0</v>
      </c>
      <c r="G7" s="26">
        <f t="shared" ref="G7:G47" si="3">ROUND(E7/123.1*125.4,0)</f>
        <v>521109</v>
      </c>
      <c r="H7" s="26">
        <f>280000*1.21</f>
        <v>338800</v>
      </c>
      <c r="I7" s="26">
        <f>520000*1.21</f>
        <v>629200</v>
      </c>
      <c r="J7" s="26">
        <f>H7</f>
        <v>338800</v>
      </c>
      <c r="K7" s="26">
        <f>ROUND(I7/122.5*122.5,0)</f>
        <v>629200</v>
      </c>
      <c r="L7" s="46">
        <f t="shared" ref="L7:L48" si="4">ROUND(J7/124.9*130.8,-2)</f>
        <v>354800</v>
      </c>
      <c r="M7" s="46">
        <f t="shared" ref="M7:M59" si="5">ROUND(K7/122.5*127.2,-2)</f>
        <v>653300</v>
      </c>
      <c r="N7" s="46">
        <f t="shared" si="1"/>
        <v>1008100</v>
      </c>
      <c r="O7" s="6">
        <v>44989</v>
      </c>
      <c r="P7" s="9" t="s">
        <v>131</v>
      </c>
      <c r="Q7" s="6">
        <v>44989</v>
      </c>
      <c r="R7" s="9" t="s">
        <v>131</v>
      </c>
      <c r="S7" s="24"/>
    </row>
    <row r="8" spans="1:20" x14ac:dyDescent="0.25">
      <c r="A8" s="7" t="s">
        <v>100</v>
      </c>
      <c r="B8" s="7" t="s">
        <v>101</v>
      </c>
      <c r="C8" s="7" t="s">
        <v>1</v>
      </c>
      <c r="D8" s="26"/>
      <c r="E8" s="26"/>
      <c r="F8" s="26"/>
      <c r="G8" s="26"/>
      <c r="H8" s="26">
        <v>0</v>
      </c>
      <c r="I8" s="26">
        <f>800000*1.21</f>
        <v>968000</v>
      </c>
      <c r="J8" s="26"/>
      <c r="K8" s="26">
        <f>ROUND(I8/122.5*122.5,0)</f>
        <v>968000</v>
      </c>
      <c r="L8" s="46">
        <f t="shared" si="4"/>
        <v>0</v>
      </c>
      <c r="M8" s="46">
        <f t="shared" si="5"/>
        <v>1005100</v>
      </c>
      <c r="N8" s="46">
        <f t="shared" si="1"/>
        <v>1005100</v>
      </c>
      <c r="O8" s="4"/>
      <c r="P8" s="4"/>
      <c r="Q8" s="6">
        <v>44989</v>
      </c>
      <c r="R8" s="9" t="s">
        <v>131</v>
      </c>
      <c r="S8" s="24"/>
    </row>
    <row r="9" spans="1:20" x14ac:dyDescent="0.25">
      <c r="A9" s="7" t="s">
        <v>3</v>
      </c>
      <c r="B9" s="7" t="s">
        <v>4</v>
      </c>
      <c r="C9" s="7" t="s">
        <v>5</v>
      </c>
      <c r="D9" s="26">
        <v>782491</v>
      </c>
      <c r="E9" s="26">
        <v>692726</v>
      </c>
      <c r="F9" s="26">
        <f t="shared" si="2"/>
        <v>821748</v>
      </c>
      <c r="G9" s="26">
        <f t="shared" si="3"/>
        <v>705669</v>
      </c>
      <c r="H9" s="26">
        <f>550000*1.21</f>
        <v>665500</v>
      </c>
      <c r="I9" s="26">
        <f>1090000*1.21</f>
        <v>1318900</v>
      </c>
      <c r="J9" s="26">
        <f>H9</f>
        <v>665500</v>
      </c>
      <c r="K9" s="26">
        <f t="shared" ref="K9:K13" si="6">ROUND(I9/122.5*122.5,0)</f>
        <v>1318900</v>
      </c>
      <c r="L9" s="46">
        <f t="shared" si="4"/>
        <v>696900</v>
      </c>
      <c r="M9" s="46">
        <f t="shared" si="5"/>
        <v>1369500</v>
      </c>
      <c r="N9" s="46">
        <f t="shared" si="1"/>
        <v>2066400</v>
      </c>
      <c r="O9" s="6">
        <v>44989</v>
      </c>
      <c r="P9" s="9" t="s">
        <v>131</v>
      </c>
      <c r="Q9" s="6">
        <v>44989</v>
      </c>
      <c r="R9" s="9" t="s">
        <v>131</v>
      </c>
      <c r="S9" s="24"/>
    </row>
    <row r="10" spans="1:20" x14ac:dyDescent="0.25">
      <c r="A10" s="7" t="s">
        <v>57</v>
      </c>
      <c r="B10" s="7" t="s">
        <v>6</v>
      </c>
      <c r="C10" s="7" t="s">
        <v>7</v>
      </c>
      <c r="D10" s="26">
        <v>11551051</v>
      </c>
      <c r="E10" s="26">
        <v>1822401</v>
      </c>
      <c r="F10" s="26">
        <f t="shared" si="2"/>
        <v>12130561</v>
      </c>
      <c r="G10" s="26">
        <f t="shared" si="3"/>
        <v>1856451</v>
      </c>
      <c r="H10" s="26">
        <f t="shared" ref="H10:H12" si="7">ROUND(F10/154.9*163.4,0)</f>
        <v>12796215</v>
      </c>
      <c r="I10" s="26">
        <f>1200000*1.21</f>
        <v>1452000</v>
      </c>
      <c r="J10" s="26">
        <v>13550000</v>
      </c>
      <c r="K10" s="26">
        <f t="shared" si="6"/>
        <v>1452000</v>
      </c>
      <c r="L10" s="46">
        <f t="shared" ref="L10:L12" si="8">ROUND(J10/124*130.8,-2)</f>
        <v>14293100</v>
      </c>
      <c r="M10" s="46">
        <f t="shared" si="5"/>
        <v>1507700</v>
      </c>
      <c r="N10" s="46">
        <f t="shared" si="1"/>
        <v>15800800</v>
      </c>
      <c r="O10" s="8">
        <v>44984</v>
      </c>
      <c r="P10" s="8" t="s">
        <v>134</v>
      </c>
      <c r="Q10" s="6">
        <v>44989</v>
      </c>
      <c r="R10" s="9" t="s">
        <v>131</v>
      </c>
      <c r="S10" s="24"/>
    </row>
    <row r="11" spans="1:20" x14ac:dyDescent="0.25">
      <c r="A11" s="7" t="s">
        <v>8</v>
      </c>
      <c r="B11" s="7" t="s">
        <v>9</v>
      </c>
      <c r="C11" s="7" t="s">
        <v>7</v>
      </c>
      <c r="D11" s="26">
        <v>15277196</v>
      </c>
      <c r="E11" s="26">
        <v>3250482</v>
      </c>
      <c r="F11" s="26">
        <f t="shared" si="2"/>
        <v>16043645</v>
      </c>
      <c r="G11" s="26">
        <f t="shared" si="3"/>
        <v>3311214</v>
      </c>
      <c r="H11" s="26">
        <f t="shared" si="7"/>
        <v>16924026</v>
      </c>
      <c r="I11" s="26">
        <f>2000000*1.21</f>
        <v>2420000</v>
      </c>
      <c r="J11" s="26">
        <v>17800000</v>
      </c>
      <c r="K11" s="26">
        <f t="shared" si="6"/>
        <v>2420000</v>
      </c>
      <c r="L11" s="46">
        <f t="shared" si="8"/>
        <v>18776100</v>
      </c>
      <c r="M11" s="46">
        <f t="shared" si="5"/>
        <v>2512800</v>
      </c>
      <c r="N11" s="46">
        <f t="shared" si="1"/>
        <v>21288900</v>
      </c>
      <c r="O11" s="8">
        <v>44984</v>
      </c>
      <c r="P11" s="8" t="s">
        <v>135</v>
      </c>
      <c r="Q11" s="6">
        <v>44989</v>
      </c>
      <c r="R11" s="9" t="s">
        <v>131</v>
      </c>
      <c r="S11" s="24"/>
    </row>
    <row r="12" spans="1:20" x14ac:dyDescent="0.25">
      <c r="A12" s="7" t="s">
        <v>10</v>
      </c>
      <c r="B12" s="7" t="s">
        <v>11</v>
      </c>
      <c r="C12" s="7" t="s">
        <v>7</v>
      </c>
      <c r="D12" s="26">
        <v>5092399</v>
      </c>
      <c r="E12" s="26">
        <v>1055074</v>
      </c>
      <c r="F12" s="26">
        <f t="shared" si="2"/>
        <v>5347882</v>
      </c>
      <c r="G12" s="26">
        <f t="shared" si="3"/>
        <v>1074787</v>
      </c>
      <c r="H12" s="26">
        <f t="shared" si="7"/>
        <v>5641342</v>
      </c>
      <c r="I12" s="26">
        <f>480000*1.21</f>
        <v>580800</v>
      </c>
      <c r="J12" s="26">
        <v>6000000</v>
      </c>
      <c r="K12" s="26">
        <f t="shared" si="6"/>
        <v>580800</v>
      </c>
      <c r="L12" s="46">
        <f t="shared" si="8"/>
        <v>6329000</v>
      </c>
      <c r="M12" s="46">
        <f t="shared" si="5"/>
        <v>603100</v>
      </c>
      <c r="N12" s="46">
        <f t="shared" si="1"/>
        <v>6932100</v>
      </c>
      <c r="O12" s="8">
        <v>44984</v>
      </c>
      <c r="P12" s="8" t="s">
        <v>136</v>
      </c>
      <c r="Q12" s="6">
        <v>44989</v>
      </c>
      <c r="R12" s="9" t="s">
        <v>131</v>
      </c>
      <c r="S12" s="24"/>
    </row>
    <row r="13" spans="1:20" x14ac:dyDescent="0.25">
      <c r="A13" s="7" t="s">
        <v>72</v>
      </c>
      <c r="B13" s="7" t="s">
        <v>73</v>
      </c>
      <c r="C13" s="7" t="s">
        <v>17</v>
      </c>
      <c r="D13" s="26">
        <v>0</v>
      </c>
      <c r="E13" s="26">
        <v>1156093</v>
      </c>
      <c r="F13" s="26">
        <f>ROUND(D13/147.5*154.9,0)</f>
        <v>0</v>
      </c>
      <c r="G13" s="26">
        <f>ROUND(E13/123.1*125.4,0)</f>
        <v>1177693</v>
      </c>
      <c r="H13" s="26">
        <f>1150000*1.21</f>
        <v>1391500</v>
      </c>
      <c r="I13" s="26">
        <f>1210000*1.21</f>
        <v>1464100</v>
      </c>
      <c r="J13" s="26">
        <f>H13</f>
        <v>1391500</v>
      </c>
      <c r="K13" s="26">
        <f t="shared" si="6"/>
        <v>1464100</v>
      </c>
      <c r="L13" s="46">
        <f t="shared" si="4"/>
        <v>1457200</v>
      </c>
      <c r="M13" s="46">
        <f t="shared" si="5"/>
        <v>1520300</v>
      </c>
      <c r="N13" s="46">
        <f t="shared" si="1"/>
        <v>2977500</v>
      </c>
      <c r="O13" s="6">
        <v>44989</v>
      </c>
      <c r="P13" s="9" t="s">
        <v>131</v>
      </c>
      <c r="Q13" s="6">
        <v>44989</v>
      </c>
      <c r="R13" s="9" t="s">
        <v>131</v>
      </c>
      <c r="S13" s="24"/>
    </row>
    <row r="14" spans="1:20" x14ac:dyDescent="0.25">
      <c r="A14" s="7" t="s">
        <v>102</v>
      </c>
      <c r="B14" s="7" t="s">
        <v>103</v>
      </c>
      <c r="C14" s="7" t="s">
        <v>7</v>
      </c>
      <c r="D14" s="26"/>
      <c r="E14" s="26"/>
      <c r="F14" s="26"/>
      <c r="G14" s="26"/>
      <c r="H14" s="26"/>
      <c r="I14" s="26">
        <f>230000*1.21</f>
        <v>278300</v>
      </c>
      <c r="J14" s="26"/>
      <c r="K14" s="26">
        <f>ROUND(I14/122.5*122.5,0)</f>
        <v>278300</v>
      </c>
      <c r="L14" s="46">
        <f t="shared" si="4"/>
        <v>0</v>
      </c>
      <c r="M14" s="46">
        <f t="shared" si="5"/>
        <v>289000</v>
      </c>
      <c r="N14" s="46">
        <f t="shared" si="1"/>
        <v>289000</v>
      </c>
      <c r="O14" s="8"/>
      <c r="P14" s="6"/>
      <c r="Q14" s="6">
        <v>44989</v>
      </c>
      <c r="R14" s="9" t="s">
        <v>131</v>
      </c>
      <c r="S14" s="24"/>
    </row>
    <row r="15" spans="1:20" x14ac:dyDescent="0.25">
      <c r="A15" s="7" t="s">
        <v>12</v>
      </c>
      <c r="B15" s="7" t="s">
        <v>13</v>
      </c>
      <c r="C15" s="7" t="s">
        <v>7</v>
      </c>
      <c r="D15" s="26">
        <v>14283558</v>
      </c>
      <c r="E15" s="26">
        <v>4955653</v>
      </c>
      <c r="F15" s="26">
        <f t="shared" ref="F15" si="9">ROUND(D15/147.5*154.9,0)</f>
        <v>15000157</v>
      </c>
      <c r="G15" s="26">
        <f t="shared" ref="G15" si="10">ROUND(E15/123.1*125.4,0)</f>
        <v>5048244</v>
      </c>
      <c r="H15" s="26">
        <f t="shared" ref="H15" si="11">ROUND(F15/154.9*163.4,0)</f>
        <v>15823277</v>
      </c>
      <c r="I15" s="26">
        <f>2600000*1.21</f>
        <v>3146000</v>
      </c>
      <c r="J15" s="26">
        <v>17000000</v>
      </c>
      <c r="K15" s="26">
        <f>ROUND(I15/122.5*122.5,0)</f>
        <v>3146000</v>
      </c>
      <c r="L15" s="46">
        <f t="shared" ref="L15" si="12">ROUND(J15/124*130.8,-2)</f>
        <v>17932300</v>
      </c>
      <c r="M15" s="46">
        <f t="shared" si="5"/>
        <v>3266700</v>
      </c>
      <c r="N15" s="46">
        <f t="shared" si="1"/>
        <v>21199000</v>
      </c>
      <c r="O15" s="8">
        <v>44984</v>
      </c>
      <c r="P15" s="8" t="s">
        <v>137</v>
      </c>
      <c r="Q15" s="6">
        <v>44989</v>
      </c>
      <c r="R15" s="9" t="s">
        <v>131</v>
      </c>
      <c r="S15" s="24"/>
    </row>
    <row r="16" spans="1:20" x14ac:dyDescent="0.25">
      <c r="A16" s="7" t="s">
        <v>44</v>
      </c>
      <c r="B16" s="7" t="s">
        <v>45</v>
      </c>
      <c r="C16" s="7" t="s">
        <v>7</v>
      </c>
      <c r="D16" s="26">
        <v>0</v>
      </c>
      <c r="E16" s="26">
        <v>262748</v>
      </c>
      <c r="F16" s="26">
        <f>ROUND(D16/147.5*154.9,0)</f>
        <v>0</v>
      </c>
      <c r="G16" s="26">
        <f>ROUND(E16/123.1*125.4,0)</f>
        <v>267657</v>
      </c>
      <c r="H16" s="26">
        <f>ROUND(F16/154.9*163.4,0)</f>
        <v>0</v>
      </c>
      <c r="I16" s="26">
        <f>630000*1.21</f>
        <v>762300</v>
      </c>
      <c r="J16" s="26">
        <f>ROUND(H16/163.4*176.5,0)</f>
        <v>0</v>
      </c>
      <c r="K16" s="26">
        <f>ROUND(I16/122.5*122.5,0)</f>
        <v>762300</v>
      </c>
      <c r="L16" s="46">
        <f t="shared" si="4"/>
        <v>0</v>
      </c>
      <c r="M16" s="46">
        <f t="shared" si="5"/>
        <v>791500</v>
      </c>
      <c r="N16" s="46">
        <f t="shared" si="1"/>
        <v>791500</v>
      </c>
      <c r="O16" s="4"/>
      <c r="P16" s="4"/>
      <c r="Q16" s="6">
        <v>44989</v>
      </c>
      <c r="R16" s="9" t="s">
        <v>131</v>
      </c>
      <c r="S16" s="24"/>
    </row>
    <row r="17" spans="1:20" x14ac:dyDescent="0.25">
      <c r="A17" s="7" t="s">
        <v>34</v>
      </c>
      <c r="B17" s="7" t="s">
        <v>35</v>
      </c>
      <c r="C17" s="7" t="s">
        <v>7</v>
      </c>
      <c r="D17" s="26">
        <v>0</v>
      </c>
      <c r="E17" s="26">
        <v>8611113</v>
      </c>
      <c r="F17" s="26">
        <f>ROUND(D17/147.5*154.9,0)</f>
        <v>0</v>
      </c>
      <c r="G17" s="26">
        <f>ROUND(E17/123.1*125.4,0)</f>
        <v>8772003</v>
      </c>
      <c r="H17" s="26">
        <f>ROUND(F17/154.9*163.4,0)</f>
        <v>0</v>
      </c>
      <c r="I17" s="26">
        <f>9260000*1.21</f>
        <v>11204600</v>
      </c>
      <c r="J17" s="26">
        <f>ROUND(H17/163.4*176.5,0)</f>
        <v>0</v>
      </c>
      <c r="K17" s="26">
        <f>ROUND(I17/122.5*122.5,0)</f>
        <v>11204600</v>
      </c>
      <c r="L17" s="46">
        <f t="shared" si="4"/>
        <v>0</v>
      </c>
      <c r="M17" s="46">
        <f t="shared" si="5"/>
        <v>11634500</v>
      </c>
      <c r="N17" s="46">
        <f t="shared" si="1"/>
        <v>11634500</v>
      </c>
      <c r="O17" s="4"/>
      <c r="P17" s="4"/>
      <c r="Q17" s="6">
        <v>44989</v>
      </c>
      <c r="R17" s="9" t="s">
        <v>131</v>
      </c>
      <c r="S17" s="24"/>
    </row>
    <row r="18" spans="1:20" ht="30" x14ac:dyDescent="0.25">
      <c r="A18" s="7" t="s">
        <v>92</v>
      </c>
      <c r="B18" s="7" t="s">
        <v>14</v>
      </c>
      <c r="C18" s="7" t="s">
        <v>5</v>
      </c>
      <c r="D18" s="26">
        <v>0</v>
      </c>
      <c r="E18" s="26">
        <f>10380228+(ROUND(210000*1.21,0))</f>
        <v>10634328</v>
      </c>
      <c r="F18" s="26">
        <f t="shared" si="2"/>
        <v>0</v>
      </c>
      <c r="G18" s="26">
        <f t="shared" si="3"/>
        <v>10833020</v>
      </c>
      <c r="H18" s="26">
        <f t="shared" ref="H18:H47" si="13">ROUND(F18/154.9*163.4,0)</f>
        <v>0</v>
      </c>
      <c r="I18" s="26">
        <f>9810000*1.21</f>
        <v>11870100</v>
      </c>
      <c r="J18" s="26">
        <f t="shared" ref="J18:J38" si="14">ROUND(H18/163.4*176.5,0)</f>
        <v>0</v>
      </c>
      <c r="K18" s="26">
        <f t="shared" ref="K18:K19" si="15">ROUND(I18/122.5*122.5,0)</f>
        <v>11870100</v>
      </c>
      <c r="L18" s="46">
        <f t="shared" si="4"/>
        <v>0</v>
      </c>
      <c r="M18" s="46">
        <f t="shared" si="5"/>
        <v>12325500</v>
      </c>
      <c r="N18" s="46">
        <f t="shared" si="1"/>
        <v>12325500</v>
      </c>
      <c r="O18" s="4"/>
      <c r="P18" s="4"/>
      <c r="Q18" s="6">
        <v>44989</v>
      </c>
      <c r="R18" s="9" t="s">
        <v>131</v>
      </c>
      <c r="S18" s="24"/>
    </row>
    <row r="19" spans="1:20" x14ac:dyDescent="0.25">
      <c r="A19" s="7" t="s">
        <v>32</v>
      </c>
      <c r="B19" s="7" t="s">
        <v>33</v>
      </c>
      <c r="C19" s="7" t="s">
        <v>7</v>
      </c>
      <c r="D19" s="26">
        <v>0</v>
      </c>
      <c r="E19" s="26">
        <v>4827765</v>
      </c>
      <c r="F19" s="26">
        <f>ROUND(D19/147.5*154.9,0)</f>
        <v>0</v>
      </c>
      <c r="G19" s="26">
        <f>ROUND(E19/123.1*125.4,0)</f>
        <v>4917967</v>
      </c>
      <c r="H19" s="26">
        <f>ROUND(F19/154.9*163.4,0)</f>
        <v>0</v>
      </c>
      <c r="I19" s="26">
        <f>3250000*1.21</f>
        <v>3932500</v>
      </c>
      <c r="J19" s="26">
        <f>ROUND(H19/163.4*176.5,0)</f>
        <v>0</v>
      </c>
      <c r="K19" s="26">
        <f t="shared" si="15"/>
        <v>3932500</v>
      </c>
      <c r="L19" s="46">
        <f t="shared" si="4"/>
        <v>0</v>
      </c>
      <c r="M19" s="46">
        <f t="shared" si="5"/>
        <v>4083400</v>
      </c>
      <c r="N19" s="46">
        <f t="shared" si="1"/>
        <v>4083400</v>
      </c>
      <c r="O19" s="4"/>
      <c r="P19" s="4"/>
      <c r="Q19" s="6">
        <v>44989</v>
      </c>
      <c r="R19" s="9" t="s">
        <v>131</v>
      </c>
      <c r="S19" s="24"/>
    </row>
    <row r="20" spans="1:20" x14ac:dyDescent="0.25">
      <c r="A20" s="7" t="s">
        <v>105</v>
      </c>
      <c r="B20" s="7" t="s">
        <v>106</v>
      </c>
      <c r="C20" s="7" t="s">
        <v>7</v>
      </c>
      <c r="D20" s="26"/>
      <c r="E20" s="26"/>
      <c r="F20" s="26"/>
      <c r="G20" s="26"/>
      <c r="H20" s="26"/>
      <c r="I20" s="26">
        <f>50000*1.21</f>
        <v>60500</v>
      </c>
      <c r="J20" s="26"/>
      <c r="K20" s="26">
        <f t="shared" ref="K20:K25" si="16">ROUND(I20/122.5*122.5,0)</f>
        <v>60500</v>
      </c>
      <c r="L20" s="46">
        <f t="shared" si="4"/>
        <v>0</v>
      </c>
      <c r="M20" s="46">
        <f t="shared" si="5"/>
        <v>62800</v>
      </c>
      <c r="N20" s="46">
        <f t="shared" si="1"/>
        <v>62800</v>
      </c>
      <c r="O20" s="9"/>
      <c r="P20" s="9"/>
      <c r="Q20" s="6">
        <v>44989</v>
      </c>
      <c r="R20" s="9" t="s">
        <v>131</v>
      </c>
      <c r="S20" s="24"/>
    </row>
    <row r="21" spans="1:20" x14ac:dyDescent="0.25">
      <c r="A21" s="7" t="s">
        <v>75</v>
      </c>
      <c r="B21" s="7" t="s">
        <v>71</v>
      </c>
      <c r="C21" s="7" t="s">
        <v>1</v>
      </c>
      <c r="D21" s="26">
        <v>0</v>
      </c>
      <c r="E21" s="26">
        <v>2147450</v>
      </c>
      <c r="F21" s="26">
        <f>ROUND(D21/147.5*154.9,0)</f>
        <v>0</v>
      </c>
      <c r="G21" s="26">
        <f>ROUND(E21/123.1*125.4,0)</f>
        <v>2187573</v>
      </c>
      <c r="H21" s="26">
        <f>ROUND(F21/154.9*163.4,0)</f>
        <v>0</v>
      </c>
      <c r="I21" s="26">
        <f>270000*1.21</f>
        <v>326700</v>
      </c>
      <c r="J21" s="26">
        <f>ROUND(H21/163.4*176.5,0)</f>
        <v>0</v>
      </c>
      <c r="K21" s="26">
        <f t="shared" si="16"/>
        <v>326700</v>
      </c>
      <c r="L21" s="46">
        <f t="shared" si="4"/>
        <v>0</v>
      </c>
      <c r="M21" s="46">
        <f t="shared" si="5"/>
        <v>339200</v>
      </c>
      <c r="N21" s="46">
        <f t="shared" si="1"/>
        <v>339200</v>
      </c>
      <c r="O21" s="4"/>
      <c r="P21" s="4"/>
      <c r="Q21" s="6">
        <v>44989</v>
      </c>
      <c r="R21" s="9" t="s">
        <v>131</v>
      </c>
      <c r="S21" s="24"/>
    </row>
    <row r="22" spans="1:20" x14ac:dyDescent="0.25">
      <c r="A22" s="7" t="s">
        <v>88</v>
      </c>
      <c r="B22" s="7" t="s">
        <v>104</v>
      </c>
      <c r="C22" s="7" t="s">
        <v>7</v>
      </c>
      <c r="D22" s="26">
        <v>4730321</v>
      </c>
      <c r="E22" s="26">
        <v>1200000</v>
      </c>
      <c r="F22" s="26">
        <f>ROUND(D22/147.5*154.9,0)</f>
        <v>4967639</v>
      </c>
      <c r="G22" s="26">
        <f>ROUND(E22/123.1*125.4,0)</f>
        <v>1222421</v>
      </c>
      <c r="H22" s="26">
        <f>8580000*1.21</f>
        <v>10381800</v>
      </c>
      <c r="I22" s="26">
        <f>(10720000-8580000)*1.21</f>
        <v>2589400</v>
      </c>
      <c r="J22" s="26">
        <f>H22</f>
        <v>10381800</v>
      </c>
      <c r="K22" s="26">
        <f t="shared" si="16"/>
        <v>2589400</v>
      </c>
      <c r="L22" s="46">
        <f t="shared" si="4"/>
        <v>10872200</v>
      </c>
      <c r="M22" s="46">
        <f t="shared" si="5"/>
        <v>2688700</v>
      </c>
      <c r="N22" s="46">
        <f t="shared" si="1"/>
        <v>13560900</v>
      </c>
      <c r="O22" s="6">
        <v>44989</v>
      </c>
      <c r="P22" s="9" t="s">
        <v>131</v>
      </c>
      <c r="Q22" s="6">
        <v>44989</v>
      </c>
      <c r="R22" s="9" t="s">
        <v>131</v>
      </c>
      <c r="S22" s="24"/>
    </row>
    <row r="23" spans="1:20" x14ac:dyDescent="0.25">
      <c r="A23" s="7" t="s">
        <v>107</v>
      </c>
      <c r="B23" s="7" t="s">
        <v>108</v>
      </c>
      <c r="C23" s="7" t="s">
        <v>7</v>
      </c>
      <c r="D23" s="26"/>
      <c r="E23" s="26"/>
      <c r="F23" s="26"/>
      <c r="G23" s="26"/>
      <c r="H23" s="26"/>
      <c r="I23" s="26">
        <f>80000*1.21</f>
        <v>96800</v>
      </c>
      <c r="J23" s="26"/>
      <c r="K23" s="26">
        <f t="shared" si="16"/>
        <v>96800</v>
      </c>
      <c r="L23" s="46">
        <f t="shared" si="4"/>
        <v>0</v>
      </c>
      <c r="M23" s="46">
        <f t="shared" si="5"/>
        <v>100500</v>
      </c>
      <c r="N23" s="46">
        <f t="shared" si="1"/>
        <v>100500</v>
      </c>
      <c r="O23" s="8"/>
      <c r="P23" s="8"/>
      <c r="Q23" s="6">
        <v>44989</v>
      </c>
      <c r="R23" s="9" t="s">
        <v>131</v>
      </c>
      <c r="S23" s="24"/>
      <c r="T23" s="39"/>
    </row>
    <row r="24" spans="1:20" x14ac:dyDescent="0.25">
      <c r="A24" s="7" t="s">
        <v>109</v>
      </c>
      <c r="B24" s="7" t="s">
        <v>110</v>
      </c>
      <c r="C24" s="7" t="s">
        <v>1</v>
      </c>
      <c r="D24" s="26"/>
      <c r="E24" s="26"/>
      <c r="F24" s="26"/>
      <c r="G24" s="26"/>
      <c r="H24" s="26"/>
      <c r="I24" s="26">
        <f>640000*1.21</f>
        <v>774400</v>
      </c>
      <c r="J24" s="26"/>
      <c r="K24" s="26">
        <f t="shared" si="16"/>
        <v>774400</v>
      </c>
      <c r="L24" s="46">
        <f t="shared" si="4"/>
        <v>0</v>
      </c>
      <c r="M24" s="46">
        <f t="shared" si="5"/>
        <v>804100</v>
      </c>
      <c r="N24" s="46">
        <f t="shared" si="1"/>
        <v>804100</v>
      </c>
      <c r="O24" s="6"/>
      <c r="P24" s="6"/>
      <c r="Q24" s="6">
        <v>44989</v>
      </c>
      <c r="R24" s="9" t="s">
        <v>131</v>
      </c>
      <c r="S24" s="24"/>
      <c r="T24" s="39"/>
    </row>
    <row r="25" spans="1:20" x14ac:dyDescent="0.25">
      <c r="A25" s="7" t="s">
        <v>111</v>
      </c>
      <c r="B25" s="7" t="s">
        <v>112</v>
      </c>
      <c r="C25" s="7" t="s">
        <v>1</v>
      </c>
      <c r="D25" s="26"/>
      <c r="E25" s="26"/>
      <c r="F25" s="26"/>
      <c r="G25" s="26"/>
      <c r="H25" s="26"/>
      <c r="I25" s="26">
        <f>190000*1.21</f>
        <v>229900</v>
      </c>
      <c r="J25" s="26"/>
      <c r="K25" s="26">
        <f t="shared" si="16"/>
        <v>229900</v>
      </c>
      <c r="L25" s="46">
        <f t="shared" si="4"/>
        <v>0</v>
      </c>
      <c r="M25" s="46">
        <f t="shared" si="5"/>
        <v>238700</v>
      </c>
      <c r="N25" s="46">
        <f t="shared" si="1"/>
        <v>238700</v>
      </c>
      <c r="O25" s="6"/>
      <c r="P25" s="6"/>
      <c r="Q25" s="6">
        <v>44989</v>
      </c>
      <c r="R25" s="9" t="s">
        <v>131</v>
      </c>
      <c r="S25" s="24"/>
      <c r="T25" s="39"/>
    </row>
    <row r="26" spans="1:20" x14ac:dyDescent="0.25">
      <c r="A26" s="7" t="s">
        <v>113</v>
      </c>
      <c r="B26" s="7" t="s">
        <v>114</v>
      </c>
      <c r="C26" s="7" t="s">
        <v>1</v>
      </c>
      <c r="D26" s="26"/>
      <c r="E26" s="26"/>
      <c r="F26" s="26"/>
      <c r="G26" s="26"/>
      <c r="H26" s="26"/>
      <c r="I26" s="26">
        <f>250000*1.21</f>
        <v>302500</v>
      </c>
      <c r="J26" s="26"/>
      <c r="K26" s="26">
        <f t="shared" ref="K26:K42" si="17">ROUND(I26/122.5*122.5,0)</f>
        <v>302500</v>
      </c>
      <c r="L26" s="46">
        <f t="shared" si="4"/>
        <v>0</v>
      </c>
      <c r="M26" s="46">
        <f t="shared" si="5"/>
        <v>314100</v>
      </c>
      <c r="N26" s="46">
        <f t="shared" si="1"/>
        <v>314100</v>
      </c>
      <c r="O26" s="6"/>
      <c r="P26" s="6"/>
      <c r="Q26" s="6">
        <v>44989</v>
      </c>
      <c r="R26" s="9" t="s">
        <v>131</v>
      </c>
      <c r="S26" s="24"/>
      <c r="T26" s="39"/>
    </row>
    <row r="27" spans="1:20" ht="30" x14ac:dyDescent="0.25">
      <c r="A27" s="7" t="s">
        <v>167</v>
      </c>
      <c r="B27" s="7" t="s">
        <v>115</v>
      </c>
      <c r="C27" s="7" t="s">
        <v>116</v>
      </c>
      <c r="D27" s="26">
        <v>11351668</v>
      </c>
      <c r="E27" s="26">
        <v>7236319</v>
      </c>
      <c r="F27" s="26">
        <f>ROUND(D27/147.5*154.9,0)</f>
        <v>11921175</v>
      </c>
      <c r="G27" s="26">
        <f>ROUND(E27/123.1*125.4,0)</f>
        <v>7371522</v>
      </c>
      <c r="H27" s="26">
        <f>ROUND(F27/154.9*163.4,0)</f>
        <v>12575339</v>
      </c>
      <c r="I27" s="26">
        <f>7500000*1.21</f>
        <v>9075000</v>
      </c>
      <c r="J27" s="26"/>
      <c r="K27" s="26">
        <f t="shared" si="17"/>
        <v>9075000</v>
      </c>
      <c r="L27" s="46">
        <f t="shared" si="4"/>
        <v>0</v>
      </c>
      <c r="M27" s="46">
        <f t="shared" si="5"/>
        <v>9423200</v>
      </c>
      <c r="N27" s="46">
        <f t="shared" si="1"/>
        <v>9423200</v>
      </c>
      <c r="O27" s="4"/>
      <c r="P27" s="4"/>
      <c r="Q27" s="6">
        <v>44989</v>
      </c>
      <c r="R27" s="9" t="s">
        <v>131</v>
      </c>
      <c r="S27" s="24"/>
    </row>
    <row r="28" spans="1:20" x14ac:dyDescent="0.25">
      <c r="A28" s="7" t="s">
        <v>177</v>
      </c>
      <c r="B28" s="7" t="s">
        <v>176</v>
      </c>
      <c r="C28" s="7" t="s">
        <v>7</v>
      </c>
      <c r="D28" s="26">
        <v>11351668</v>
      </c>
      <c r="E28" s="26">
        <v>7236319</v>
      </c>
      <c r="F28" s="26">
        <f>ROUND(D28/147.5*154.9,0)</f>
        <v>11921175</v>
      </c>
      <c r="G28" s="26">
        <f>ROUND(E28/123.1*125.4,0)</f>
        <v>7371522</v>
      </c>
      <c r="H28" s="26">
        <f>ROUND(F28/154.9*163.4,0)</f>
        <v>12575339</v>
      </c>
      <c r="I28" s="28">
        <f>7500000*1.21</f>
        <v>9075000</v>
      </c>
      <c r="J28" s="26">
        <v>3600000</v>
      </c>
      <c r="K28" s="26"/>
      <c r="L28" s="46">
        <f t="shared" ref="L28" si="18">ROUND(J28/124*130.8,-2)</f>
        <v>3797400</v>
      </c>
      <c r="M28" s="46">
        <f t="shared" si="5"/>
        <v>0</v>
      </c>
      <c r="N28" s="46">
        <f t="shared" si="1"/>
        <v>3797400</v>
      </c>
      <c r="O28" s="8">
        <v>44993</v>
      </c>
      <c r="P28" s="8" t="s">
        <v>141</v>
      </c>
      <c r="Q28" s="8">
        <v>44989</v>
      </c>
      <c r="R28" s="4" t="s">
        <v>131</v>
      </c>
      <c r="S28" s="24"/>
    </row>
    <row r="29" spans="1:20" x14ac:dyDescent="0.25">
      <c r="A29" s="7" t="s">
        <v>117</v>
      </c>
      <c r="B29" s="7" t="s">
        <v>118</v>
      </c>
      <c r="C29" s="7" t="s">
        <v>7</v>
      </c>
      <c r="D29" s="26"/>
      <c r="E29" s="26"/>
      <c r="F29" s="26"/>
      <c r="G29" s="26"/>
      <c r="H29" s="26"/>
      <c r="I29" s="26">
        <f>200000*1.21</f>
        <v>242000</v>
      </c>
      <c r="J29" s="26"/>
      <c r="K29" s="26">
        <f t="shared" si="17"/>
        <v>242000</v>
      </c>
      <c r="L29" s="46">
        <f t="shared" si="4"/>
        <v>0</v>
      </c>
      <c r="M29" s="46">
        <f t="shared" si="5"/>
        <v>251300</v>
      </c>
      <c r="N29" s="46">
        <f t="shared" si="1"/>
        <v>251300</v>
      </c>
      <c r="O29" s="9"/>
      <c r="P29" s="9"/>
      <c r="Q29" s="6">
        <v>44989</v>
      </c>
      <c r="R29" s="9" t="s">
        <v>131</v>
      </c>
      <c r="S29" s="24"/>
    </row>
    <row r="30" spans="1:20" x14ac:dyDescent="0.25">
      <c r="A30" s="7" t="s">
        <v>70</v>
      </c>
      <c r="B30" s="7" t="s">
        <v>30</v>
      </c>
      <c r="C30" s="7" t="s">
        <v>31</v>
      </c>
      <c r="D30" s="26">
        <v>0</v>
      </c>
      <c r="E30" s="26">
        <v>3452971</v>
      </c>
      <c r="F30" s="26">
        <f>ROUND(D30/147.5*154.9,0)</f>
        <v>0</v>
      </c>
      <c r="G30" s="26">
        <f>ROUND(E30/123.1*125.4,0)</f>
        <v>3517486</v>
      </c>
      <c r="H30" s="26">
        <f>ROUND(F30/154.9*163.4,0)</f>
        <v>0</v>
      </c>
      <c r="I30" s="26">
        <f>2620000*1.21</f>
        <v>3170200</v>
      </c>
      <c r="J30" s="26">
        <f>ROUND(H30/163.4*176.5,0)</f>
        <v>0</v>
      </c>
      <c r="K30" s="26">
        <f t="shared" si="17"/>
        <v>3170200</v>
      </c>
      <c r="L30" s="46">
        <f t="shared" si="4"/>
        <v>0</v>
      </c>
      <c r="M30" s="46">
        <f t="shared" si="5"/>
        <v>3291800</v>
      </c>
      <c r="N30" s="46">
        <f t="shared" si="1"/>
        <v>3291800</v>
      </c>
      <c r="O30" s="4"/>
      <c r="P30" s="4"/>
      <c r="Q30" s="6">
        <v>44989</v>
      </c>
      <c r="R30" s="9" t="s">
        <v>131</v>
      </c>
      <c r="S30" s="24"/>
    </row>
    <row r="31" spans="1:20" x14ac:dyDescent="0.25">
      <c r="A31" s="29" t="s">
        <v>121</v>
      </c>
      <c r="B31" s="7" t="s">
        <v>74</v>
      </c>
      <c r="C31" s="7" t="s">
        <v>1</v>
      </c>
      <c r="D31" s="26">
        <v>0</v>
      </c>
      <c r="E31" s="26">
        <v>167107</v>
      </c>
      <c r="F31" s="26">
        <f>ROUND(D31/147.5*154.9,0)</f>
        <v>0</v>
      </c>
      <c r="G31" s="26">
        <f>ROUND(E31/123.1*125.4,0)</f>
        <v>170229</v>
      </c>
      <c r="H31" s="26">
        <f>ROUND(F31/154.9*163.4,0)</f>
        <v>0</v>
      </c>
      <c r="I31" s="26">
        <f>880000*1.21</f>
        <v>1064800</v>
      </c>
      <c r="J31" s="26">
        <f>ROUND(H31/163.4*176.5,0)</f>
        <v>0</v>
      </c>
      <c r="K31" s="26">
        <f t="shared" si="17"/>
        <v>1064800</v>
      </c>
      <c r="L31" s="46">
        <f t="shared" si="4"/>
        <v>0</v>
      </c>
      <c r="M31" s="46">
        <f t="shared" si="5"/>
        <v>1105700</v>
      </c>
      <c r="N31" s="46">
        <f t="shared" si="1"/>
        <v>1105700</v>
      </c>
      <c r="O31" s="4"/>
      <c r="P31" s="4"/>
      <c r="Q31" s="6">
        <v>44989</v>
      </c>
      <c r="R31" s="9" t="s">
        <v>131</v>
      </c>
      <c r="S31" s="24"/>
    </row>
    <row r="32" spans="1:20" x14ac:dyDescent="0.25">
      <c r="A32" s="29" t="s">
        <v>122</v>
      </c>
      <c r="B32" s="7" t="s">
        <v>74</v>
      </c>
      <c r="C32" s="7" t="s">
        <v>1</v>
      </c>
      <c r="D32" s="26"/>
      <c r="E32" s="26"/>
      <c r="F32" s="26"/>
      <c r="G32" s="26"/>
      <c r="H32" s="26"/>
      <c r="I32" s="26">
        <f>240000*1.21</f>
        <v>290400</v>
      </c>
      <c r="J32" s="26"/>
      <c r="K32" s="26">
        <f t="shared" si="17"/>
        <v>290400</v>
      </c>
      <c r="L32" s="46">
        <f t="shared" si="4"/>
        <v>0</v>
      </c>
      <c r="M32" s="46">
        <f t="shared" si="5"/>
        <v>301500</v>
      </c>
      <c r="N32" s="46">
        <f t="shared" si="1"/>
        <v>301500</v>
      </c>
      <c r="O32" s="9"/>
      <c r="P32" s="9"/>
      <c r="Q32" s="6">
        <v>44989</v>
      </c>
      <c r="R32" s="9" t="s">
        <v>131</v>
      </c>
      <c r="S32" s="24"/>
    </row>
    <row r="33" spans="1:20" x14ac:dyDescent="0.25">
      <c r="A33" s="29" t="s">
        <v>123</v>
      </c>
      <c r="B33" s="7" t="s">
        <v>124</v>
      </c>
      <c r="C33" s="7" t="s">
        <v>7</v>
      </c>
      <c r="D33" s="26"/>
      <c r="E33" s="26"/>
      <c r="F33" s="26"/>
      <c r="G33" s="26"/>
      <c r="H33" s="26"/>
      <c r="I33" s="26">
        <f>170000*1.21</f>
        <v>205700</v>
      </c>
      <c r="J33" s="26"/>
      <c r="K33" s="26">
        <f t="shared" si="17"/>
        <v>205700</v>
      </c>
      <c r="L33" s="46">
        <v>0</v>
      </c>
      <c r="M33" s="46">
        <f t="shared" si="5"/>
        <v>213600</v>
      </c>
      <c r="N33" s="46">
        <f t="shared" si="1"/>
        <v>213600</v>
      </c>
      <c r="O33" s="9"/>
      <c r="P33" s="9"/>
      <c r="Q33" s="6">
        <v>44989</v>
      </c>
      <c r="R33" s="9" t="s">
        <v>131</v>
      </c>
      <c r="S33" s="24"/>
    </row>
    <row r="34" spans="1:20" ht="30" x14ac:dyDescent="0.25">
      <c r="A34" s="7" t="s">
        <v>15</v>
      </c>
      <c r="B34" s="7" t="s">
        <v>16</v>
      </c>
      <c r="C34" s="7" t="s">
        <v>17</v>
      </c>
      <c r="D34" s="26">
        <v>43099083</v>
      </c>
      <c r="E34" s="26">
        <v>13279018</v>
      </c>
      <c r="F34" s="26">
        <f t="shared" si="2"/>
        <v>45261342</v>
      </c>
      <c r="G34" s="26">
        <f t="shared" si="3"/>
        <v>13527123</v>
      </c>
      <c r="H34" s="26">
        <f t="shared" ref="H34" si="19">ROUND(F34/154.9*163.4,0)</f>
        <v>47745018</v>
      </c>
      <c r="I34" s="26">
        <f>11370000*1.21</f>
        <v>13757700</v>
      </c>
      <c r="J34" s="26">
        <v>49700000</v>
      </c>
      <c r="K34" s="26">
        <f t="shared" si="17"/>
        <v>13757700</v>
      </c>
      <c r="L34" s="46">
        <f t="shared" ref="L34" si="20">ROUND(J34/124*130.8,-2)</f>
        <v>52425500</v>
      </c>
      <c r="M34" s="46">
        <f t="shared" si="5"/>
        <v>14285500</v>
      </c>
      <c r="N34" s="46">
        <f t="shared" si="1"/>
        <v>66711000</v>
      </c>
      <c r="O34" s="8">
        <v>44994</v>
      </c>
      <c r="P34" s="8" t="s">
        <v>138</v>
      </c>
      <c r="Q34" s="6">
        <v>44989</v>
      </c>
      <c r="R34" s="9" t="s">
        <v>131</v>
      </c>
      <c r="S34" s="24"/>
      <c r="T34" s="40" t="s">
        <v>96</v>
      </c>
    </row>
    <row r="35" spans="1:20" x14ac:dyDescent="0.25">
      <c r="A35" s="7" t="s">
        <v>18</v>
      </c>
      <c r="B35" s="7" t="s">
        <v>19</v>
      </c>
      <c r="C35" s="7" t="s">
        <v>20</v>
      </c>
      <c r="D35" s="26">
        <v>0</v>
      </c>
      <c r="E35" s="26">
        <v>85259</v>
      </c>
      <c r="F35" s="26">
        <f t="shared" si="2"/>
        <v>0</v>
      </c>
      <c r="G35" s="26">
        <f t="shared" si="3"/>
        <v>86852</v>
      </c>
      <c r="H35" s="26">
        <f t="shared" si="13"/>
        <v>0</v>
      </c>
      <c r="I35" s="26">
        <v>0</v>
      </c>
      <c r="J35" s="26">
        <f t="shared" si="14"/>
        <v>0</v>
      </c>
      <c r="K35" s="26">
        <f t="shared" si="17"/>
        <v>0</v>
      </c>
      <c r="L35" s="46">
        <f t="shared" si="4"/>
        <v>0</v>
      </c>
      <c r="M35" s="46">
        <f t="shared" si="5"/>
        <v>0</v>
      </c>
      <c r="N35" s="46">
        <f t="shared" si="1"/>
        <v>0</v>
      </c>
      <c r="O35" s="4"/>
      <c r="P35" s="4"/>
      <c r="Q35" s="6">
        <v>44989</v>
      </c>
      <c r="R35" s="9" t="s">
        <v>131</v>
      </c>
      <c r="S35" s="24"/>
    </row>
    <row r="36" spans="1:20" x14ac:dyDescent="0.25">
      <c r="A36" s="7" t="s">
        <v>21</v>
      </c>
      <c r="B36" s="7" t="s">
        <v>22</v>
      </c>
      <c r="C36" s="7" t="s">
        <v>7</v>
      </c>
      <c r="D36" s="26">
        <v>372615</v>
      </c>
      <c r="E36" s="26">
        <v>1428081</v>
      </c>
      <c r="F36" s="26">
        <f t="shared" si="2"/>
        <v>391309</v>
      </c>
      <c r="G36" s="26">
        <f t="shared" si="3"/>
        <v>1454763</v>
      </c>
      <c r="H36" s="26">
        <f>350000*1.21</f>
        <v>423500</v>
      </c>
      <c r="I36" s="26">
        <f>(1430000-350000)*1.21</f>
        <v>1306800</v>
      </c>
      <c r="J36" s="26">
        <f>H36</f>
        <v>423500</v>
      </c>
      <c r="K36" s="26">
        <f t="shared" si="17"/>
        <v>1306800</v>
      </c>
      <c r="L36" s="46">
        <f t="shared" si="4"/>
        <v>443500</v>
      </c>
      <c r="M36" s="46">
        <f t="shared" si="5"/>
        <v>1356900</v>
      </c>
      <c r="N36" s="46">
        <f t="shared" si="1"/>
        <v>1800400</v>
      </c>
      <c r="O36" s="6">
        <v>44989</v>
      </c>
      <c r="P36" s="9" t="s">
        <v>131</v>
      </c>
      <c r="Q36" s="6">
        <v>44989</v>
      </c>
      <c r="R36" s="9" t="s">
        <v>131</v>
      </c>
      <c r="S36" s="24"/>
    </row>
    <row r="37" spans="1:20" x14ac:dyDescent="0.25">
      <c r="A37" s="7" t="s">
        <v>125</v>
      </c>
      <c r="B37" s="7" t="s">
        <v>23</v>
      </c>
      <c r="C37" s="7" t="s">
        <v>7</v>
      </c>
      <c r="D37" s="26">
        <v>149046</v>
      </c>
      <c r="E37" s="26">
        <v>319720</v>
      </c>
      <c r="F37" s="26">
        <f t="shared" si="2"/>
        <v>156524</v>
      </c>
      <c r="G37" s="26">
        <f t="shared" si="3"/>
        <v>325694</v>
      </c>
      <c r="H37" s="26">
        <f>120000*1.21</f>
        <v>145200</v>
      </c>
      <c r="I37" s="26">
        <f>500000*1.21</f>
        <v>605000</v>
      </c>
      <c r="J37" s="26">
        <f>H37</f>
        <v>145200</v>
      </c>
      <c r="K37" s="26">
        <f t="shared" si="17"/>
        <v>605000</v>
      </c>
      <c r="L37" s="46">
        <f t="shared" si="4"/>
        <v>152100</v>
      </c>
      <c r="M37" s="46">
        <f t="shared" si="5"/>
        <v>628200</v>
      </c>
      <c r="N37" s="46">
        <f t="shared" si="1"/>
        <v>780300</v>
      </c>
      <c r="O37" s="6">
        <v>44989</v>
      </c>
      <c r="P37" s="9" t="s">
        <v>131</v>
      </c>
      <c r="Q37" s="6">
        <v>44989</v>
      </c>
      <c r="R37" s="9" t="s">
        <v>131</v>
      </c>
      <c r="S37" s="24"/>
    </row>
    <row r="38" spans="1:20" x14ac:dyDescent="0.25">
      <c r="A38" s="7" t="s">
        <v>126</v>
      </c>
      <c r="B38" s="7" t="s">
        <v>24</v>
      </c>
      <c r="C38" s="7" t="s">
        <v>7</v>
      </c>
      <c r="D38" s="26">
        <v>10433207</v>
      </c>
      <c r="E38" s="26">
        <v>1737143</v>
      </c>
      <c r="F38" s="26">
        <f t="shared" si="2"/>
        <v>10956636</v>
      </c>
      <c r="G38" s="26">
        <f t="shared" si="3"/>
        <v>1769600</v>
      </c>
      <c r="H38" s="26">
        <f t="shared" si="13"/>
        <v>11557872</v>
      </c>
      <c r="I38" s="26">
        <f>1740000*1.21</f>
        <v>2105400</v>
      </c>
      <c r="J38" s="26">
        <f t="shared" si="14"/>
        <v>12484482</v>
      </c>
      <c r="K38" s="26">
        <f t="shared" si="17"/>
        <v>2105400</v>
      </c>
      <c r="L38" s="46">
        <f t="shared" si="4"/>
        <v>13074200</v>
      </c>
      <c r="M38" s="46">
        <f t="shared" si="5"/>
        <v>2186200</v>
      </c>
      <c r="N38" s="46">
        <f t="shared" si="1"/>
        <v>15260400</v>
      </c>
      <c r="O38" s="8">
        <v>42657</v>
      </c>
      <c r="P38" s="6" t="s">
        <v>64</v>
      </c>
      <c r="Q38" s="6">
        <v>44989</v>
      </c>
      <c r="R38" s="9" t="s">
        <v>131</v>
      </c>
      <c r="S38" s="24"/>
    </row>
    <row r="39" spans="1:20" x14ac:dyDescent="0.25">
      <c r="A39" s="7" t="s">
        <v>25</v>
      </c>
      <c r="B39" s="7" t="s">
        <v>26</v>
      </c>
      <c r="C39" s="7" t="s">
        <v>7</v>
      </c>
      <c r="D39" s="26">
        <v>5961833</v>
      </c>
      <c r="E39" s="26">
        <v>804628</v>
      </c>
      <c r="F39" s="26">
        <f t="shared" si="2"/>
        <v>6260935</v>
      </c>
      <c r="G39" s="26">
        <f t="shared" si="3"/>
        <v>819662</v>
      </c>
      <c r="H39" s="26">
        <f t="shared" si="13"/>
        <v>6604498</v>
      </c>
      <c r="I39" s="26">
        <f>860000*1.21</f>
        <v>1040600</v>
      </c>
      <c r="J39" s="26">
        <v>7000000</v>
      </c>
      <c r="K39" s="26">
        <f t="shared" si="17"/>
        <v>1040600</v>
      </c>
      <c r="L39" s="46">
        <f t="shared" ref="L39:L40" si="21">ROUND(J39/124*130.8,-2)</f>
        <v>7383900</v>
      </c>
      <c r="M39" s="46">
        <f t="shared" si="5"/>
        <v>1080500</v>
      </c>
      <c r="N39" s="46">
        <f t="shared" si="1"/>
        <v>8464400</v>
      </c>
      <c r="O39" s="8">
        <v>44993</v>
      </c>
      <c r="P39" s="8" t="s">
        <v>139</v>
      </c>
      <c r="Q39" s="6">
        <v>44989</v>
      </c>
      <c r="R39" s="9" t="s">
        <v>131</v>
      </c>
      <c r="S39" s="24"/>
    </row>
    <row r="40" spans="1:20" x14ac:dyDescent="0.25">
      <c r="A40" s="7" t="s">
        <v>178</v>
      </c>
      <c r="B40" s="7" t="s">
        <v>27</v>
      </c>
      <c r="C40" s="7" t="s">
        <v>7</v>
      </c>
      <c r="D40" s="26">
        <v>41111805</v>
      </c>
      <c r="E40" s="26">
        <v>9367783</v>
      </c>
      <c r="F40" s="26">
        <f t="shared" si="2"/>
        <v>43174363</v>
      </c>
      <c r="G40" s="26">
        <f t="shared" si="3"/>
        <v>9542811</v>
      </c>
      <c r="H40" s="26">
        <f t="shared" si="13"/>
        <v>45543518</v>
      </c>
      <c r="I40" s="26">
        <f>7800000*1.21</f>
        <v>9438000</v>
      </c>
      <c r="J40" s="26">
        <v>46300000</v>
      </c>
      <c r="K40" s="26">
        <f t="shared" si="17"/>
        <v>9438000</v>
      </c>
      <c r="L40" s="46">
        <f t="shared" si="21"/>
        <v>48839000</v>
      </c>
      <c r="M40" s="46">
        <f t="shared" si="5"/>
        <v>9800100</v>
      </c>
      <c r="N40" s="46">
        <f t="shared" si="1"/>
        <v>58639100</v>
      </c>
      <c r="O40" s="8">
        <v>44993</v>
      </c>
      <c r="P40" s="8" t="s">
        <v>140</v>
      </c>
      <c r="Q40" s="6">
        <v>44989</v>
      </c>
      <c r="R40" s="9" t="s">
        <v>131</v>
      </c>
      <c r="S40" s="24"/>
    </row>
    <row r="41" spans="1:20" ht="30" x14ac:dyDescent="0.25">
      <c r="A41" s="7" t="s">
        <v>127</v>
      </c>
      <c r="B41" s="7" t="s">
        <v>28</v>
      </c>
      <c r="C41" s="7" t="s">
        <v>29</v>
      </c>
      <c r="D41" s="26">
        <v>0</v>
      </c>
      <c r="E41" s="26">
        <v>74601</v>
      </c>
      <c r="F41" s="26">
        <f>ROUND(D41/147.5*154.9,0)</f>
        <v>0</v>
      </c>
      <c r="G41" s="26">
        <f>ROUND(E41/123.1*125.4,0)</f>
        <v>75995</v>
      </c>
      <c r="H41" s="26">
        <f>80000*1.21</f>
        <v>96800</v>
      </c>
      <c r="I41" s="26">
        <f>380000*1.21</f>
        <v>459800</v>
      </c>
      <c r="J41" s="26">
        <f>H41</f>
        <v>96800</v>
      </c>
      <c r="K41" s="26">
        <f t="shared" si="17"/>
        <v>459800</v>
      </c>
      <c r="L41" s="46">
        <f t="shared" si="4"/>
        <v>101400</v>
      </c>
      <c r="M41" s="46">
        <f t="shared" si="5"/>
        <v>477400</v>
      </c>
      <c r="N41" s="46">
        <f t="shared" si="1"/>
        <v>578800</v>
      </c>
      <c r="O41" s="6">
        <v>44989</v>
      </c>
      <c r="P41" s="9" t="s">
        <v>131</v>
      </c>
      <c r="Q41" s="6">
        <v>44989</v>
      </c>
      <c r="R41" s="9" t="s">
        <v>131</v>
      </c>
      <c r="S41" s="24"/>
    </row>
    <row r="42" spans="1:20" x14ac:dyDescent="0.25">
      <c r="A42" s="7" t="s">
        <v>128</v>
      </c>
      <c r="B42" s="7" t="s">
        <v>129</v>
      </c>
      <c r="C42" s="7" t="s">
        <v>130</v>
      </c>
      <c r="D42" s="26"/>
      <c r="E42" s="26"/>
      <c r="F42" s="26"/>
      <c r="G42" s="26"/>
      <c r="H42" s="26">
        <f>10000*1.21</f>
        <v>12100</v>
      </c>
      <c r="I42" s="26">
        <f>330000*1.21</f>
        <v>399300</v>
      </c>
      <c r="J42" s="26">
        <f>H42</f>
        <v>12100</v>
      </c>
      <c r="K42" s="26">
        <f t="shared" si="17"/>
        <v>399300</v>
      </c>
      <c r="L42" s="46">
        <f t="shared" si="4"/>
        <v>12700</v>
      </c>
      <c r="M42" s="46">
        <f t="shared" si="5"/>
        <v>414600</v>
      </c>
      <c r="N42" s="46">
        <f t="shared" si="1"/>
        <v>427300</v>
      </c>
      <c r="O42" s="6">
        <v>44989</v>
      </c>
      <c r="P42" s="9" t="s">
        <v>131</v>
      </c>
      <c r="Q42" s="6">
        <v>44989</v>
      </c>
      <c r="R42" s="9" t="s">
        <v>131</v>
      </c>
      <c r="S42" s="24"/>
    </row>
    <row r="43" spans="1:20" x14ac:dyDescent="0.25">
      <c r="A43" s="3" t="s">
        <v>163</v>
      </c>
      <c r="B43" s="3" t="s">
        <v>161</v>
      </c>
      <c r="C43" s="7" t="s">
        <v>7</v>
      </c>
      <c r="D43" s="3"/>
      <c r="E43" s="3"/>
      <c r="F43" s="3"/>
      <c r="G43" s="3"/>
      <c r="H43" s="3"/>
      <c r="I43" s="3"/>
      <c r="J43" s="41">
        <v>200000</v>
      </c>
      <c r="K43" s="41">
        <v>1750000</v>
      </c>
      <c r="L43" s="47">
        <f>J43</f>
        <v>200000</v>
      </c>
      <c r="M43" s="47">
        <f>K43</f>
        <v>1750000</v>
      </c>
      <c r="N43" s="46">
        <f t="shared" si="1"/>
        <v>1950000</v>
      </c>
      <c r="O43" s="4"/>
      <c r="P43" s="4"/>
      <c r="Q43" s="4"/>
      <c r="R43" s="4"/>
      <c r="S43" s="3"/>
    </row>
    <row r="44" spans="1:20" x14ac:dyDescent="0.25">
      <c r="A44" s="12" t="s">
        <v>51</v>
      </c>
      <c r="B44" s="12"/>
      <c r="C44" s="7"/>
      <c r="D44" s="27">
        <f t="shared" ref="D44:K44" si="22">SUM(D6:D42)</f>
        <v>230632792</v>
      </c>
      <c r="E44" s="27">
        <f t="shared" si="22"/>
        <v>98067705</v>
      </c>
      <c r="F44" s="27">
        <f t="shared" si="22"/>
        <v>242203521</v>
      </c>
      <c r="G44" s="27">
        <f t="shared" si="22"/>
        <v>99900002</v>
      </c>
      <c r="H44" s="27">
        <f t="shared" si="22"/>
        <v>262264455</v>
      </c>
      <c r="I44" s="27">
        <f t="shared" si="22"/>
        <v>110509300</v>
      </c>
      <c r="J44" s="27">
        <f t="shared" si="22"/>
        <v>250389682</v>
      </c>
      <c r="K44" s="27">
        <f t="shared" si="22"/>
        <v>101434300</v>
      </c>
      <c r="L44" s="48">
        <f>SUM(L6:L43)</f>
        <v>264123600</v>
      </c>
      <c r="M44" s="48">
        <f>SUM(M6:M43)</f>
        <v>107075600</v>
      </c>
      <c r="N44" s="48">
        <f>SUM(N6:N43)</f>
        <v>371199200</v>
      </c>
      <c r="O44" s="4"/>
      <c r="P44" s="4"/>
      <c r="Q44" s="4"/>
      <c r="R44" s="4"/>
      <c r="S44" s="24"/>
    </row>
    <row r="45" spans="1:20" x14ac:dyDescent="0.25">
      <c r="A45" s="12"/>
      <c r="B45" s="7"/>
      <c r="C45" s="7"/>
      <c r="D45" s="26"/>
      <c r="E45" s="26"/>
      <c r="F45" s="26">
        <f t="shared" si="2"/>
        <v>0</v>
      </c>
      <c r="G45" s="26">
        <f t="shared" si="3"/>
        <v>0</v>
      </c>
      <c r="H45" s="26">
        <f t="shared" si="13"/>
        <v>0</v>
      </c>
      <c r="I45" s="26"/>
      <c r="J45" s="26"/>
      <c r="K45" s="26"/>
      <c r="L45" s="46"/>
      <c r="M45" s="46"/>
      <c r="N45" s="46"/>
      <c r="O45" s="4"/>
      <c r="P45" s="15"/>
      <c r="Q45" s="4"/>
      <c r="R45" s="4"/>
      <c r="S45" s="24"/>
    </row>
    <row r="46" spans="1:20" ht="30" x14ac:dyDescent="0.25">
      <c r="A46" s="7" t="s">
        <v>95</v>
      </c>
      <c r="B46" s="7" t="s">
        <v>36</v>
      </c>
      <c r="C46" s="7" t="s">
        <v>37</v>
      </c>
      <c r="D46" s="26">
        <v>45136042</v>
      </c>
      <c r="E46" s="26">
        <v>10987695</v>
      </c>
      <c r="F46" s="26">
        <f>ROUND(D46/147.5*154.9,0)+200000</f>
        <v>47600494</v>
      </c>
      <c r="G46" s="26">
        <f t="shared" si="3"/>
        <v>11192989</v>
      </c>
      <c r="H46" s="26">
        <f t="shared" si="13"/>
        <v>50212529</v>
      </c>
      <c r="I46" s="26">
        <f>10660000*1.21</f>
        <v>12898600</v>
      </c>
      <c r="J46" s="26">
        <v>52000000</v>
      </c>
      <c r="K46" s="26">
        <f t="shared" ref="K46" si="23">ROUND(I46/122.5*122.5,0)</f>
        <v>12898600</v>
      </c>
      <c r="L46" s="46">
        <f t="shared" ref="L46" si="24">ROUND(J46/124*130.8,-2)</f>
        <v>54851600</v>
      </c>
      <c r="M46" s="46">
        <f t="shared" ref="M46" si="25">ROUND(K46/122.5*127.2,-2)</f>
        <v>13393500</v>
      </c>
      <c r="N46" s="46">
        <f t="shared" ref="N46:N49" si="26">L46+M46</f>
        <v>68245100</v>
      </c>
      <c r="O46" s="8">
        <v>44995</v>
      </c>
      <c r="P46" s="42" t="s">
        <v>143</v>
      </c>
      <c r="Q46" s="6">
        <v>44989</v>
      </c>
      <c r="R46" s="9" t="s">
        <v>131</v>
      </c>
      <c r="S46" s="24"/>
    </row>
    <row r="47" spans="1:20" x14ac:dyDescent="0.25">
      <c r="A47" s="7" t="s">
        <v>38</v>
      </c>
      <c r="B47" s="7" t="s">
        <v>39</v>
      </c>
      <c r="C47" s="7" t="s">
        <v>40</v>
      </c>
      <c r="D47" s="26">
        <v>29349606</v>
      </c>
      <c r="E47" s="26">
        <v>3953865</v>
      </c>
      <c r="F47" s="26">
        <f t="shared" ref="F47" si="27">ROUND(D47/147.5*154.9,0)</f>
        <v>30822061</v>
      </c>
      <c r="G47" s="26">
        <f t="shared" si="3"/>
        <v>4027739</v>
      </c>
      <c r="H47" s="26">
        <f t="shared" si="13"/>
        <v>32513394</v>
      </c>
      <c r="I47" s="26">
        <f>3050000*1.21</f>
        <v>3690500</v>
      </c>
      <c r="J47" s="26">
        <v>34000000</v>
      </c>
      <c r="K47" s="26">
        <f t="shared" ref="K47:K49" si="28">ROUND(I47/122.5*122.5,0)</f>
        <v>3690500</v>
      </c>
      <c r="L47" s="46">
        <f t="shared" ref="L47" si="29">ROUND(J47/124*130.8,-2)</f>
        <v>35864500</v>
      </c>
      <c r="M47" s="46">
        <f t="shared" si="5"/>
        <v>3832100</v>
      </c>
      <c r="N47" s="46">
        <f t="shared" si="26"/>
        <v>39696600</v>
      </c>
      <c r="O47" s="8">
        <v>44994</v>
      </c>
      <c r="P47" s="42" t="s">
        <v>142</v>
      </c>
      <c r="Q47" s="6">
        <v>44989</v>
      </c>
      <c r="R47" s="9" t="s">
        <v>131</v>
      </c>
      <c r="S47" s="24"/>
    </row>
    <row r="48" spans="1:20" x14ac:dyDescent="0.25">
      <c r="A48" s="7" t="s">
        <v>119</v>
      </c>
      <c r="B48" s="7" t="s">
        <v>120</v>
      </c>
      <c r="C48" s="7" t="s">
        <v>40</v>
      </c>
      <c r="D48" s="26"/>
      <c r="E48" s="26"/>
      <c r="F48" s="26"/>
      <c r="G48" s="26"/>
      <c r="H48" s="26"/>
      <c r="I48" s="26">
        <f>620000*1.21</f>
        <v>750200</v>
      </c>
      <c r="J48" s="26"/>
      <c r="K48" s="26">
        <f t="shared" si="28"/>
        <v>750200</v>
      </c>
      <c r="L48" s="46">
        <f t="shared" si="4"/>
        <v>0</v>
      </c>
      <c r="M48" s="46">
        <f t="shared" si="5"/>
        <v>779000</v>
      </c>
      <c r="N48" s="46">
        <f t="shared" si="26"/>
        <v>779000</v>
      </c>
      <c r="O48" s="9"/>
      <c r="P48" s="9"/>
      <c r="Q48" s="6">
        <v>44989</v>
      </c>
      <c r="R48" s="9" t="s">
        <v>131</v>
      </c>
      <c r="S48" s="24"/>
    </row>
    <row r="49" spans="1:19" x14ac:dyDescent="0.25">
      <c r="A49" s="7" t="s">
        <v>78</v>
      </c>
      <c r="B49" s="7" t="s">
        <v>162</v>
      </c>
      <c r="C49" s="7" t="s">
        <v>37</v>
      </c>
      <c r="D49" s="26">
        <v>11963411</v>
      </c>
      <c r="E49" s="26">
        <f>3646958+(ROUND(61640*1.21,0))</f>
        <v>3721542</v>
      </c>
      <c r="F49" s="26">
        <f t="shared" ref="F49" si="30">ROUND(D49/147.5*154.9,0)</f>
        <v>12563609</v>
      </c>
      <c r="G49" s="26">
        <f t="shared" ref="G49" si="31">ROUND(E49/123.1*125.4,0)</f>
        <v>3791075</v>
      </c>
      <c r="H49" s="26">
        <f t="shared" ref="H49" si="32">ROUND(F49/154.9*163.4,0)</f>
        <v>13253026</v>
      </c>
      <c r="I49" s="26">
        <f>2230000*1.21</f>
        <v>2698300</v>
      </c>
      <c r="J49" s="26">
        <v>19450000</v>
      </c>
      <c r="K49" s="26">
        <f t="shared" si="28"/>
        <v>2698300</v>
      </c>
      <c r="L49" s="46">
        <f t="shared" ref="L49" si="33">ROUND(J49/124*130.8,-2)</f>
        <v>20516600</v>
      </c>
      <c r="M49" s="46">
        <f t="shared" si="5"/>
        <v>2801800</v>
      </c>
      <c r="N49" s="46">
        <f t="shared" si="26"/>
        <v>23318400</v>
      </c>
      <c r="O49" s="8">
        <v>44995</v>
      </c>
      <c r="P49" s="42" t="s">
        <v>144</v>
      </c>
      <c r="Q49" s="6">
        <v>44989</v>
      </c>
      <c r="R49" s="9" t="s">
        <v>131</v>
      </c>
      <c r="S49" s="24"/>
    </row>
    <row r="50" spans="1:19" x14ac:dyDescent="0.25">
      <c r="A50" s="12" t="s">
        <v>52</v>
      </c>
      <c r="B50" s="7"/>
      <c r="C50" s="7"/>
      <c r="D50" s="27">
        <f t="shared" ref="D50:N50" si="34">SUM(D46:D49)</f>
        <v>86449059</v>
      </c>
      <c r="E50" s="27">
        <f t="shared" si="34"/>
        <v>18663102</v>
      </c>
      <c r="F50" s="27">
        <f t="shared" si="34"/>
        <v>90986164</v>
      </c>
      <c r="G50" s="27">
        <f t="shared" si="34"/>
        <v>19011803</v>
      </c>
      <c r="H50" s="27">
        <f t="shared" si="34"/>
        <v>95978949</v>
      </c>
      <c r="I50" s="27">
        <f t="shared" si="34"/>
        <v>20037600</v>
      </c>
      <c r="J50" s="27">
        <f t="shared" si="34"/>
        <v>105450000</v>
      </c>
      <c r="K50" s="27">
        <f t="shared" si="34"/>
        <v>20037600</v>
      </c>
      <c r="L50" s="48">
        <f t="shared" si="34"/>
        <v>111232700</v>
      </c>
      <c r="M50" s="48">
        <f t="shared" si="34"/>
        <v>20806400</v>
      </c>
      <c r="N50" s="48">
        <f t="shared" si="34"/>
        <v>132039100</v>
      </c>
      <c r="O50" s="4"/>
      <c r="P50" s="4"/>
      <c r="Q50" s="4"/>
      <c r="R50" s="4"/>
      <c r="S50" s="24"/>
    </row>
    <row r="51" spans="1:19" x14ac:dyDescent="0.25">
      <c r="A51" s="12"/>
      <c r="B51" s="7"/>
      <c r="C51" s="7"/>
      <c r="D51" s="27"/>
      <c r="E51" s="27"/>
      <c r="F51" s="27"/>
      <c r="G51" s="27"/>
      <c r="H51" s="27"/>
      <c r="I51" s="27"/>
      <c r="J51" s="27"/>
      <c r="K51" s="27"/>
      <c r="L51" s="48"/>
      <c r="M51" s="48"/>
      <c r="N51" s="48"/>
      <c r="O51" s="4"/>
      <c r="P51" s="4"/>
      <c r="Q51" s="4"/>
      <c r="R51" s="4"/>
      <c r="S51" s="24"/>
    </row>
    <row r="52" spans="1:19" x14ac:dyDescent="0.25">
      <c r="A52" s="31" t="s">
        <v>145</v>
      </c>
      <c r="B52" s="31" t="s">
        <v>146</v>
      </c>
      <c r="C52" s="31" t="s">
        <v>7</v>
      </c>
      <c r="D52" s="27"/>
      <c r="E52" s="27"/>
      <c r="F52" s="27"/>
      <c r="G52" s="27"/>
      <c r="H52" s="27"/>
      <c r="I52" s="26">
        <v>3325100</v>
      </c>
      <c r="J52" s="26"/>
      <c r="K52" s="26">
        <v>1265000</v>
      </c>
      <c r="L52" s="46"/>
      <c r="M52" s="46">
        <f>ROUND(K52/127.1*127.2,-2)</f>
        <v>1266000</v>
      </c>
      <c r="N52" s="46">
        <f t="shared" ref="N52:N59" si="35">L52+M52</f>
        <v>1266000</v>
      </c>
      <c r="O52" s="4"/>
      <c r="P52" s="4"/>
      <c r="Q52" s="8">
        <v>45443</v>
      </c>
      <c r="R52" s="44" t="s">
        <v>171</v>
      </c>
      <c r="S52" s="24"/>
    </row>
    <row r="53" spans="1:19" x14ac:dyDescent="0.25">
      <c r="A53" s="31" t="s">
        <v>147</v>
      </c>
      <c r="B53" s="31" t="s">
        <v>148</v>
      </c>
      <c r="C53" s="31" t="s">
        <v>7</v>
      </c>
      <c r="D53" s="27"/>
      <c r="E53" s="27"/>
      <c r="F53" s="27"/>
      <c r="G53" s="27"/>
      <c r="H53" s="27"/>
      <c r="I53" s="26">
        <v>361400</v>
      </c>
      <c r="J53" s="41">
        <v>65000</v>
      </c>
      <c r="K53" s="26">
        <f>206184+68816</f>
        <v>275000</v>
      </c>
      <c r="L53" s="46">
        <f>ROUND(J53/129.2*130.8,-2)</f>
        <v>65800</v>
      </c>
      <c r="M53" s="46">
        <f>ROUND(K53/127.1*127.2,-2)</f>
        <v>275200</v>
      </c>
      <c r="N53" s="46">
        <f t="shared" si="35"/>
        <v>341000</v>
      </c>
      <c r="O53" s="4"/>
      <c r="P53" s="43" t="s">
        <v>170</v>
      </c>
      <c r="Q53" s="8">
        <v>45450</v>
      </c>
      <c r="R53" s="44" t="s">
        <v>168</v>
      </c>
      <c r="S53" s="24"/>
    </row>
    <row r="54" spans="1:19" x14ac:dyDescent="0.25">
      <c r="A54" s="31" t="s">
        <v>149</v>
      </c>
      <c r="B54" s="31" t="s">
        <v>150</v>
      </c>
      <c r="C54" s="31" t="s">
        <v>7</v>
      </c>
      <c r="D54" s="27"/>
      <c r="E54" s="27"/>
      <c r="F54" s="27"/>
      <c r="G54" s="27"/>
      <c r="H54" s="27"/>
      <c r="I54" s="26">
        <v>2507700</v>
      </c>
      <c r="J54" s="41">
        <v>1300000</v>
      </c>
      <c r="K54" s="26">
        <f>906018+168982</f>
        <v>1075000</v>
      </c>
      <c r="L54" s="46">
        <f>ROUND(J54/129.2*130.8,-2)</f>
        <v>1316100</v>
      </c>
      <c r="M54" s="46">
        <f>ROUND(K54/127.1*127.2,-2)</f>
        <v>1075800</v>
      </c>
      <c r="N54" s="46">
        <f t="shared" si="35"/>
        <v>2391900</v>
      </c>
      <c r="O54" s="4"/>
      <c r="P54" s="43" t="s">
        <v>170</v>
      </c>
      <c r="Q54" s="8">
        <v>45443</v>
      </c>
      <c r="R54" s="44" t="s">
        <v>169</v>
      </c>
      <c r="S54" s="24"/>
    </row>
    <row r="55" spans="1:19" x14ac:dyDescent="0.25">
      <c r="A55" s="31" t="s">
        <v>151</v>
      </c>
      <c r="B55" s="31" t="s">
        <v>152</v>
      </c>
      <c r="C55" s="31" t="s">
        <v>7</v>
      </c>
      <c r="D55" s="27"/>
      <c r="E55" s="27"/>
      <c r="F55" s="27"/>
      <c r="G55" s="27"/>
      <c r="H55" s="27"/>
      <c r="I55" s="26">
        <v>4848700</v>
      </c>
      <c r="J55" s="41">
        <v>2400000</v>
      </c>
      <c r="K55" s="26">
        <f>1907202+317798</f>
        <v>2225000</v>
      </c>
      <c r="L55" s="46">
        <f t="shared" ref="L55:L56" si="36">ROUND(J55/129.2*130.8,-2)</f>
        <v>2429700</v>
      </c>
      <c r="M55" s="46">
        <f t="shared" ref="M55:M56" si="37">ROUND(K55/127.1*127.2,-2)</f>
        <v>2226800</v>
      </c>
      <c r="N55" s="46">
        <f t="shared" si="35"/>
        <v>4656500</v>
      </c>
      <c r="O55" s="4"/>
      <c r="P55" s="43" t="s">
        <v>170</v>
      </c>
      <c r="Q55" s="8">
        <v>45441</v>
      </c>
      <c r="R55" s="44" t="s">
        <v>173</v>
      </c>
      <c r="S55" s="24"/>
    </row>
    <row r="56" spans="1:19" x14ac:dyDescent="0.25">
      <c r="A56" s="31" t="s">
        <v>153</v>
      </c>
      <c r="B56" s="31" t="s">
        <v>154</v>
      </c>
      <c r="C56" s="31" t="s">
        <v>7</v>
      </c>
      <c r="D56" s="27"/>
      <c r="E56" s="27"/>
      <c r="F56" s="27"/>
      <c r="G56" s="27"/>
      <c r="H56" s="27"/>
      <c r="I56" s="26">
        <v>1178800</v>
      </c>
      <c r="J56" s="41">
        <v>685000</v>
      </c>
      <c r="K56" s="26">
        <f>378669+86331</f>
        <v>465000</v>
      </c>
      <c r="L56" s="46">
        <f t="shared" si="36"/>
        <v>693500</v>
      </c>
      <c r="M56" s="46">
        <f t="shared" si="37"/>
        <v>465400</v>
      </c>
      <c r="N56" s="46">
        <f t="shared" si="35"/>
        <v>1158900</v>
      </c>
      <c r="O56" s="4"/>
      <c r="P56" s="43" t="s">
        <v>170</v>
      </c>
      <c r="Q56" s="8">
        <v>45441</v>
      </c>
      <c r="R56" s="44" t="s">
        <v>172</v>
      </c>
      <c r="S56" s="24"/>
    </row>
    <row r="57" spans="1:19" x14ac:dyDescent="0.25">
      <c r="A57" s="31" t="s">
        <v>155</v>
      </c>
      <c r="B57" s="31" t="s">
        <v>156</v>
      </c>
      <c r="C57" s="31" t="s">
        <v>7</v>
      </c>
      <c r="D57" s="27"/>
      <c r="E57" s="27"/>
      <c r="F57" s="27"/>
      <c r="G57" s="27"/>
      <c r="H57" s="27"/>
      <c r="I57" s="26">
        <v>611600</v>
      </c>
      <c r="J57" s="41">
        <v>270000</v>
      </c>
      <c r="K57" s="26">
        <f>317625+72375</f>
        <v>390000</v>
      </c>
      <c r="L57" s="46">
        <f t="shared" ref="L57" si="38">ROUND(J57/129.2*130.8,-2)</f>
        <v>273300</v>
      </c>
      <c r="M57" s="46">
        <f t="shared" ref="M57:M58" si="39">ROUND(K57/127.1*127.2,-2)</f>
        <v>390300</v>
      </c>
      <c r="N57" s="46">
        <f t="shared" si="35"/>
        <v>663600</v>
      </c>
      <c r="O57" s="4"/>
      <c r="P57" s="43" t="s">
        <v>170</v>
      </c>
      <c r="Q57" s="8">
        <v>45443</v>
      </c>
      <c r="R57" s="44" t="s">
        <v>174</v>
      </c>
      <c r="S57" s="24"/>
    </row>
    <row r="58" spans="1:19" ht="38.25" x14ac:dyDescent="0.25">
      <c r="A58" s="30" t="s">
        <v>157</v>
      </c>
      <c r="B58" s="31" t="s">
        <v>158</v>
      </c>
      <c r="C58" s="31" t="s">
        <v>7</v>
      </c>
      <c r="D58" s="27"/>
      <c r="E58" s="27"/>
      <c r="F58" s="27"/>
      <c r="G58" s="27"/>
      <c r="H58" s="27"/>
      <c r="I58" s="26">
        <v>2700000</v>
      </c>
      <c r="J58" s="3"/>
      <c r="K58" s="26">
        <v>2365000</v>
      </c>
      <c r="L58" s="46"/>
      <c r="M58" s="46">
        <f t="shared" si="39"/>
        <v>2366900</v>
      </c>
      <c r="N58" s="46">
        <f t="shared" si="35"/>
        <v>2366900</v>
      </c>
      <c r="O58" s="4"/>
      <c r="P58" s="43"/>
      <c r="Q58" s="8">
        <v>45450</v>
      </c>
      <c r="R58" s="44" t="s">
        <v>175</v>
      </c>
      <c r="S58" s="24"/>
    </row>
    <row r="59" spans="1:19" ht="38.25" x14ac:dyDescent="0.25">
      <c r="A59" s="30" t="s">
        <v>159</v>
      </c>
      <c r="B59" s="31" t="s">
        <v>158</v>
      </c>
      <c r="C59" s="31" t="s">
        <v>7</v>
      </c>
      <c r="D59" s="27"/>
      <c r="E59" s="27"/>
      <c r="F59" s="27"/>
      <c r="G59" s="27"/>
      <c r="H59" s="27"/>
      <c r="I59" s="26">
        <v>7500000</v>
      </c>
      <c r="J59" s="41">
        <v>7500000</v>
      </c>
      <c r="K59" s="26"/>
      <c r="L59" s="46">
        <f t="shared" ref="L59" si="40">ROUND(J59/124*130.8,-2)</f>
        <v>7911300</v>
      </c>
      <c r="M59" s="46">
        <f t="shared" si="5"/>
        <v>0</v>
      </c>
      <c r="N59" s="46">
        <f t="shared" si="35"/>
        <v>7911300</v>
      </c>
      <c r="O59" s="4"/>
      <c r="P59" s="43" t="s">
        <v>170</v>
      </c>
      <c r="Q59" s="4"/>
      <c r="R59" s="4"/>
      <c r="S59" s="24"/>
    </row>
    <row r="60" spans="1:19" x14ac:dyDescent="0.25">
      <c r="A60" s="12" t="s">
        <v>160</v>
      </c>
      <c r="B60" s="7"/>
      <c r="C60" s="7"/>
      <c r="D60" s="27"/>
      <c r="E60" s="27"/>
      <c r="F60" s="27"/>
      <c r="G60" s="27"/>
      <c r="H60" s="27"/>
      <c r="I60" s="27">
        <f t="shared" ref="I60:N60" si="41">SUM(I52:I59)</f>
        <v>23033300</v>
      </c>
      <c r="J60" s="27">
        <f t="shared" si="41"/>
        <v>12220000</v>
      </c>
      <c r="K60" s="27">
        <f t="shared" si="41"/>
        <v>8060000</v>
      </c>
      <c r="L60" s="48">
        <f t="shared" si="41"/>
        <v>12689700</v>
      </c>
      <c r="M60" s="48">
        <f t="shared" si="41"/>
        <v>8066400</v>
      </c>
      <c r="N60" s="48">
        <f t="shared" si="41"/>
        <v>20756100</v>
      </c>
      <c r="O60" s="4"/>
      <c r="P60" s="4"/>
      <c r="Q60" s="4"/>
      <c r="R60" s="4"/>
      <c r="S60" s="24"/>
    </row>
    <row r="61" spans="1:19" x14ac:dyDescent="0.25">
      <c r="A61" s="12"/>
      <c r="B61" s="7"/>
      <c r="C61" s="7"/>
      <c r="D61" s="27"/>
      <c r="E61" s="27"/>
      <c r="F61" s="27"/>
      <c r="G61" s="27"/>
      <c r="H61" s="27"/>
      <c r="I61" s="27"/>
      <c r="J61" s="27"/>
      <c r="K61" s="27"/>
      <c r="L61" s="48"/>
      <c r="M61" s="48"/>
      <c r="N61" s="48"/>
      <c r="O61" s="4"/>
      <c r="P61" s="4"/>
      <c r="Q61" s="4"/>
      <c r="R61" s="4"/>
      <c r="S61" s="24"/>
    </row>
    <row r="62" spans="1:19" x14ac:dyDescent="0.25">
      <c r="A62" s="12"/>
      <c r="B62" s="7"/>
      <c r="C62" s="23" t="s">
        <v>79</v>
      </c>
      <c r="D62" s="27">
        <f>D44+D50</f>
        <v>317081851</v>
      </c>
      <c r="E62" s="27">
        <f>E44+E50</f>
        <v>116730807</v>
      </c>
      <c r="F62" s="27">
        <f>F44+F50</f>
        <v>333189685</v>
      </c>
      <c r="G62" s="27">
        <f>G44+G50</f>
        <v>118911805</v>
      </c>
      <c r="H62" s="27">
        <f>H44+H50</f>
        <v>358243404</v>
      </c>
      <c r="I62" s="27">
        <f t="shared" ref="I62:N62" si="42">I44+I50+I60</f>
        <v>153580200</v>
      </c>
      <c r="J62" s="27">
        <f t="shared" si="42"/>
        <v>368059682</v>
      </c>
      <c r="K62" s="27">
        <f t="shared" si="42"/>
        <v>129531900</v>
      </c>
      <c r="L62" s="48">
        <f t="shared" si="42"/>
        <v>388046000</v>
      </c>
      <c r="M62" s="48">
        <f t="shared" si="42"/>
        <v>135948400</v>
      </c>
      <c r="N62" s="48">
        <f t="shared" si="42"/>
        <v>523994400</v>
      </c>
      <c r="O62" s="4"/>
      <c r="P62" s="4"/>
      <c r="Q62" s="4"/>
      <c r="R62" s="4"/>
      <c r="S62" s="25"/>
    </row>
    <row r="63" spans="1:19" x14ac:dyDescent="0.25">
      <c r="A63" s="7"/>
      <c r="B63" s="7"/>
      <c r="C63" s="7"/>
      <c r="D63" s="13"/>
      <c r="E63" s="14"/>
      <c r="F63" s="14"/>
      <c r="G63" s="14"/>
      <c r="H63" s="14"/>
      <c r="I63" s="14"/>
      <c r="J63" s="14"/>
      <c r="K63" s="14"/>
      <c r="L63" s="48"/>
      <c r="M63" s="48"/>
      <c r="N63" s="48"/>
      <c r="O63" s="4"/>
      <c r="P63" s="4"/>
      <c r="Q63" s="4"/>
      <c r="R63" s="4"/>
    </row>
    <row r="64" spans="1:19" ht="30" x14ac:dyDescent="0.25">
      <c r="A64" s="12" t="s">
        <v>80</v>
      </c>
      <c r="B64" s="7"/>
      <c r="C64" s="7"/>
      <c r="D64" s="10"/>
      <c r="E64" s="11"/>
      <c r="F64" s="11"/>
      <c r="G64" s="11"/>
      <c r="H64" s="11"/>
      <c r="I64" s="11"/>
      <c r="J64" s="11"/>
      <c r="K64" s="11"/>
      <c r="L64" s="46"/>
      <c r="M64" s="46"/>
      <c r="N64" s="46"/>
      <c r="O64" s="4"/>
      <c r="P64" s="4"/>
      <c r="Q64" s="4"/>
      <c r="R64" s="4"/>
    </row>
    <row r="65" spans="1:18" x14ac:dyDescent="0.25">
      <c r="A65" s="7" t="s">
        <v>42</v>
      </c>
      <c r="B65" s="7" t="s">
        <v>43</v>
      </c>
      <c r="C65" s="7" t="s">
        <v>7</v>
      </c>
      <c r="D65" s="10"/>
      <c r="E65" s="11"/>
      <c r="F65" s="11"/>
      <c r="G65" s="11"/>
      <c r="H65" s="11"/>
      <c r="I65" s="11"/>
      <c r="J65" s="11"/>
      <c r="K65" s="11"/>
      <c r="L65" s="46"/>
      <c r="M65" s="46"/>
      <c r="N65" s="46"/>
      <c r="O65" s="4"/>
      <c r="P65" s="4"/>
      <c r="Q65" s="4"/>
      <c r="R65" s="4"/>
    </row>
    <row r="66" spans="1:18" x14ac:dyDescent="0.25">
      <c r="A66" s="7" t="s">
        <v>46</v>
      </c>
      <c r="B66" s="7" t="s">
        <v>41</v>
      </c>
      <c r="C66" s="7" t="s">
        <v>7</v>
      </c>
      <c r="D66" s="10"/>
      <c r="E66" s="11"/>
      <c r="F66" s="11"/>
      <c r="G66" s="11"/>
      <c r="H66" s="11"/>
      <c r="I66" s="11"/>
      <c r="J66" s="11"/>
      <c r="K66" s="11"/>
      <c r="L66" s="46"/>
      <c r="M66" s="46"/>
      <c r="N66" s="46"/>
      <c r="O66" s="4"/>
      <c r="P66" s="4"/>
      <c r="Q66" s="4"/>
      <c r="R66" s="4"/>
    </row>
    <row r="67" spans="1:18" x14ac:dyDescent="0.25">
      <c r="A67" s="7" t="s">
        <v>47</v>
      </c>
      <c r="B67" s="7" t="s">
        <v>48</v>
      </c>
      <c r="C67" s="7" t="s">
        <v>7</v>
      </c>
      <c r="D67" s="10"/>
      <c r="E67" s="11"/>
      <c r="F67" s="11"/>
      <c r="G67" s="11"/>
      <c r="H67" s="11"/>
      <c r="I67" s="11"/>
      <c r="J67" s="11"/>
      <c r="K67" s="11"/>
      <c r="L67" s="46"/>
      <c r="M67" s="46"/>
      <c r="N67" s="46"/>
      <c r="O67" s="4"/>
      <c r="P67" s="4"/>
      <c r="Q67" s="4"/>
      <c r="R67" s="4"/>
    </row>
    <row r="68" spans="1:18" x14ac:dyDescent="0.25">
      <c r="A68" s="7" t="s">
        <v>49</v>
      </c>
      <c r="B68" s="7" t="s">
        <v>50</v>
      </c>
      <c r="C68" s="7" t="s">
        <v>7</v>
      </c>
      <c r="D68" s="10"/>
      <c r="E68" s="11"/>
      <c r="F68" s="11"/>
      <c r="G68" s="11"/>
      <c r="H68" s="11"/>
      <c r="I68" s="11"/>
      <c r="J68" s="11"/>
      <c r="K68" s="11"/>
      <c r="L68" s="46"/>
      <c r="M68" s="46"/>
      <c r="N68" s="46"/>
      <c r="O68" s="4"/>
      <c r="P68" s="4"/>
      <c r="Q68" s="4"/>
      <c r="R68" s="4"/>
    </row>
    <row r="69" spans="1:18" x14ac:dyDescent="0.25">
      <c r="A69" s="7" t="s">
        <v>81</v>
      </c>
      <c r="B69" s="7" t="s">
        <v>84</v>
      </c>
      <c r="C69" s="7" t="s">
        <v>37</v>
      </c>
      <c r="D69" s="17"/>
      <c r="E69" s="16"/>
      <c r="F69" s="16"/>
      <c r="G69" s="16"/>
      <c r="H69" s="16"/>
      <c r="I69" s="16"/>
      <c r="J69" s="16"/>
      <c r="K69" s="16"/>
      <c r="L69" s="46"/>
      <c r="M69" s="46"/>
      <c r="N69" s="46"/>
      <c r="O69" s="4"/>
      <c r="P69" s="4"/>
      <c r="Q69" s="4"/>
      <c r="R69" s="4"/>
    </row>
    <row r="70" spans="1:18" x14ac:dyDescent="0.25">
      <c r="A70" s="7" t="s">
        <v>82</v>
      </c>
      <c r="B70" s="7" t="s">
        <v>83</v>
      </c>
      <c r="C70" s="7" t="s">
        <v>7</v>
      </c>
      <c r="D70" s="10"/>
      <c r="E70" s="11"/>
      <c r="F70" s="11"/>
      <c r="G70" s="11"/>
      <c r="H70" s="11"/>
      <c r="I70" s="11"/>
      <c r="J70" s="11"/>
      <c r="K70" s="11"/>
      <c r="L70" s="46"/>
      <c r="M70" s="46"/>
      <c r="N70" s="46"/>
      <c r="O70" s="4"/>
      <c r="P70" s="4"/>
      <c r="Q70" s="4"/>
      <c r="R70" s="4"/>
    </row>
    <row r="71" spans="1:18" x14ac:dyDescent="0.25">
      <c r="A71" s="7" t="s">
        <v>76</v>
      </c>
      <c r="B71" s="7" t="s">
        <v>77</v>
      </c>
      <c r="C71" s="7" t="s">
        <v>7</v>
      </c>
      <c r="D71" s="10"/>
      <c r="E71" s="11"/>
      <c r="F71" s="11"/>
      <c r="G71" s="11"/>
      <c r="H71" s="11"/>
      <c r="I71" s="11"/>
      <c r="J71" s="11"/>
      <c r="K71" s="11"/>
      <c r="L71" s="46"/>
      <c r="M71" s="46"/>
      <c r="N71" s="46"/>
      <c r="O71" s="4"/>
      <c r="P71" s="4"/>
      <c r="Q71" s="4"/>
      <c r="R71" s="4"/>
    </row>
    <row r="72" spans="1:18" x14ac:dyDescent="0.25">
      <c r="A72" s="7"/>
      <c r="B72" s="7"/>
      <c r="C72" s="7"/>
      <c r="D72" s="17"/>
      <c r="E72" s="16"/>
      <c r="F72" s="16"/>
      <c r="G72" s="16"/>
      <c r="H72" s="16"/>
      <c r="I72" s="16"/>
      <c r="J72" s="16"/>
      <c r="K72" s="16"/>
      <c r="L72" s="46"/>
      <c r="M72" s="46"/>
      <c r="N72" s="46"/>
      <c r="O72" s="4"/>
      <c r="P72" s="4"/>
      <c r="Q72" s="4"/>
      <c r="R72" s="4"/>
    </row>
    <row r="73" spans="1:18" x14ac:dyDescent="0.25">
      <c r="A73" s="7"/>
      <c r="B73" s="7"/>
      <c r="C73" s="7"/>
      <c r="D73" s="17"/>
      <c r="E73" s="16"/>
      <c r="F73" s="16"/>
      <c r="G73" s="16"/>
      <c r="H73" s="16"/>
      <c r="I73" s="16"/>
      <c r="J73" s="16"/>
      <c r="K73" s="16"/>
      <c r="L73" s="46"/>
      <c r="M73" s="46"/>
      <c r="N73" s="46"/>
      <c r="O73" s="4"/>
      <c r="P73" s="4"/>
      <c r="Q73" s="4"/>
      <c r="R73" s="4"/>
    </row>
    <row r="74" spans="1:18" x14ac:dyDescent="0.25">
      <c r="A74" s="12" t="s">
        <v>51</v>
      </c>
      <c r="B74" s="7"/>
      <c r="C74" s="7"/>
      <c r="D74" s="13"/>
      <c r="E74" s="14"/>
      <c r="F74" s="14"/>
      <c r="G74" s="14"/>
      <c r="H74" s="14"/>
      <c r="I74" s="14"/>
      <c r="J74" s="48"/>
      <c r="K74" s="48"/>
      <c r="L74" s="48"/>
      <c r="M74" s="48"/>
      <c r="N74" s="48">
        <f>N44</f>
        <v>371199200</v>
      </c>
      <c r="O74" s="4"/>
      <c r="P74" s="4"/>
      <c r="Q74" s="4"/>
      <c r="R74" s="4"/>
    </row>
    <row r="75" spans="1:18" x14ac:dyDescent="0.25">
      <c r="A75" s="12" t="s">
        <v>52</v>
      </c>
      <c r="B75" s="7"/>
      <c r="C75" s="7"/>
      <c r="D75" s="13"/>
      <c r="E75" s="14"/>
      <c r="F75" s="14"/>
      <c r="G75" s="14"/>
      <c r="H75" s="14"/>
      <c r="I75" s="14"/>
      <c r="J75" s="48"/>
      <c r="K75" s="48"/>
      <c r="L75" s="48"/>
      <c r="M75" s="48"/>
      <c r="N75" s="48">
        <f>N50</f>
        <v>132039100</v>
      </c>
      <c r="O75" s="4"/>
      <c r="P75" s="4"/>
      <c r="Q75" s="4"/>
      <c r="R75" s="4"/>
    </row>
    <row r="76" spans="1:18" x14ac:dyDescent="0.25">
      <c r="A76" s="12" t="s">
        <v>160</v>
      </c>
      <c r="B76" s="7"/>
      <c r="C76" s="7"/>
      <c r="D76" s="13"/>
      <c r="E76" s="14"/>
      <c r="F76" s="14"/>
      <c r="G76" s="14"/>
      <c r="H76" s="14"/>
      <c r="I76" s="14"/>
      <c r="J76" s="48"/>
      <c r="K76" s="48"/>
      <c r="L76" s="48"/>
      <c r="M76" s="48"/>
      <c r="N76" s="48">
        <f>N60</f>
        <v>20756100</v>
      </c>
      <c r="O76" s="4"/>
      <c r="P76" s="4"/>
      <c r="Q76" s="4"/>
      <c r="R76" s="4"/>
    </row>
    <row r="77" spans="1:18" x14ac:dyDescent="0.25">
      <c r="A77" s="12"/>
      <c r="B77" s="7"/>
      <c r="C77" s="7"/>
      <c r="D77" s="17"/>
      <c r="E77" s="16"/>
      <c r="F77" s="16"/>
      <c r="G77" s="16"/>
      <c r="H77" s="16"/>
      <c r="I77" s="16"/>
      <c r="J77" s="46"/>
      <c r="K77" s="46"/>
      <c r="L77" s="46"/>
      <c r="M77" s="46"/>
      <c r="N77" s="46"/>
      <c r="O77" s="4"/>
      <c r="P77" s="4"/>
      <c r="Q77" s="4"/>
      <c r="R77" s="4"/>
    </row>
    <row r="78" spans="1:18" x14ac:dyDescent="0.25">
      <c r="A78" s="12" t="s">
        <v>53</v>
      </c>
      <c r="B78" s="7"/>
      <c r="C78" s="18"/>
      <c r="D78" s="19"/>
      <c r="E78" s="20"/>
      <c r="F78" s="20"/>
      <c r="G78" s="20"/>
      <c r="H78" s="20"/>
      <c r="I78" s="20"/>
      <c r="J78" s="48"/>
      <c r="K78" s="48"/>
      <c r="L78" s="48"/>
      <c r="M78" s="48"/>
      <c r="N78" s="48">
        <f>SUM(N74:N77)</f>
        <v>523994400</v>
      </c>
      <c r="O78" s="4"/>
      <c r="P78" s="4"/>
      <c r="Q78" s="4"/>
      <c r="R78" s="4"/>
    </row>
    <row r="79" spans="1:18" x14ac:dyDescent="0.25">
      <c r="A79" s="22" t="s">
        <v>65</v>
      </c>
      <c r="B79" s="2" t="s">
        <v>66</v>
      </c>
      <c r="C79" s="2" t="s">
        <v>67</v>
      </c>
      <c r="E79" s="21"/>
      <c r="F79" s="21"/>
      <c r="G79" s="21"/>
      <c r="H79" s="21"/>
      <c r="I79" s="21"/>
      <c r="J79" s="21"/>
      <c r="K79" s="49"/>
      <c r="M79" s="21"/>
    </row>
    <row r="80" spans="1:18" x14ac:dyDescent="0.25">
      <c r="A80" s="22" t="s">
        <v>69</v>
      </c>
      <c r="B80" s="2" t="s">
        <v>60</v>
      </c>
      <c r="C80" s="2" t="s">
        <v>68</v>
      </c>
      <c r="E80" s="21"/>
      <c r="F80" s="21"/>
      <c r="G80" s="21"/>
      <c r="H80" s="21"/>
      <c r="I80" s="21"/>
      <c r="J80" s="21"/>
      <c r="K80" s="49"/>
      <c r="M80" s="21"/>
    </row>
    <row r="81" spans="5:14" x14ac:dyDescent="0.25">
      <c r="E81" s="21"/>
      <c r="F81" s="21"/>
      <c r="G81" s="21"/>
      <c r="H81" s="21"/>
      <c r="I81" s="21"/>
      <c r="J81" s="21"/>
      <c r="K81" s="49"/>
      <c r="M81" s="21"/>
      <c r="N81" s="21"/>
    </row>
    <row r="82" spans="5:14" x14ac:dyDescent="0.25">
      <c r="E82" s="21"/>
      <c r="F82" s="21"/>
      <c r="G82" s="21"/>
      <c r="H82" s="21"/>
      <c r="I82" s="21"/>
      <c r="J82" s="21"/>
      <c r="K82" s="49"/>
      <c r="M82" s="21"/>
      <c r="N82" s="21"/>
    </row>
    <row r="83" spans="5:14" x14ac:dyDescent="0.25">
      <c r="E83" s="21"/>
      <c r="F83" s="21"/>
      <c r="G83" s="21"/>
      <c r="H83" s="21"/>
      <c r="I83" s="21"/>
      <c r="J83" s="21"/>
      <c r="K83" s="49"/>
      <c r="M83" s="21"/>
      <c r="N83" s="21"/>
    </row>
    <row r="84" spans="5:14" x14ac:dyDescent="0.25"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5:14" x14ac:dyDescent="0.25">
      <c r="K85" s="50"/>
    </row>
    <row r="86" spans="5:14" x14ac:dyDescent="0.25">
      <c r="K86" s="49"/>
    </row>
    <row r="87" spans="5:14" x14ac:dyDescent="0.25">
      <c r="K87" s="50"/>
    </row>
  </sheetData>
  <mergeCells count="21">
    <mergeCell ref="Q3:R3"/>
    <mergeCell ref="D3:D4"/>
    <mergeCell ref="S1:S4"/>
    <mergeCell ref="F3:F4"/>
    <mergeCell ref="G3:G4"/>
    <mergeCell ref="O1:R1"/>
    <mergeCell ref="O2:R2"/>
    <mergeCell ref="A2:N2"/>
    <mergeCell ref="A1:N1"/>
    <mergeCell ref="O3:P3"/>
    <mergeCell ref="A3:A4"/>
    <mergeCell ref="B3:B4"/>
    <mergeCell ref="C3:C4"/>
    <mergeCell ref="N3:N4"/>
    <mergeCell ref="L3:L4"/>
    <mergeCell ref="M3:M4"/>
    <mergeCell ref="E3:E4"/>
    <mergeCell ref="H3:H4"/>
    <mergeCell ref="I3:I4"/>
    <mergeCell ref="J3:J4"/>
    <mergeCell ref="K3:K4"/>
  </mergeCells>
  <phoneticPr fontId="26" type="noConversion"/>
  <pageMargins left="0.35433070866141736" right="0.15748031496062992" top="1.6929133858267718" bottom="0.98425196850393704" header="0.31496062992125984" footer="0.74803149606299213"/>
  <pageSetup paperSize="9" scale="76" fitToHeight="0" orientation="landscape" r:id="rId1"/>
  <headerFooter>
    <oddFooter>&amp;L&amp;F&amp;C&amp;P</oddFooter>
  </headerFooter>
  <rowBreaks count="1" manualBreakCount="1">
    <brk id="63" max="17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2" ma:contentTypeDescription="Een nieuw document maken." ma:contentTypeScope="" ma:versionID="992934569e64617ac8a8b656f1cd4e5c">
  <xsd:schema xmlns:xsd="http://www.w3.org/2001/XMLSchema" xmlns:xs="http://www.w3.org/2001/XMLSchema" xmlns:p="http://schemas.microsoft.com/office/2006/metadata/properties" xmlns:ns2="465bf32d-9607-49b5-bdb1-e958329eac07" xmlns:ns3="5477fefb-11d8-4cc7-b032-838d69589309" xmlns:ns4="e7dddfe1-dc19-40a6-ad0e-4c324df3767a" targetNamespace="http://schemas.microsoft.com/office/2006/metadata/properties" ma:root="true" ma:fieldsID="75458e4ddd725226b6f2e306e57bc7f9" ns2:_="" ns3:_="" ns4:_=""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CF51D-1405-4C5D-9C38-E4BBE5FE38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D6EB15-6DA8-4E8E-B4F2-D446FF945FFB}">
  <ds:schemaRefs>
    <ds:schemaRef ds:uri="5477fefb-11d8-4cc7-b032-838d6958930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465bf32d-9607-49b5-bdb1-e958329eac07"/>
    <ds:schemaRef ds:uri="http://purl.org/dc/elements/1.1/"/>
    <ds:schemaRef ds:uri="http://schemas.microsoft.com/office/2006/metadata/properties"/>
    <ds:schemaRef ds:uri="e7dddfe1-dc19-40a6-ad0e-4c324df3767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894934-F653-43AE-BB54-0DDB5095C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Overzicht belangen</vt:lpstr>
      <vt:lpstr>'Overzicht belangen'!Afdrukbereik</vt:lpstr>
      <vt:lpstr>'Overzicht belangen'!Afdruktitels</vt:lpstr>
    </vt:vector>
  </TitlesOfParts>
  <Company>Meijers Assurantiën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Lennard Haasnoot</dc:creator>
  <cp:lastModifiedBy>Petra Cornelisse</cp:lastModifiedBy>
  <cp:lastPrinted>2025-03-24T11:59:45Z</cp:lastPrinted>
  <dcterms:created xsi:type="dcterms:W3CDTF">2016-06-30T07:55:24Z</dcterms:created>
  <dcterms:modified xsi:type="dcterms:W3CDTF">2025-03-27T09:08:19Z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