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Q:\SSO-CFD\UG_HKT_Inkoop-UNIT\80-INKOOPDOSSIERS-ICT\IUC23-047 Data Storage Platform (DSP)\07 - COMMUNICATIE LEVERANCIERS\"/>
    </mc:Choice>
  </mc:AlternateContent>
  <xr:revisionPtr revIDLastSave="0" documentId="13_ncr:1_{5CB293DC-ACFB-4008-BCED-43E185260E7D}" xr6:coauthVersionLast="47" xr6:coauthVersionMax="47" xr10:uidLastSave="{00000000-0000-0000-0000-000000000000}"/>
  <workbookProtection workbookAlgorithmName="SHA-512" workbookHashValue="Zp+cEz/V941GnGyOuOfFiHNmG2zWo9H38KXc/A8iSeuTh731GOdEwGwUIpFhYfFLiALcZd/jtBUJxc2TqNzq+A==" workbookSaltValue="VMTy4tIwDWM0xJcWJlnNHA==" workbookSpinCount="100000" lockStructure="1"/>
  <bookViews>
    <workbookView xWindow="-108" yWindow="-108" windowWidth="23256" windowHeight="12576" xr2:uid="{00000000-000D-0000-FFFF-FFFF00000000}"/>
  </bookViews>
  <sheets>
    <sheet name="Samenvatting" sheetId="4" r:id="rId1"/>
    <sheet name="1. Implementatie" sheetId="26" r:id="rId2"/>
    <sheet name="2. Apparatuur" sheetId="6" r:id="rId3"/>
    <sheet name="3a Gebruiksrecht - Aanschaf" sheetId="12" r:id="rId4"/>
    <sheet name="3b Gebruiksrecht - Subscription" sheetId="13" r:id="rId5"/>
    <sheet name="3c Gebruiksrecht - Enterprise" sheetId="14" r:id="rId6"/>
    <sheet name="4. Diensten " sheetId="23" r:id="rId7"/>
    <sheet name="5. Additionele diensten" sheetId="2" r:id="rId8"/>
    <sheet name="BPK-Grafiek" sheetId="28" r:id="rId9"/>
    <sheet name="DATA" sheetId="29" state="hidden" r:id="rId10"/>
  </sheets>
  <externalReferences>
    <externalReference r:id="rId11"/>
  </externalReferences>
  <definedNames>
    <definedName name="LAQ">[1]Superformule!$K$22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4" l="1"/>
  <c r="G23" i="23"/>
  <c r="G26" i="23" l="1"/>
  <c r="D66" i="4"/>
  <c r="D67" i="4" s="1"/>
  <c r="C66" i="4"/>
  <c r="G17" i="2"/>
  <c r="M79" i="6"/>
  <c r="M80" i="6"/>
  <c r="M81" i="6"/>
  <c r="M82" i="6"/>
  <c r="M83" i="6"/>
  <c r="M84" i="6"/>
  <c r="M85" i="6"/>
  <c r="M86" i="6"/>
  <c r="D39" i="6"/>
  <c r="B84" i="12"/>
  <c r="B83" i="12"/>
  <c r="C65" i="4"/>
  <c r="C12" i="23"/>
  <c r="G24" i="2"/>
  <c r="M72" i="4" s="1"/>
  <c r="C72" i="4"/>
  <c r="M78" i="6"/>
  <c r="K78" i="6"/>
  <c r="K79" i="6"/>
  <c r="I40" i="6"/>
  <c r="J40" i="6"/>
  <c r="K40" i="6"/>
  <c r="L40" i="6"/>
  <c r="M40" i="6"/>
  <c r="N40" i="6"/>
  <c r="I37" i="6"/>
  <c r="J37" i="6"/>
  <c r="K37" i="6"/>
  <c r="L37" i="6"/>
  <c r="M37" i="6"/>
  <c r="N37" i="6"/>
  <c r="F72" i="4" l="1"/>
  <c r="G72" i="4"/>
  <c r="H72" i="4"/>
  <c r="I72" i="4"/>
  <c r="J72" i="4"/>
  <c r="K72" i="4"/>
  <c r="D72" i="4"/>
  <c r="D73" i="4" s="1"/>
  <c r="L72" i="4"/>
  <c r="E72" i="4"/>
  <c r="G19" i="2"/>
  <c r="G18" i="2" l="1"/>
  <c r="G19" i="23"/>
  <c r="G18" i="23"/>
  <c r="F83" i="28"/>
  <c r="F21" i="28"/>
  <c r="G21" i="28" s="1"/>
  <c r="G20" i="28"/>
  <c r="F20" i="28"/>
  <c r="F19" i="28"/>
  <c r="G19" i="28" s="1"/>
  <c r="E16" i="28"/>
  <c r="G14" i="28"/>
  <c r="F14" i="28"/>
  <c r="D7" i="29" s="1"/>
  <c r="F7" i="29" s="1"/>
  <c r="G13" i="28"/>
  <c r="G12" i="28"/>
  <c r="F12" i="28"/>
  <c r="M71" i="4" l="1"/>
  <c r="E71" i="4"/>
  <c r="E73" i="4" s="1"/>
  <c r="L71" i="4"/>
  <c r="I71" i="4"/>
  <c r="H71" i="4"/>
  <c r="F71" i="4"/>
  <c r="K71" i="4"/>
  <c r="J71" i="4"/>
  <c r="G71" i="4"/>
  <c r="D65" i="4"/>
  <c r="H44" i="6"/>
  <c r="B74" i="13"/>
  <c r="B85" i="12"/>
  <c r="B76" i="12"/>
  <c r="B72" i="12"/>
  <c r="C23" i="4" a="1"/>
  <c r="C23" i="4" s="1"/>
  <c r="C18" i="4" a="1"/>
  <c r="C18" i="4" s="1"/>
  <c r="L75" i="13"/>
  <c r="K75" i="13"/>
  <c r="J75" i="13"/>
  <c r="I75" i="13"/>
  <c r="H75" i="13"/>
  <c r="G75" i="13"/>
  <c r="E75" i="13"/>
  <c r="D75" i="13"/>
  <c r="C75" i="13"/>
  <c r="B75" i="13"/>
  <c r="F61" i="13"/>
  <c r="C69" i="13"/>
  <c r="O69" i="13" s="1"/>
  <c r="H69" i="13" s="1"/>
  <c r="C68" i="13"/>
  <c r="O68" i="13" s="1"/>
  <c r="E68" i="13" s="1"/>
  <c r="T68" i="13" s="1"/>
  <c r="C67" i="13"/>
  <c r="O67" i="13" s="1"/>
  <c r="H67" i="13" s="1"/>
  <c r="C66" i="13"/>
  <c r="O66" i="13" s="1"/>
  <c r="F66" i="13" s="1"/>
  <c r="C65" i="13"/>
  <c r="O65" i="13" s="1"/>
  <c r="H65" i="13" s="1"/>
  <c r="C64" i="13"/>
  <c r="O64" i="13" s="1"/>
  <c r="C63" i="13"/>
  <c r="O63" i="13" s="1"/>
  <c r="H63" i="13" s="1"/>
  <c r="C62" i="13"/>
  <c r="O62" i="13" s="1"/>
  <c r="H62" i="13" s="1"/>
  <c r="O61" i="13"/>
  <c r="H61" i="13" s="1"/>
  <c r="E61" i="13"/>
  <c r="T61" i="13" s="1"/>
  <c r="F60" i="13"/>
  <c r="C59" i="13"/>
  <c r="E58" i="13"/>
  <c r="B86" i="12"/>
  <c r="G73" i="12"/>
  <c r="G84" i="12" s="1"/>
  <c r="H73" i="12"/>
  <c r="H84" i="12" s="1"/>
  <c r="I73" i="12"/>
  <c r="I75" i="12" s="1"/>
  <c r="J73" i="12"/>
  <c r="J84" i="12" s="1"/>
  <c r="K73" i="12"/>
  <c r="K84" i="12" s="1"/>
  <c r="L73" i="12"/>
  <c r="L84" i="12" s="1"/>
  <c r="C73" i="12"/>
  <c r="C84" i="12" s="1"/>
  <c r="R58" i="12"/>
  <c r="F58" i="12"/>
  <c r="C66" i="12"/>
  <c r="N66" i="12" s="1"/>
  <c r="C65" i="12"/>
  <c r="R65" i="12" s="1"/>
  <c r="C64" i="12"/>
  <c r="N64" i="12" s="1"/>
  <c r="C63" i="12"/>
  <c r="R63" i="12" s="1"/>
  <c r="C62" i="12"/>
  <c r="N62" i="12" s="1"/>
  <c r="C61" i="12"/>
  <c r="R61" i="12" s="1"/>
  <c r="C60" i="12"/>
  <c r="N60" i="12" s="1"/>
  <c r="C59" i="12"/>
  <c r="R59" i="12" s="1"/>
  <c r="N58" i="12"/>
  <c r="E58" i="12"/>
  <c r="T58" i="12" s="1"/>
  <c r="F57" i="12"/>
  <c r="C56" i="12"/>
  <c r="E55" i="12"/>
  <c r="J53" i="12"/>
  <c r="C52" i="12"/>
  <c r="B77" i="12"/>
  <c r="B73" i="12"/>
  <c r="V78" i="6"/>
  <c r="K80" i="6"/>
  <c r="K81" i="6"/>
  <c r="K82" i="6"/>
  <c r="K83" i="6"/>
  <c r="K84" i="6"/>
  <c r="K85" i="6"/>
  <c r="K86" i="6"/>
  <c r="G79" i="6"/>
  <c r="G80" i="6"/>
  <c r="G81" i="6"/>
  <c r="G82" i="6"/>
  <c r="G83" i="6"/>
  <c r="G84" i="6"/>
  <c r="G85" i="6"/>
  <c r="G86" i="6"/>
  <c r="G78" i="6"/>
  <c r="F86" i="6"/>
  <c r="X86" i="6" s="1"/>
  <c r="D86" i="6"/>
  <c r="R86" i="6" s="1"/>
  <c r="I86" i="6" s="1"/>
  <c r="F85" i="6"/>
  <c r="X85" i="6" s="1"/>
  <c r="D85" i="6"/>
  <c r="V85" i="6" s="1"/>
  <c r="F84" i="6"/>
  <c r="X84" i="6" s="1"/>
  <c r="D84" i="6"/>
  <c r="R84" i="6" s="1"/>
  <c r="I84" i="6" s="1"/>
  <c r="F83" i="6"/>
  <c r="X83" i="6" s="1"/>
  <c r="D83" i="6"/>
  <c r="V83" i="6" s="1"/>
  <c r="F82" i="6"/>
  <c r="X82" i="6" s="1"/>
  <c r="D82" i="6"/>
  <c r="F81" i="6"/>
  <c r="X81" i="6" s="1"/>
  <c r="D81" i="6"/>
  <c r="R81" i="6" s="1"/>
  <c r="I81" i="6" s="1"/>
  <c r="F80" i="6"/>
  <c r="X80" i="6" s="1"/>
  <c r="D80" i="6"/>
  <c r="R80" i="6" s="1"/>
  <c r="I80" i="6" s="1"/>
  <c r="F79" i="6"/>
  <c r="W79" i="6" s="1"/>
  <c r="D79" i="6"/>
  <c r="R78" i="6"/>
  <c r="I78" i="6" s="1"/>
  <c r="F78" i="6"/>
  <c r="X78" i="6" s="1"/>
  <c r="G77" i="6"/>
  <c r="D76" i="6"/>
  <c r="F75" i="6"/>
  <c r="K73" i="6"/>
  <c r="D72" i="6"/>
  <c r="N29" i="6"/>
  <c r="M29" i="6"/>
  <c r="L29" i="6"/>
  <c r="K29" i="6"/>
  <c r="J29" i="6"/>
  <c r="E15" i="14"/>
  <c r="L14" i="14"/>
  <c r="L15" i="14" s="1"/>
  <c r="K14" i="14"/>
  <c r="K15" i="14" s="1"/>
  <c r="J14" i="14"/>
  <c r="J15" i="14" s="1"/>
  <c r="I14" i="14"/>
  <c r="I15" i="14" s="1"/>
  <c r="H14" i="14"/>
  <c r="H15" i="14" s="1"/>
  <c r="G14" i="14"/>
  <c r="G15" i="14" s="1"/>
  <c r="F13" i="14"/>
  <c r="L12" i="14"/>
  <c r="K12" i="14"/>
  <c r="J12" i="14"/>
  <c r="I12" i="14"/>
  <c r="H12" i="14"/>
  <c r="G12" i="14"/>
  <c r="E12" i="14"/>
  <c r="F11" i="14"/>
  <c r="F10" i="14"/>
  <c r="E15" i="13"/>
  <c r="L14" i="13"/>
  <c r="L15" i="13" s="1"/>
  <c r="K14" i="13"/>
  <c r="K15" i="13" s="1"/>
  <c r="J14" i="13"/>
  <c r="J15" i="13" s="1"/>
  <c r="I14" i="13"/>
  <c r="I15" i="13" s="1"/>
  <c r="H14" i="13"/>
  <c r="H15" i="13" s="1"/>
  <c r="G14" i="13"/>
  <c r="G15" i="13" s="1"/>
  <c r="F13" i="13"/>
  <c r="F14" i="13" s="1"/>
  <c r="L12" i="13"/>
  <c r="K12" i="13"/>
  <c r="J12" i="13"/>
  <c r="I12" i="13"/>
  <c r="H12" i="13"/>
  <c r="G12" i="13"/>
  <c r="E12" i="13"/>
  <c r="F11" i="13"/>
  <c r="F10" i="13"/>
  <c r="E15" i="12"/>
  <c r="L14" i="12"/>
  <c r="L15" i="12" s="1"/>
  <c r="K14" i="12"/>
  <c r="K15" i="12" s="1"/>
  <c r="J14" i="12"/>
  <c r="J15" i="12" s="1"/>
  <c r="I14" i="12"/>
  <c r="I15" i="12" s="1"/>
  <c r="H14" i="12"/>
  <c r="H15" i="12" s="1"/>
  <c r="G14" i="12"/>
  <c r="G15" i="12" s="1"/>
  <c r="F13" i="12"/>
  <c r="F73" i="12" s="1"/>
  <c r="F84" i="12" s="1"/>
  <c r="L12" i="12"/>
  <c r="K12" i="12"/>
  <c r="J12" i="12"/>
  <c r="I12" i="12"/>
  <c r="H12" i="12"/>
  <c r="G12" i="12"/>
  <c r="E12" i="12"/>
  <c r="F11" i="12"/>
  <c r="F10" i="12"/>
  <c r="M14" i="6"/>
  <c r="M15" i="6" s="1"/>
  <c r="L14" i="6"/>
  <c r="L15" i="6" s="1"/>
  <c r="K14" i="6"/>
  <c r="K15" i="6" s="1"/>
  <c r="J14" i="6"/>
  <c r="J15" i="6" s="1"/>
  <c r="I14" i="6"/>
  <c r="I15" i="6" s="1"/>
  <c r="F15" i="6"/>
  <c r="H14" i="6"/>
  <c r="H15" i="6" s="1"/>
  <c r="G13" i="6"/>
  <c r="B69" i="4"/>
  <c r="C32" i="4"/>
  <c r="B12" i="4"/>
  <c r="C5" i="26"/>
  <c r="D14" i="26"/>
  <c r="D13" i="4" s="1"/>
  <c r="C4" i="26"/>
  <c r="C2" i="26"/>
  <c r="D14" i="4" l="1"/>
  <c r="O14" i="4" s="1"/>
  <c r="V79" i="6"/>
  <c r="R79" i="6"/>
  <c r="I79" i="6" s="1"/>
  <c r="F12" i="14"/>
  <c r="L58" i="12"/>
  <c r="H58" i="12"/>
  <c r="F62" i="12"/>
  <c r="L62" i="12"/>
  <c r="H62" i="12"/>
  <c r="F66" i="12"/>
  <c r="L66" i="12"/>
  <c r="H86" i="12" s="1"/>
  <c r="H88" i="12" s="1"/>
  <c r="H66" i="12"/>
  <c r="G77" i="12" s="1"/>
  <c r="G79" i="12" s="1"/>
  <c r="F60" i="12"/>
  <c r="L60" i="12"/>
  <c r="H60" i="12"/>
  <c r="F64" i="12"/>
  <c r="L64" i="12"/>
  <c r="H64" i="12"/>
  <c r="G14" i="6"/>
  <c r="G15" i="6" s="1"/>
  <c r="H40" i="6"/>
  <c r="E65" i="4"/>
  <c r="H77" i="13"/>
  <c r="H79" i="13" s="1"/>
  <c r="I77" i="13"/>
  <c r="I79" i="13" s="1"/>
  <c r="J77" i="13"/>
  <c r="J79" i="13" s="1"/>
  <c r="F12" i="13"/>
  <c r="F75" i="13"/>
  <c r="L77" i="13"/>
  <c r="L79" i="13" s="1"/>
  <c r="K77" i="13"/>
  <c r="K79" i="13" s="1"/>
  <c r="I41" i="6"/>
  <c r="I42" i="6" s="1"/>
  <c r="J41" i="6"/>
  <c r="J42" i="6" s="1"/>
  <c r="K41" i="6"/>
  <c r="K42" i="6" s="1"/>
  <c r="L41" i="6"/>
  <c r="L42" i="6" s="1"/>
  <c r="M41" i="6"/>
  <c r="M42" i="6" s="1"/>
  <c r="N41" i="6"/>
  <c r="N42" i="6" s="1"/>
  <c r="H41" i="6"/>
  <c r="R82" i="6"/>
  <c r="F65" i="13"/>
  <c r="E64" i="13"/>
  <c r="F64" i="13"/>
  <c r="H64" i="13"/>
  <c r="P65" i="13" s="1"/>
  <c r="F67" i="13"/>
  <c r="H66" i="13"/>
  <c r="E77" i="13" s="1"/>
  <c r="E79" i="13" s="1"/>
  <c r="F68" i="13"/>
  <c r="F69" i="13"/>
  <c r="H68" i="13"/>
  <c r="F62" i="13"/>
  <c r="S68" i="13"/>
  <c r="F63" i="13"/>
  <c r="S61" i="13"/>
  <c r="E65" i="13"/>
  <c r="E63" i="13"/>
  <c r="E66" i="13"/>
  <c r="E67" i="13"/>
  <c r="E62" i="13"/>
  <c r="E69" i="13"/>
  <c r="P62" i="13"/>
  <c r="F15" i="13"/>
  <c r="I84" i="12"/>
  <c r="K75" i="12"/>
  <c r="J75" i="12"/>
  <c r="H75" i="12"/>
  <c r="D73" i="12"/>
  <c r="D84" i="12" s="1"/>
  <c r="C75" i="12"/>
  <c r="E73" i="12"/>
  <c r="L75" i="12"/>
  <c r="G75" i="12"/>
  <c r="N61" i="12"/>
  <c r="J66" i="12"/>
  <c r="R66" i="12"/>
  <c r="J64" i="12"/>
  <c r="R64" i="12"/>
  <c r="R62" i="12"/>
  <c r="J62" i="12"/>
  <c r="J60" i="12"/>
  <c r="R60" i="12"/>
  <c r="J58" i="12"/>
  <c r="S58" i="12"/>
  <c r="N65" i="12"/>
  <c r="N59" i="12"/>
  <c r="N63" i="12"/>
  <c r="E64" i="12"/>
  <c r="E62" i="12"/>
  <c r="E66" i="12"/>
  <c r="E60" i="12"/>
  <c r="F12" i="12"/>
  <c r="R83" i="6"/>
  <c r="I83" i="6" s="1"/>
  <c r="S84" i="6" s="1"/>
  <c r="V81" i="6"/>
  <c r="V82" i="6"/>
  <c r="W80" i="6"/>
  <c r="W81" i="6"/>
  <c r="X79" i="6"/>
  <c r="W82" i="6"/>
  <c r="V84" i="6"/>
  <c r="W83" i="6"/>
  <c r="W84" i="6"/>
  <c r="V86" i="6"/>
  <c r="W85" i="6"/>
  <c r="W78" i="6"/>
  <c r="W86" i="6"/>
  <c r="V80" i="6"/>
  <c r="R85" i="6"/>
  <c r="T81" i="6"/>
  <c r="H29" i="6"/>
  <c r="I29" i="6"/>
  <c r="T86" i="6"/>
  <c r="T84" i="6"/>
  <c r="T80" i="6"/>
  <c r="S81" i="6"/>
  <c r="F14" i="14"/>
  <c r="F15" i="14" s="1"/>
  <c r="F14" i="12"/>
  <c r="F15" i="12" s="1"/>
  <c r="T85" i="6" l="1"/>
  <c r="I85" i="6"/>
  <c r="S86" i="6" s="1"/>
  <c r="I82" i="6"/>
  <c r="S83" i="6" s="1"/>
  <c r="H30" i="6"/>
  <c r="I30" i="6"/>
  <c r="H61" i="12"/>
  <c r="O62" i="12" s="1"/>
  <c r="L61" i="12"/>
  <c r="P62" i="12" s="1"/>
  <c r="J65" i="12"/>
  <c r="H65" i="12"/>
  <c r="E77" i="12" s="1"/>
  <c r="E79" i="12" s="1"/>
  <c r="L65" i="12"/>
  <c r="J59" i="12"/>
  <c r="L59" i="12"/>
  <c r="P60" i="12" s="1"/>
  <c r="H59" i="12"/>
  <c r="O60" i="12" s="1"/>
  <c r="J63" i="12"/>
  <c r="L63" i="12"/>
  <c r="P64" i="12" s="1"/>
  <c r="H63" i="12"/>
  <c r="O63" i="12" s="1"/>
  <c r="H42" i="6"/>
  <c r="C77" i="13"/>
  <c r="C79" i="13" s="1"/>
  <c r="P68" i="13"/>
  <c r="G77" i="13"/>
  <c r="G79" i="13" s="1"/>
  <c r="D77" i="13"/>
  <c r="D79" i="13" s="1"/>
  <c r="F77" i="13"/>
  <c r="F79" i="13" s="1"/>
  <c r="T82" i="6"/>
  <c r="T83" i="6"/>
  <c r="T67" i="13"/>
  <c r="S67" i="13"/>
  <c r="T63" i="13"/>
  <c r="S63" i="13"/>
  <c r="T65" i="13"/>
  <c r="S65" i="13"/>
  <c r="T69" i="13"/>
  <c r="S69" i="13"/>
  <c r="T66" i="13"/>
  <c r="S66" i="13"/>
  <c r="S62" i="13"/>
  <c r="T62" i="13"/>
  <c r="S64" i="13"/>
  <c r="T64" i="13"/>
  <c r="P69" i="13"/>
  <c r="P67" i="13"/>
  <c r="P64" i="13"/>
  <c r="P63" i="13"/>
  <c r="P66" i="13"/>
  <c r="I86" i="12"/>
  <c r="I88" i="12" s="1"/>
  <c r="J86" i="12"/>
  <c r="J88" i="12" s="1"/>
  <c r="L86" i="12"/>
  <c r="L88" i="12" s="1"/>
  <c r="K86" i="12"/>
  <c r="K88" i="12" s="1"/>
  <c r="G86" i="12"/>
  <c r="G88" i="12" s="1"/>
  <c r="F75" i="12"/>
  <c r="E84" i="12"/>
  <c r="H77" i="12"/>
  <c r="H79" i="12" s="1"/>
  <c r="L77" i="12"/>
  <c r="L79" i="12" s="1"/>
  <c r="I77" i="12"/>
  <c r="I79" i="12" s="1"/>
  <c r="J77" i="12"/>
  <c r="J79" i="12" s="1"/>
  <c r="E59" i="12"/>
  <c r="S59" i="12" s="1"/>
  <c r="K77" i="12"/>
  <c r="K79" i="12" s="1"/>
  <c r="J61" i="12"/>
  <c r="E61" i="12"/>
  <c r="S61" i="12" s="1"/>
  <c r="F61" i="12"/>
  <c r="E65" i="12"/>
  <c r="T65" i="12" s="1"/>
  <c r="T66" i="12"/>
  <c r="S66" i="12"/>
  <c r="T64" i="12"/>
  <c r="S64" i="12"/>
  <c r="S62" i="12"/>
  <c r="T62" i="12"/>
  <c r="S60" i="12"/>
  <c r="T60" i="12"/>
  <c r="F63" i="12"/>
  <c r="F59" i="12"/>
  <c r="E63" i="12"/>
  <c r="F65" i="12"/>
  <c r="T79" i="6"/>
  <c r="M70" i="4"/>
  <c r="M73" i="4" s="1"/>
  <c r="L70" i="4"/>
  <c r="L73" i="4" s="1"/>
  <c r="K70" i="4"/>
  <c r="K73" i="4" s="1"/>
  <c r="J70" i="4"/>
  <c r="J73" i="4" s="1"/>
  <c r="I70" i="4"/>
  <c r="I73" i="4" s="1"/>
  <c r="H70" i="4"/>
  <c r="H73" i="4" s="1"/>
  <c r="G70" i="4"/>
  <c r="G73" i="4" s="1"/>
  <c r="F70" i="4"/>
  <c r="F73" i="4" s="1"/>
  <c r="C71" i="4"/>
  <c r="C70" i="4"/>
  <c r="C64" i="4"/>
  <c r="B63" i="4"/>
  <c r="H37" i="14"/>
  <c r="I58" i="4" s="1"/>
  <c r="I59" i="4" s="1"/>
  <c r="I37" i="14"/>
  <c r="J58" i="4" s="1"/>
  <c r="J59" i="4" s="1"/>
  <c r="J37" i="14"/>
  <c r="K58" i="4" s="1"/>
  <c r="K59" i="4" s="1"/>
  <c r="K37" i="14"/>
  <c r="L58" i="4" s="1"/>
  <c r="L59" i="4" s="1"/>
  <c r="L37" i="14"/>
  <c r="M58" i="4" s="1"/>
  <c r="M59" i="4" s="1"/>
  <c r="L74" i="13"/>
  <c r="K74" i="13"/>
  <c r="J74" i="13"/>
  <c r="I74" i="13"/>
  <c r="H74" i="13"/>
  <c r="G74" i="13"/>
  <c r="E74" i="13"/>
  <c r="D74" i="13"/>
  <c r="C74" i="13"/>
  <c r="F74" i="13"/>
  <c r="N21" i="6"/>
  <c r="M21" i="6"/>
  <c r="L21" i="6"/>
  <c r="K21" i="6"/>
  <c r="J21" i="6"/>
  <c r="E74" i="12"/>
  <c r="D74" i="12"/>
  <c r="G83" i="12"/>
  <c r="H83" i="12"/>
  <c r="I83" i="12"/>
  <c r="J83" i="12"/>
  <c r="K83" i="12"/>
  <c r="L83" i="12"/>
  <c r="G72" i="12"/>
  <c r="H72" i="12"/>
  <c r="I72" i="12"/>
  <c r="J72" i="12"/>
  <c r="K72" i="12"/>
  <c r="L72" i="12"/>
  <c r="F72" i="12"/>
  <c r="F74" i="12" s="1"/>
  <c r="C44" i="12"/>
  <c r="D41" i="6"/>
  <c r="D40" i="6"/>
  <c r="D38" i="6"/>
  <c r="D37" i="6"/>
  <c r="C41" i="6"/>
  <c r="C40" i="6"/>
  <c r="C39" i="6"/>
  <c r="C38" i="6"/>
  <c r="C37" i="6"/>
  <c r="F59" i="6"/>
  <c r="V59" i="6"/>
  <c r="E41" i="6"/>
  <c r="E40" i="6"/>
  <c r="E39" i="6"/>
  <c r="R59" i="6"/>
  <c r="I59" i="6" s="1"/>
  <c r="M67" i="6"/>
  <c r="M66" i="6"/>
  <c r="M65" i="6"/>
  <c r="M64" i="6"/>
  <c r="M63" i="6"/>
  <c r="M62" i="6"/>
  <c r="M61" i="6"/>
  <c r="M60" i="6"/>
  <c r="M59" i="6"/>
  <c r="K67" i="6"/>
  <c r="K66" i="6"/>
  <c r="K65" i="6"/>
  <c r="K64" i="6"/>
  <c r="K63" i="6"/>
  <c r="K62" i="6"/>
  <c r="K61" i="6"/>
  <c r="K60" i="6"/>
  <c r="K59" i="6"/>
  <c r="G67" i="6"/>
  <c r="G66" i="6"/>
  <c r="G65" i="6"/>
  <c r="G64" i="6"/>
  <c r="G63" i="6"/>
  <c r="G62" i="6"/>
  <c r="G61" i="6"/>
  <c r="I67" i="6"/>
  <c r="I66" i="6"/>
  <c r="I65" i="6"/>
  <c r="I64" i="6"/>
  <c r="I63" i="6"/>
  <c r="I62" i="6"/>
  <c r="I61" i="6"/>
  <c r="G60" i="6"/>
  <c r="O61" i="12" l="1"/>
  <c r="S85" i="6"/>
  <c r="J30" i="6"/>
  <c r="J31" i="6" s="1"/>
  <c r="J34" i="6" s="1"/>
  <c r="S82" i="6"/>
  <c r="L30" i="6"/>
  <c r="M30" i="6"/>
  <c r="N30" i="6"/>
  <c r="I44" i="6"/>
  <c r="O73" i="4"/>
  <c r="S80" i="6"/>
  <c r="K30" i="6"/>
  <c r="T87" i="6"/>
  <c r="M87" i="6" s="1"/>
  <c r="P70" i="13"/>
  <c r="H70" i="13" s="1"/>
  <c r="E86" i="12"/>
  <c r="E88" i="12" s="1"/>
  <c r="P65" i="12"/>
  <c r="F86" i="12"/>
  <c r="F88" i="12" s="1"/>
  <c r="C86" i="12"/>
  <c r="C88" i="12" s="1"/>
  <c r="D86" i="12"/>
  <c r="D88" i="12" s="1"/>
  <c r="D77" i="12"/>
  <c r="D79" i="12" s="1"/>
  <c r="T61" i="12"/>
  <c r="P61" i="12"/>
  <c r="O65" i="12"/>
  <c r="C77" i="12"/>
  <c r="C79" i="12" s="1"/>
  <c r="F77" i="12"/>
  <c r="F79" i="12" s="1"/>
  <c r="T59" i="12"/>
  <c r="S65" i="12"/>
  <c r="T63" i="12"/>
  <c r="S63" i="12"/>
  <c r="P59" i="12"/>
  <c r="O64" i="12"/>
  <c r="P66" i="12"/>
  <c r="P63" i="12"/>
  <c r="O59" i="12"/>
  <c r="O66" i="12"/>
  <c r="S79" i="6"/>
  <c r="H74" i="12"/>
  <c r="I74" i="12"/>
  <c r="K74" i="12"/>
  <c r="L74" i="12"/>
  <c r="J74" i="12"/>
  <c r="G74" i="12"/>
  <c r="F83" i="12"/>
  <c r="G59" i="6"/>
  <c r="D67" i="6"/>
  <c r="D66" i="6"/>
  <c r="D65" i="6"/>
  <c r="D64" i="6"/>
  <c r="D63" i="6"/>
  <c r="D62" i="6"/>
  <c r="D61" i="6"/>
  <c r="F60" i="6"/>
  <c r="D60" i="6"/>
  <c r="G58" i="6"/>
  <c r="D57" i="6"/>
  <c r="F56" i="6"/>
  <c r="K54" i="6"/>
  <c r="D53" i="6"/>
  <c r="F12" i="6"/>
  <c r="G11" i="6"/>
  <c r="G10" i="6"/>
  <c r="H37" i="6" s="1"/>
  <c r="F20" i="2"/>
  <c r="D25" i="6"/>
  <c r="D24" i="6"/>
  <c r="C25" i="6"/>
  <c r="C24" i="6"/>
  <c r="C23" i="6"/>
  <c r="D22" i="6"/>
  <c r="C22" i="6"/>
  <c r="D21" i="6"/>
  <c r="C21" i="6"/>
  <c r="S87" i="6" l="1"/>
  <c r="I87" i="6" s="1"/>
  <c r="J44" i="6"/>
  <c r="K44" i="6"/>
  <c r="I38" i="6"/>
  <c r="I39" i="6" s="1"/>
  <c r="I43" i="6" s="1"/>
  <c r="J38" i="6"/>
  <c r="J39" i="6" s="1"/>
  <c r="J43" i="6" s="1"/>
  <c r="K38" i="6"/>
  <c r="K39" i="6" s="1"/>
  <c r="K43" i="6" s="1"/>
  <c r="L38" i="6"/>
  <c r="L39" i="6" s="1"/>
  <c r="L43" i="6" s="1"/>
  <c r="N38" i="6"/>
  <c r="N39" i="6" s="1"/>
  <c r="N43" i="6" s="1"/>
  <c r="M38" i="6"/>
  <c r="M39" i="6" s="1"/>
  <c r="M43" i="6" s="1"/>
  <c r="H38" i="6"/>
  <c r="H39" i="6" s="1"/>
  <c r="H43" i="6" s="1"/>
  <c r="P67" i="12"/>
  <c r="L67" i="12" s="1"/>
  <c r="O67" i="12"/>
  <c r="H67" i="12" s="1"/>
  <c r="N31" i="6"/>
  <c r="H31" i="6"/>
  <c r="L31" i="6"/>
  <c r="I31" i="6"/>
  <c r="K31" i="6"/>
  <c r="M31" i="6"/>
  <c r="I21" i="6"/>
  <c r="H21" i="6"/>
  <c r="R65" i="6"/>
  <c r="T65" i="6" s="1"/>
  <c r="V65" i="6"/>
  <c r="R66" i="6"/>
  <c r="T66" i="6" s="1"/>
  <c r="V66" i="6"/>
  <c r="R67" i="6"/>
  <c r="T67" i="6" s="1"/>
  <c r="V67" i="6"/>
  <c r="X60" i="6"/>
  <c r="W60" i="6"/>
  <c r="R61" i="6"/>
  <c r="T61" i="6" s="1"/>
  <c r="V61" i="6"/>
  <c r="R60" i="6"/>
  <c r="T60" i="6" s="1"/>
  <c r="V60" i="6"/>
  <c r="R62" i="6"/>
  <c r="T62" i="6" s="1"/>
  <c r="V62" i="6"/>
  <c r="R63" i="6"/>
  <c r="T63" i="6" s="1"/>
  <c r="V63" i="6"/>
  <c r="W59" i="6"/>
  <c r="X59" i="6"/>
  <c r="R64" i="6"/>
  <c r="T64" i="6" s="1"/>
  <c r="V64" i="6"/>
  <c r="F66" i="6"/>
  <c r="F63" i="6"/>
  <c r="F64" i="6"/>
  <c r="F65" i="6"/>
  <c r="F67" i="6"/>
  <c r="F62" i="6"/>
  <c r="F61" i="6"/>
  <c r="G12" i="6"/>
  <c r="I12" i="6"/>
  <c r="H12" i="6"/>
  <c r="I20" i="4" l="1"/>
  <c r="H20" i="4"/>
  <c r="K20" i="4"/>
  <c r="G20" i="4"/>
  <c r="N34" i="6"/>
  <c r="M34" i="6"/>
  <c r="K34" i="6"/>
  <c r="L34" i="6"/>
  <c r="I34" i="6"/>
  <c r="H34" i="6"/>
  <c r="S67" i="6"/>
  <c r="S66" i="6"/>
  <c r="S64" i="6"/>
  <c r="S63" i="6"/>
  <c r="S65" i="6"/>
  <c r="T68" i="6"/>
  <c r="M68" i="6" s="1"/>
  <c r="W65" i="6"/>
  <c r="X65" i="6"/>
  <c r="W63" i="6"/>
  <c r="X63" i="6"/>
  <c r="S62" i="6"/>
  <c r="W64" i="6"/>
  <c r="X64" i="6"/>
  <c r="W66" i="6"/>
  <c r="X66" i="6"/>
  <c r="W61" i="6"/>
  <c r="X61" i="6"/>
  <c r="W62" i="6"/>
  <c r="X62" i="6"/>
  <c r="I60" i="6"/>
  <c r="X67" i="6"/>
  <c r="W67" i="6"/>
  <c r="J12" i="6"/>
  <c r="H22" i="6" l="1"/>
  <c r="H23" i="6" s="1"/>
  <c r="N22" i="6"/>
  <c r="N23" i="6" s="1"/>
  <c r="N26" i="6" s="1"/>
  <c r="M19" i="4" s="1"/>
  <c r="M22" i="6"/>
  <c r="M23" i="6" s="1"/>
  <c r="M26" i="6" s="1"/>
  <c r="M47" i="6" s="1"/>
  <c r="L44" i="6"/>
  <c r="J20" i="4"/>
  <c r="S61" i="6"/>
  <c r="J22" i="6"/>
  <c r="J23" i="6" s="1"/>
  <c r="I22" i="6"/>
  <c r="I23" i="6" s="1"/>
  <c r="K22" i="6"/>
  <c r="K23" i="6" s="1"/>
  <c r="L22" i="6"/>
  <c r="L23" i="6" s="1"/>
  <c r="S60" i="6"/>
  <c r="K12" i="6"/>
  <c r="L19" i="4" l="1"/>
  <c r="L24" i="4" s="1"/>
  <c r="N47" i="6"/>
  <c r="N44" i="6"/>
  <c r="M44" i="6"/>
  <c r="L26" i="6"/>
  <c r="K26" i="6"/>
  <c r="I26" i="6"/>
  <c r="J26" i="6"/>
  <c r="H26" i="6"/>
  <c r="S68" i="6"/>
  <c r="I68" i="6" s="1"/>
  <c r="L12" i="6"/>
  <c r="M12" i="6"/>
  <c r="G19" i="4" l="1"/>
  <c r="G24" i="4" s="1"/>
  <c r="H47" i="6"/>
  <c r="J47" i="6"/>
  <c r="I19" i="4"/>
  <c r="I24" i="4" s="1"/>
  <c r="I47" i="6"/>
  <c r="H19" i="4"/>
  <c r="H24" i="4" s="1"/>
  <c r="K47" i="6"/>
  <c r="J19" i="4"/>
  <c r="J24" i="4" s="1"/>
  <c r="L47" i="6"/>
  <c r="K19" i="4"/>
  <c r="K24" i="4" s="1"/>
  <c r="M24" i="4"/>
  <c r="L20" i="4"/>
  <c r="B4" i="14"/>
  <c r="B2" i="14"/>
  <c r="B4" i="13"/>
  <c r="B2" i="13"/>
  <c r="B4" i="12"/>
  <c r="B2" i="12"/>
  <c r="G12" i="23"/>
  <c r="E64" i="4" s="1"/>
  <c r="E67" i="4" s="1"/>
  <c r="G11" i="23"/>
  <c r="B4" i="23"/>
  <c r="B2" i="23"/>
  <c r="B4" i="2"/>
  <c r="B2" i="2"/>
  <c r="C4" i="6"/>
  <c r="C2" i="6"/>
  <c r="M20" i="4" l="1"/>
  <c r="D64" i="4"/>
  <c r="C39" i="4" l="1"/>
  <c r="C51" i="4"/>
  <c r="C34" i="4"/>
  <c r="C47" i="4"/>
  <c r="E41" i="13"/>
  <c r="C33" i="12"/>
  <c r="D23" i="6" l="1"/>
  <c r="I236" i="6"/>
  <c r="J236" i="6" s="1"/>
  <c r="O236" i="6"/>
  <c r="N236" i="6"/>
  <c r="P236" i="6" l="1"/>
  <c r="E25" i="6"/>
  <c r="N201" i="6" l="1"/>
  <c r="O201" i="6"/>
  <c r="I201" i="6"/>
  <c r="J201" i="6" s="1"/>
  <c r="E24" i="6" s="1"/>
  <c r="N166" i="6"/>
  <c r="O166" i="6"/>
  <c r="I166" i="6"/>
  <c r="J166" i="6" s="1"/>
  <c r="E23" i="6" s="1"/>
  <c r="O131" i="6"/>
  <c r="I131" i="6"/>
  <c r="J131" i="6" s="1"/>
  <c r="E22" i="6" s="1"/>
  <c r="N96" i="6"/>
  <c r="O96" i="6"/>
  <c r="I96" i="6"/>
  <c r="J96" i="6" s="1"/>
  <c r="E21" i="6" s="1"/>
  <c r="P201" i="6" l="1"/>
  <c r="P166" i="6"/>
  <c r="P131" i="6"/>
  <c r="P96" i="6"/>
  <c r="E26" i="6"/>
  <c r="D19" i="4" l="1"/>
  <c r="D24" i="4" s="1"/>
  <c r="E37" i="6"/>
  <c r="E38" i="6"/>
  <c r="E42" i="6" l="1"/>
  <c r="D20" i="4" l="1"/>
  <c r="D25" i="4" s="1"/>
  <c r="E20" i="4"/>
  <c r="E25" i="4" s="1"/>
  <c r="F20" i="4"/>
  <c r="F25" i="4" s="1"/>
  <c r="C58" i="4"/>
  <c r="C57" i="4"/>
  <c r="C48" i="4" l="1"/>
  <c r="C52" i="4" s="1"/>
  <c r="C36" i="4"/>
  <c r="C41" i="4" s="1"/>
  <c r="C35" i="4"/>
  <c r="C40" i="4" s="1"/>
  <c r="B16" i="4"/>
  <c r="C37" i="14" l="1"/>
  <c r="D37" i="14"/>
  <c r="E58" i="4" s="1"/>
  <c r="E59" i="4" s="1"/>
  <c r="E37" i="14"/>
  <c r="F58" i="4" s="1"/>
  <c r="F59" i="4" s="1"/>
  <c r="F37" i="14"/>
  <c r="G58" i="4" s="1"/>
  <c r="G59" i="4" s="1"/>
  <c r="G37" i="14"/>
  <c r="H58" i="4" s="1"/>
  <c r="H59" i="4" s="1"/>
  <c r="E38" i="13"/>
  <c r="C39" i="13"/>
  <c r="F40" i="13"/>
  <c r="T41" i="13"/>
  <c r="F41" i="13"/>
  <c r="O41" i="13"/>
  <c r="C42" i="13"/>
  <c r="O42" i="13" s="1"/>
  <c r="C43" i="13"/>
  <c r="O43" i="13" s="1"/>
  <c r="H43" i="13" s="1"/>
  <c r="C44" i="13"/>
  <c r="O44" i="13" s="1"/>
  <c r="C45" i="13"/>
  <c r="O45" i="13" s="1"/>
  <c r="C46" i="13"/>
  <c r="C47" i="13"/>
  <c r="C48" i="13"/>
  <c r="O48" i="13" s="1"/>
  <c r="C49" i="13"/>
  <c r="O49" i="13" s="1"/>
  <c r="H49" i="13" s="1"/>
  <c r="J34" i="12"/>
  <c r="E36" i="12"/>
  <c r="C37" i="12"/>
  <c r="F38" i="12"/>
  <c r="E39" i="12"/>
  <c r="T39" i="12" s="1"/>
  <c r="F39" i="12"/>
  <c r="N39" i="12"/>
  <c r="L39" i="12" s="1"/>
  <c r="R39" i="12"/>
  <c r="C40" i="12"/>
  <c r="N40" i="12" s="1"/>
  <c r="C41" i="12"/>
  <c r="N41" i="12" s="1"/>
  <c r="C42" i="12"/>
  <c r="R42" i="12" s="1"/>
  <c r="C43" i="12"/>
  <c r="N44" i="12"/>
  <c r="C45" i="12"/>
  <c r="C46" i="12"/>
  <c r="R46" i="12" s="1"/>
  <c r="C47" i="12"/>
  <c r="N47" i="12" s="1"/>
  <c r="C74" i="12"/>
  <c r="C83" i="12"/>
  <c r="D83" i="12" l="1"/>
  <c r="D58" i="4"/>
  <c r="D59" i="4" s="1"/>
  <c r="O59" i="4" s="1"/>
  <c r="Q45" i="4" s="1"/>
  <c r="S45" i="4" s="1"/>
  <c r="C40" i="14"/>
  <c r="N43" i="12"/>
  <c r="J43" i="12" s="1"/>
  <c r="H44" i="12"/>
  <c r="L44" i="12"/>
  <c r="H47" i="12"/>
  <c r="L47" i="12"/>
  <c r="H41" i="12"/>
  <c r="L41" i="12"/>
  <c r="H40" i="12"/>
  <c r="G76" i="12" s="1"/>
  <c r="G78" i="12" s="1"/>
  <c r="L40" i="12"/>
  <c r="P40" i="12" s="1"/>
  <c r="S39" i="12"/>
  <c r="E45" i="13"/>
  <c r="T45" i="13" s="1"/>
  <c r="H45" i="13"/>
  <c r="E48" i="13"/>
  <c r="S48" i="13" s="1"/>
  <c r="H48" i="13"/>
  <c r="P49" i="13" s="1"/>
  <c r="E44" i="13"/>
  <c r="S44" i="13" s="1"/>
  <c r="H44" i="13"/>
  <c r="P44" i="13" s="1"/>
  <c r="E42" i="13"/>
  <c r="S42" i="13" s="1"/>
  <c r="H42" i="13"/>
  <c r="R47" i="12"/>
  <c r="O47" i="13"/>
  <c r="H47" i="13" s="1"/>
  <c r="H76" i="13" s="1"/>
  <c r="N46" i="12"/>
  <c r="L46" i="12" s="1"/>
  <c r="R43" i="12"/>
  <c r="R44" i="12"/>
  <c r="H39" i="12"/>
  <c r="R40" i="12"/>
  <c r="E44" i="12"/>
  <c r="T44" i="12" s="1"/>
  <c r="F44" i="12"/>
  <c r="J44" i="12"/>
  <c r="J47" i="12"/>
  <c r="F47" i="12"/>
  <c r="N42" i="12"/>
  <c r="L42" i="12" s="1"/>
  <c r="J39" i="12"/>
  <c r="E49" i="13"/>
  <c r="T49" i="13" s="1"/>
  <c r="E43" i="13"/>
  <c r="T43" i="13" s="1"/>
  <c r="T44" i="13"/>
  <c r="N45" i="12"/>
  <c r="R45" i="12"/>
  <c r="F41" i="12"/>
  <c r="J41" i="12"/>
  <c r="E41" i="12"/>
  <c r="R41" i="12"/>
  <c r="E40" i="12"/>
  <c r="F40" i="12"/>
  <c r="J40" i="12"/>
  <c r="H41" i="13"/>
  <c r="E76" i="13" s="1"/>
  <c r="F48" i="13"/>
  <c r="F44" i="13"/>
  <c r="F42" i="13"/>
  <c r="O46" i="13"/>
  <c r="H46" i="13" s="1"/>
  <c r="S41" i="13"/>
  <c r="E47" i="12"/>
  <c r="F49" i="13"/>
  <c r="F45" i="13"/>
  <c r="F43" i="13"/>
  <c r="H78" i="13" l="1"/>
  <c r="E78" i="13"/>
  <c r="G80" i="12"/>
  <c r="H35" i="4" s="1"/>
  <c r="H40" i="4" s="1"/>
  <c r="E83" i="12"/>
  <c r="I76" i="13"/>
  <c r="J76" i="13"/>
  <c r="H85" i="12"/>
  <c r="H87" i="12" s="1"/>
  <c r="E43" i="12"/>
  <c r="T43" i="12" s="1"/>
  <c r="L76" i="12"/>
  <c r="L43" i="12"/>
  <c r="P44" i="12" s="1"/>
  <c r="K76" i="12"/>
  <c r="H43" i="12"/>
  <c r="O44" i="12" s="1"/>
  <c r="J76" i="12"/>
  <c r="H76" i="12"/>
  <c r="I76" i="12"/>
  <c r="F76" i="12"/>
  <c r="F43" i="12"/>
  <c r="I85" i="12"/>
  <c r="I87" i="12" s="1"/>
  <c r="T42" i="13"/>
  <c r="S43" i="13"/>
  <c r="E46" i="12"/>
  <c r="T46" i="12" s="1"/>
  <c r="S45" i="13"/>
  <c r="O41" i="12"/>
  <c r="H45" i="12"/>
  <c r="L45" i="12"/>
  <c r="O40" i="12"/>
  <c r="F76" i="13"/>
  <c r="S44" i="12"/>
  <c r="E42" i="12"/>
  <c r="T42" i="12" s="1"/>
  <c r="H42" i="12"/>
  <c r="J46" i="12"/>
  <c r="H46" i="12"/>
  <c r="F46" i="12"/>
  <c r="D76" i="13"/>
  <c r="T48" i="13"/>
  <c r="F47" i="13"/>
  <c r="P45" i="13"/>
  <c r="P42" i="13"/>
  <c r="S49" i="13"/>
  <c r="P43" i="13"/>
  <c r="P47" i="12"/>
  <c r="P41" i="12"/>
  <c r="C76" i="13"/>
  <c r="C78" i="13" s="1"/>
  <c r="C80" i="13" s="1"/>
  <c r="E47" i="13"/>
  <c r="G76" i="13"/>
  <c r="J42" i="12"/>
  <c r="F42" i="12"/>
  <c r="T41" i="12"/>
  <c r="S41" i="12"/>
  <c r="F45" i="12"/>
  <c r="J45" i="12"/>
  <c r="E45" i="12"/>
  <c r="S47" i="12"/>
  <c r="T47" i="12"/>
  <c r="P46" i="13"/>
  <c r="F46" i="13"/>
  <c r="E46" i="13"/>
  <c r="S40" i="12"/>
  <c r="T40" i="12"/>
  <c r="E80" i="13" l="1"/>
  <c r="F48" i="4" s="1"/>
  <c r="H80" i="13"/>
  <c r="I48" i="4" s="1"/>
  <c r="J78" i="13"/>
  <c r="D78" i="13"/>
  <c r="I78" i="13"/>
  <c r="G78" i="13"/>
  <c r="F78" i="13"/>
  <c r="I89" i="12"/>
  <c r="J36" i="4" s="1"/>
  <c r="J41" i="4" s="1"/>
  <c r="H89" i="12"/>
  <c r="I36" i="4" s="1"/>
  <c r="I41" i="4" s="1"/>
  <c r="E85" i="12"/>
  <c r="E87" i="12" s="1"/>
  <c r="H78" i="12"/>
  <c r="F78" i="12"/>
  <c r="I78" i="12"/>
  <c r="J78" i="12"/>
  <c r="K78" i="12"/>
  <c r="L78" i="12"/>
  <c r="S43" i="12"/>
  <c r="D48" i="4"/>
  <c r="D52" i="4" s="1"/>
  <c r="D53" i="4" s="1"/>
  <c r="K76" i="13"/>
  <c r="L76" i="13"/>
  <c r="O47" i="12"/>
  <c r="E76" i="12"/>
  <c r="E78" i="12" s="1"/>
  <c r="E80" i="12" s="1"/>
  <c r="D76" i="12"/>
  <c r="D78" i="12" s="1"/>
  <c r="D80" i="12" s="1"/>
  <c r="J85" i="12"/>
  <c r="F85" i="12"/>
  <c r="F87" i="12" s="1"/>
  <c r="C85" i="12"/>
  <c r="C87" i="12" s="1"/>
  <c r="G85" i="12"/>
  <c r="G87" i="12" s="1"/>
  <c r="D85" i="12"/>
  <c r="D87" i="12" s="1"/>
  <c r="C76" i="12"/>
  <c r="C78" i="12" s="1"/>
  <c r="C80" i="12" s="1"/>
  <c r="S46" i="12"/>
  <c r="S42" i="12"/>
  <c r="P48" i="13"/>
  <c r="P47" i="13"/>
  <c r="P42" i="12"/>
  <c r="P45" i="12"/>
  <c r="O43" i="12"/>
  <c r="O45" i="12"/>
  <c r="T47" i="13"/>
  <c r="S47" i="13"/>
  <c r="P46" i="12"/>
  <c r="O46" i="12"/>
  <c r="P43" i="12"/>
  <c r="O42" i="12"/>
  <c r="S46" i="13"/>
  <c r="T46" i="13"/>
  <c r="T45" i="12"/>
  <c r="S45" i="12"/>
  <c r="F49" i="4" l="1"/>
  <c r="F52" i="4"/>
  <c r="F53" i="4" s="1"/>
  <c r="I52" i="4"/>
  <c r="I53" i="4" s="1"/>
  <c r="I49" i="4"/>
  <c r="G80" i="13"/>
  <c r="H48" i="4" s="1"/>
  <c r="I80" i="13"/>
  <c r="J48" i="4" s="1"/>
  <c r="D80" i="13"/>
  <c r="E48" i="4" s="1"/>
  <c r="E52" i="4" s="1"/>
  <c r="E53" i="4" s="1"/>
  <c r="F80" i="13"/>
  <c r="G48" i="4" s="1"/>
  <c r="J80" i="13"/>
  <c r="K48" i="4" s="1"/>
  <c r="L78" i="13"/>
  <c r="K78" i="13"/>
  <c r="F89" i="12"/>
  <c r="G36" i="4" s="1"/>
  <c r="G41" i="4" s="1"/>
  <c r="E89" i="12"/>
  <c r="F36" i="4" s="1"/>
  <c r="D89" i="12"/>
  <c r="E36" i="4" s="1"/>
  <c r="G89" i="12"/>
  <c r="H36" i="4" s="1"/>
  <c r="C89" i="12"/>
  <c r="D36" i="4" s="1"/>
  <c r="D41" i="4" s="1"/>
  <c r="L80" i="12"/>
  <c r="M35" i="4" s="1"/>
  <c r="M40" i="4" s="1"/>
  <c r="I80" i="12"/>
  <c r="J35" i="4" s="1"/>
  <c r="K80" i="12"/>
  <c r="L35" i="4" s="1"/>
  <c r="L40" i="4" s="1"/>
  <c r="J80" i="12"/>
  <c r="K35" i="4" s="1"/>
  <c r="K40" i="4" s="1"/>
  <c r="F80" i="12"/>
  <c r="G35" i="4" s="1"/>
  <c r="G40" i="4" s="1"/>
  <c r="H80" i="12"/>
  <c r="I35" i="4" s="1"/>
  <c r="D35" i="4"/>
  <c r="J87" i="12"/>
  <c r="D49" i="4"/>
  <c r="L85" i="12"/>
  <c r="K85" i="12"/>
  <c r="F21" i="4"/>
  <c r="E21" i="4"/>
  <c r="D21" i="4"/>
  <c r="P48" i="12"/>
  <c r="L48" i="12" s="1"/>
  <c r="P50" i="13"/>
  <c r="H50" i="13" s="1"/>
  <c r="O48" i="12"/>
  <c r="H48" i="12" s="1"/>
  <c r="J49" i="4" l="1"/>
  <c r="J52" i="4"/>
  <c r="J53" i="4" s="1"/>
  <c r="E49" i="4"/>
  <c r="H49" i="4"/>
  <c r="H52" i="4"/>
  <c r="H53" i="4" s="1"/>
  <c r="K49" i="4"/>
  <c r="K52" i="4"/>
  <c r="K53" i="4" s="1"/>
  <c r="G52" i="4"/>
  <c r="G53" i="4" s="1"/>
  <c r="G49" i="4"/>
  <c r="L80" i="13"/>
  <c r="M48" i="4" s="1"/>
  <c r="K80" i="13"/>
  <c r="L48" i="4" s="1"/>
  <c r="H37" i="4"/>
  <c r="H41" i="4"/>
  <c r="H42" i="4" s="1"/>
  <c r="E41" i="4"/>
  <c r="E42" i="4" s="1"/>
  <c r="E37" i="4"/>
  <c r="F37" i="4"/>
  <c r="F41" i="4"/>
  <c r="F42" i="4" s="1"/>
  <c r="J89" i="12"/>
  <c r="K36" i="4" s="1"/>
  <c r="D37" i="4"/>
  <c r="L87" i="12"/>
  <c r="K87" i="12"/>
  <c r="I37" i="4"/>
  <c r="I40" i="4"/>
  <c r="I42" i="4" s="1"/>
  <c r="G42" i="4"/>
  <c r="J40" i="4"/>
  <c r="J42" i="4" s="1"/>
  <c r="J37" i="4"/>
  <c r="G37" i="4"/>
  <c r="D40" i="4"/>
  <c r="D42" i="4" s="1"/>
  <c r="C83" i="13" l="1"/>
  <c r="M52" i="4"/>
  <c r="M53" i="4" s="1"/>
  <c r="M49" i="4"/>
  <c r="L49" i="4"/>
  <c r="L52" i="4"/>
  <c r="L53" i="4" s="1"/>
  <c r="K37" i="4"/>
  <c r="K41" i="4"/>
  <c r="K42" i="4" s="1"/>
  <c r="L89" i="12"/>
  <c r="M36" i="4" s="1"/>
  <c r="K89" i="12"/>
  <c r="L36" i="4" s="1"/>
  <c r="D26" i="4"/>
  <c r="G11" i="2"/>
  <c r="G27" i="2" s="1"/>
  <c r="O53" i="4" l="1"/>
  <c r="O49" i="4"/>
  <c r="C92" i="12"/>
  <c r="L37" i="4"/>
  <c r="L41" i="4"/>
  <c r="L42" i="4" s="1"/>
  <c r="M37" i="4"/>
  <c r="M41" i="4"/>
  <c r="M42" i="4" s="1"/>
  <c r="E26" i="4"/>
  <c r="O55" i="4" l="1"/>
  <c r="Q44" i="4" s="1"/>
  <c r="S44" i="4" s="1"/>
  <c r="O42" i="4"/>
  <c r="O37" i="4"/>
  <c r="O67" i="4"/>
  <c r="F26" i="4"/>
  <c r="G25" i="4"/>
  <c r="G26" i="4" s="1"/>
  <c r="H25" i="4"/>
  <c r="H26" i="4" s="1"/>
  <c r="J21" i="4"/>
  <c r="K25" i="4"/>
  <c r="K26" i="4" s="1"/>
  <c r="M21" i="4"/>
  <c r="L25" i="4"/>
  <c r="L26" i="4" s="1"/>
  <c r="I21" i="4"/>
  <c r="O44" i="4" l="1"/>
  <c r="Q43" i="4" s="1"/>
  <c r="M25" i="4"/>
  <c r="M26" i="4" s="1"/>
  <c r="L21" i="4"/>
  <c r="G21" i="4"/>
  <c r="H21" i="4"/>
  <c r="F269" i="6"/>
  <c r="I25" i="4"/>
  <c r="I26" i="4" s="1"/>
  <c r="J25" i="4"/>
  <c r="J26" i="4" s="1"/>
  <c r="K21" i="4"/>
  <c r="S43" i="4" l="1"/>
  <c r="S46" i="4" s="1" a="1"/>
  <c r="S46" i="4" s="1"/>
  <c r="O61" i="4" s="1"/>
  <c r="Q46" i="4" a="1"/>
  <c r="Q46" i="4" s="1"/>
  <c r="O26" i="4"/>
  <c r="O21" i="4"/>
  <c r="O28" i="4" l="1"/>
  <c r="O76" i="4" s="1"/>
  <c r="F9" i="28" s="1"/>
  <c r="C7" i="29" s="1"/>
  <c r="E7" i="29" s="1"/>
  <c r="F15"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<sst xmlns="http://schemas.openxmlformats.org/spreadsheetml/2006/main" count="807" uniqueCount="291">
  <si>
    <t xml:space="preserve"> </t>
  </si>
  <si>
    <t>Dimensionering</t>
  </si>
  <si>
    <t>Jaar 1</t>
  </si>
  <si>
    <t>Jaar 2</t>
  </si>
  <si>
    <t>Jaar 3</t>
  </si>
  <si>
    <t>Jaar 4</t>
  </si>
  <si>
    <t>Aanschaf</t>
  </si>
  <si>
    <t>Artikelnummer</t>
  </si>
  <si>
    <t>Versie</t>
  </si>
  <si>
    <t>Totaal</t>
  </si>
  <si>
    <t>medior</t>
  </si>
  <si>
    <t>Omschrijving / specificatie</t>
  </si>
  <si>
    <t>Senior Consultant</t>
  </si>
  <si>
    <t>Korting</t>
  </si>
  <si>
    <t>Jaar 5</t>
  </si>
  <si>
    <t>Staffel</t>
  </si>
  <si>
    <t xml:space="preserve">"&gt;" meer dan </t>
  </si>
  <si>
    <t xml:space="preserve">van </t>
  </si>
  <si>
    <t>tot en met</t>
  </si>
  <si>
    <t>Grondslag</t>
  </si>
  <si>
    <t>STAFFEL 1</t>
  </si>
  <si>
    <t>STAFFEL 2</t>
  </si>
  <si>
    <t>STAFFEL 3</t>
  </si>
  <si>
    <t>STAFFEL 4</t>
  </si>
  <si>
    <t>STAFFEL 5</t>
  </si>
  <si>
    <t>STAFFEL 6</t>
  </si>
  <si>
    <t>STAFFEL 7</t>
  </si>
  <si>
    <t>STAFFEL 8</t>
  </si>
  <si>
    <t>STAFFEL 9</t>
  </si>
  <si>
    <t>Vergelijkingswaarde</t>
  </si>
  <si>
    <t>Subtotaal</t>
  </si>
  <si>
    <t>Artikelomschrijving</t>
  </si>
  <si>
    <t>Merknaam</t>
  </si>
  <si>
    <t>Listprijs
per stuk incl. korting</t>
  </si>
  <si>
    <t>N.B.: Indien voor dit bouwblok meer regels benodig zijn, graag dit verzoek via de Nota van Inlichtingen bekend te maken. Een aangepast model wordt u dan toegestuurd.</t>
  </si>
  <si>
    <t>Ten behoeve van Vergelijkingswaarde</t>
  </si>
  <si>
    <t>Bedrag</t>
  </si>
  <si>
    <t>Totaal aanschaf per jaar</t>
  </si>
  <si>
    <t>&lt;-check</t>
  </si>
  <si>
    <t>Hulpvelden alternatief</t>
  </si>
  <si>
    <t>Hulpvelden onderhoud</t>
  </si>
  <si>
    <t>Hulpvelden aanschaf</t>
  </si>
  <si>
    <t>Hulpvelden</t>
  </si>
  <si>
    <t>cumulatief</t>
  </si>
  <si>
    <t>Prijs per</t>
  </si>
  <si>
    <t>N.B. Indien meer regels benodigd zijn, kan een nieuw prijzenblad worden opgevraagd. Graag aangeven hoeveel regels meer nodig zijn.</t>
  </si>
  <si>
    <t>Omschrijving</t>
  </si>
  <si>
    <t>Totaal per jaar</t>
  </si>
  <si>
    <t>Gebruiksrecht per jaar</t>
  </si>
  <si>
    <t>Jaar  3</t>
  </si>
  <si>
    <t>Enterprise / onbeperkt Gebruiksrecht</t>
  </si>
  <si>
    <t>Gebruiksrecht Enterprise licentie</t>
  </si>
  <si>
    <t>Naam</t>
  </si>
  <si>
    <t>Samenvatting</t>
  </si>
  <si>
    <t>Listprijs 
aanschaf
per stuk
in €</t>
  </si>
  <si>
    <t>Benodigd aantal
Jaar 1</t>
  </si>
  <si>
    <t>Gebruiksrecht o.b.v. Aanschaf</t>
  </si>
  <si>
    <t>Gebruiksrecht o.b.v. Enterprise licentie</t>
  </si>
  <si>
    <t>óf</t>
  </si>
  <si>
    <t>Korting  per staffel *1</t>
  </si>
  <si>
    <t>*1 Het kortingspercentage van de opvolgende staffel dient minimaal gelijk aan of hoger dan de voorgaande staffel te zijn.
   Indien dit niet het geval is, zullen cellen rood opkleuren en is de staffel niet acceptabel ingevuld.</t>
  </si>
  <si>
    <t>*1 Het kortingspercentage van de opvolgende staffel dient minimaal gelijk aan of hoger dan van de voorgaande staffel te zijn. Indien dit niet het geval is, zullen cellen rood opkleuren en is de staffel niet acceptabel ingevuld.</t>
  </si>
  <si>
    <t>Aanschaf per locatie *1</t>
  </si>
  <si>
    <t>*1 Additioneel benodige investering per locatie</t>
  </si>
  <si>
    <t>uitbreiding</t>
  </si>
  <si>
    <t>naar cum.</t>
  </si>
  <si>
    <t>aantal</t>
  </si>
  <si>
    <t>Kit-list</t>
  </si>
  <si>
    <t>Naam/Omschrijving</t>
  </si>
  <si>
    <t>Totaal
incl. korting
Jaar 1</t>
  </si>
  <si>
    <t>Totaal
5 jaren
incl. korting</t>
  </si>
  <si>
    <t>Totaal
1 jaar
incl. korting</t>
  </si>
  <si>
    <t>Vergoeding</t>
  </si>
  <si>
    <t xml:space="preserve"> (bedragen zijn exclusief BTW)</t>
  </si>
  <si>
    <t>Vergoeding per</t>
  </si>
  <si>
    <t xml:space="preserve"> Vergoeding
 per TB bij</t>
  </si>
  <si>
    <t>uitbreiding naar</t>
  </si>
  <si>
    <t>cummulatief</t>
  </si>
  <si>
    <t xml:space="preserve">Korting </t>
  </si>
  <si>
    <t>per staffel *1</t>
  </si>
  <si>
    <t>Benodigde componenten / Programmatuur</t>
  </si>
  <si>
    <t>per TB bij</t>
  </si>
  <si>
    <t>Vergoeding 
per uur</t>
  </si>
  <si>
    <t>Omscshrijving</t>
  </si>
  <si>
    <t>Consultancy</t>
  </si>
  <si>
    <t>Opleiding</t>
  </si>
  <si>
    <t>%</t>
  </si>
  <si>
    <t>Totaal kwaliteit</t>
  </si>
  <si>
    <t>Wensen</t>
  </si>
  <si>
    <t xml:space="preserve">Eisen </t>
  </si>
  <si>
    <t>Procenten</t>
  </si>
  <si>
    <t>Punten</t>
  </si>
  <si>
    <t>Opbouw Score voor kwaliteit</t>
  </si>
  <si>
    <t>*1</t>
  </si>
  <si>
    <t>Indicatie BPK-score</t>
  </si>
  <si>
    <t xml:space="preserve">Kwaliteit in eisen </t>
  </si>
  <si>
    <t>Score Kwaliteit</t>
  </si>
  <si>
    <t>Qbonus</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</si>
  <si>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</si>
  <si>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</si>
  <si>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</si>
  <si>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</si>
  <si>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</si>
  <si>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</si>
  <si>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</si>
  <si>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</si>
  <si>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</si>
  <si>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</si>
  <si>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</si>
  <si>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</si>
  <si>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</si>
  <si>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</si>
  <si>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</si>
  <si>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</si>
  <si>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</si>
  <si>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</si>
  <si>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</si>
  <si>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</si>
  <si>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</si>
  <si>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</si>
  <si>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</si>
  <si>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</si>
  <si>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</si>
  <si>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</si>
  <si>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</si>
  <si>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</si>
  <si>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</si>
  <si>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</si>
  <si>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</si>
  <si>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</si>
  <si>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</si>
  <si>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</si>
  <si>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</si>
  <si>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</si>
  <si>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</si>
  <si>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</si>
  <si>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LET OP  !!!</t>
  </si>
  <si>
    <t>Uw inschrijving</t>
  </si>
  <si>
    <t>Hulpdata Grafiek Superformule</t>
  </si>
  <si>
    <t>Gebruiksrecht o.b.v. Subscription</t>
  </si>
  <si>
    <t xml:space="preserve"> Kenmerk: IUC23-047</t>
  </si>
  <si>
    <t>Europese aanbesteding Data Storage Platform</t>
  </si>
  <si>
    <t>Indicatie aantal uren</t>
  </si>
  <si>
    <t>Jaren 3 t/m 10</t>
  </si>
  <si>
    <t>Jaren 2 t/m 10</t>
  </si>
  <si>
    <t>Jaren 1 en 2</t>
  </si>
  <si>
    <t xml:space="preserve">Indicatie aantal uren
per jaar </t>
  </si>
  <si>
    <t xml:space="preserve">Kortings- percentage
</t>
  </si>
  <si>
    <t>Node / bouwblok</t>
  </si>
  <si>
    <t>Data Storage Platform</t>
  </si>
  <si>
    <t>Naam Inschrijver:</t>
  </si>
  <si>
    <t>Support engineer</t>
  </si>
  <si>
    <t>Datacenter Apeldoorn, locatie Quintax</t>
  </si>
  <si>
    <t>Datacenter Apeldoorn, locatie Walterbos</t>
  </si>
  <si>
    <t>Omvang jaar 5</t>
  </si>
  <si>
    <t>Omvang jaar 6</t>
  </si>
  <si>
    <t>Omvang jaar 7</t>
  </si>
  <si>
    <t>Omvang jaar 8</t>
  </si>
  <si>
    <t>Omvang jaar 9</t>
  </si>
  <si>
    <t>Omvang jaar 10</t>
  </si>
  <si>
    <t xml:space="preserve">Initiele omvang </t>
  </si>
  <si>
    <t xml:space="preserve">Omvang jaar 4 </t>
  </si>
  <si>
    <t>Apparatuur</t>
  </si>
  <si>
    <t>TB</t>
  </si>
  <si>
    <t xml:space="preserve">Prijs per TB conform staffel </t>
  </si>
  <si>
    <t xml:space="preserve">Totaal aanschaf per jaar </t>
  </si>
  <si>
    <t>Jaar 6</t>
  </si>
  <si>
    <t>Jaar 7</t>
  </si>
  <si>
    <t>Jaar 8</t>
  </si>
  <si>
    <t>Jaar 9</t>
  </si>
  <si>
    <t>Jaar 10</t>
  </si>
  <si>
    <t xml:space="preserve">Omschrijving </t>
  </si>
  <si>
    <t>Aantal aan te schaffen TB</t>
  </si>
  <si>
    <t>Benodigde Programmatuur voor de DSP Oplossing (per Datacenter)</t>
  </si>
  <si>
    <t>Enterprise = onbeperkt gebruik van de DSP Oplossing!</t>
  </si>
  <si>
    <t>TOTAAL</t>
  </si>
  <si>
    <t>SUBTOTAAL</t>
  </si>
  <si>
    <t>Benodigde componenten (per Datacenter)</t>
  </si>
  <si>
    <t>hulpvelden</t>
  </si>
  <si>
    <t>Europese Aanbesteding</t>
  </si>
  <si>
    <t>BPK-Grafiek</t>
  </si>
  <si>
    <t>Kenmerk: IUC23-047</t>
  </si>
  <si>
    <t>(Prijzen exclusief BTW)</t>
  </si>
  <si>
    <t xml:space="preserve">      Indicatie eigen score</t>
  </si>
  <si>
    <r>
      <t xml:space="preserve">Eigen inschatting score kwaliteit </t>
    </r>
    <r>
      <rPr>
        <vertAlign val="superscript"/>
        <sz val="11"/>
        <color theme="1"/>
        <rFont val="Verdana"/>
        <family val="2"/>
      </rPr>
      <t>*1</t>
    </r>
  </si>
  <si>
    <t>Kenmerk</t>
  </si>
  <si>
    <t>IUC23-047</t>
  </si>
  <si>
    <t>1. Implementatie</t>
  </si>
  <si>
    <t>Implementatie</t>
  </si>
  <si>
    <t>Vaste Prijs</t>
  </si>
  <si>
    <t>Het Implementeren van de DSP Oplossing</t>
  </si>
  <si>
    <t>DSP Oplossing</t>
  </si>
  <si>
    <t>3. Gebruiksrecht DSP Oplossing</t>
  </si>
  <si>
    <t>Vergoeding Aanschaf jaar 4</t>
  </si>
  <si>
    <t>Vergoeding Aanschaf jaar 5</t>
  </si>
  <si>
    <t>Vergoeding Aanschaf jaar 6</t>
  </si>
  <si>
    <t>Vergoeding Aanschaf jaar 7</t>
  </si>
  <si>
    <t>Vergoeding Aanschaf jaar 8</t>
  </si>
  <si>
    <t>Vergoeding Aanschaf jaar 9</t>
  </si>
  <si>
    <t>Vergoeding Aanschaf jaar 10</t>
  </si>
  <si>
    <t>Aantal aan te schaffen TB Object Storage</t>
  </si>
  <si>
    <t>Gebruiksrecht Object Storage</t>
  </si>
  <si>
    <t>Totaal aanschaf Object Storage per jaar</t>
  </si>
  <si>
    <t>Totaal Onderhoud &amp; Support per jaar</t>
  </si>
  <si>
    <t>Prijs per TB Object Storage conform staffel</t>
  </si>
  <si>
    <t>Totaal Object Storage per jaar</t>
  </si>
  <si>
    <t>Ondersteuning Migratie</t>
  </si>
  <si>
    <t>Medior Migratie Consultant</t>
  </si>
  <si>
    <t>Senior Migratie Consultant</t>
  </si>
  <si>
    <t>Gebruiksrecht RDBMS</t>
  </si>
  <si>
    <t>Aantal aan te schaffen TB RDBMS</t>
  </si>
  <si>
    <t>Totaal aanschaf RDBMS per jaar</t>
  </si>
  <si>
    <t>Prijs per TB RDBMS conform staffel</t>
  </si>
  <si>
    <t>Totaal RDBMS per jaar</t>
  </si>
  <si>
    <t>Totaal (o.b.v. 2 Datacenters)</t>
  </si>
  <si>
    <t>Totaal (o.b.v.) 2 Datacenters</t>
  </si>
  <si>
    <t>Basistraining (online)</t>
  </si>
  <si>
    <t xml:space="preserve">Inclusief Documentatie 
</t>
  </si>
  <si>
    <t>Aantal Gebruikers per jaar</t>
  </si>
  <si>
    <t>3a. Gebruiksrecht DSP Oplossing (Aanschaf)</t>
  </si>
  <si>
    <t>2. Apparatuur (fysieke Configuratie)</t>
  </si>
  <si>
    <t>3c. Gebruiksrecht DSP Oplossing (Enterprise)</t>
  </si>
  <si>
    <t>4. Diensten</t>
  </si>
  <si>
    <t>5. Additionele diensten</t>
  </si>
  <si>
    <t>Samenvatting Apparatuur DSP Oplossing inclusief Beheer en Onderhoud (per Datacenter)</t>
  </si>
  <si>
    <t>Beheer en Onderhoud</t>
  </si>
  <si>
    <t>Vergoeding
 Beheer en Onderhoud 
Jaar 4</t>
  </si>
  <si>
    <t>Vergoeding
 Beheer en Onderhoud 
Jaar 5</t>
  </si>
  <si>
    <t>Vergoeding
 Beheer en Onderhoud 
Jaar 6</t>
  </si>
  <si>
    <t>Vergoeding
 Beheer en Onderhoud 
Jaar 7</t>
  </si>
  <si>
    <t>Vergoeding
 Beheer en Onderhoud 
Jaar 8</t>
  </si>
  <si>
    <t>Vergoeding
 Beheer en Onderhoud 
Jaar 9</t>
  </si>
  <si>
    <t>Vergoeding
 Beheer en Onderhoud 
Jaar 10</t>
  </si>
  <si>
    <t>Opgave Apparatuur DSP Oplossing inclusief Beheer &amp; Onderhoud (per Datacenter)</t>
  </si>
  <si>
    <t>Listprijs Beheer &amp; Onderhoud 
per stuk
in €</t>
  </si>
  <si>
    <t>Listprijs Beheer &amp; Onderhoud 
per stuk incl. korting</t>
  </si>
  <si>
    <t>Beheer &amp; Onderhoud</t>
  </si>
  <si>
    <t>Het Implementeren van de DSP Oplossing (incl. Opleiding Basistraining voor 550 Gebruikers, Train-de-trainer Advanced training voor 25 Gebruikers en Opleiding Technisch Applicatie Beheerders voor 6 Gebruikers).</t>
  </si>
  <si>
    <t>Technisch Applicatie Beheerders</t>
  </si>
  <si>
    <t>Object Storage</t>
  </si>
  <si>
    <t>Capaciteit Object Storage  (in TB)</t>
  </si>
  <si>
    <t>Capaciteit RDBMS  (in TB)</t>
  </si>
  <si>
    <t xml:space="preserve">Vergoeding
 Aanschaf
 jaar 1 </t>
  </si>
  <si>
    <t>Vergoeding Beheer &amp; Onderhoud Jaar 1, 2 en 3 (per jaar)</t>
  </si>
  <si>
    <t>Apparatuur RDBMS</t>
  </si>
  <si>
    <t>Beheer &amp; Onderhoud Apparatuur RDBMS</t>
  </si>
  <si>
    <t xml:space="preserve">Apparatuur Object Storage </t>
  </si>
  <si>
    <t>Vergoeding 
Beheer &amp; Onderhoud</t>
  </si>
  <si>
    <t>Beheer &amp; Onderhoud Apparatuur Object Storage</t>
  </si>
  <si>
    <t xml:space="preserve">Benodigd aantal
Jaar 1 </t>
  </si>
  <si>
    <t>Listprijs Beheer &amp; Onderhoud aanschaf
per stuk
in €</t>
  </si>
  <si>
    <t>Listprijs Bdeheer &amp; Onderhoud per stuk incl. korting</t>
  </si>
  <si>
    <t>Listprijs Beheer &amp; Onderhoud per stuk incl. korting</t>
  </si>
  <si>
    <t xml:space="preserve">RDBMS </t>
  </si>
  <si>
    <t>Apparatuur incl. Beheer en Onderhoud</t>
  </si>
  <si>
    <t>Aantal TB's RDBMS</t>
  </si>
  <si>
    <t>Prijs per TB RDBMS</t>
  </si>
  <si>
    <t>Totaal RDBMS</t>
  </si>
  <si>
    <t>Aantal TB's Object Storage</t>
  </si>
  <si>
    <t>Prijs per TB Object Storage</t>
  </si>
  <si>
    <t>Totaal Object Storage</t>
  </si>
  <si>
    <t xml:space="preserve"> Vergoeding
Beheer &amp; Onderhoud per TB obv cumulatief aantal</t>
  </si>
  <si>
    <t>Gebruiksrecht / Aanschaf DSP Oplossing inclusief Beheer &amp; Onderhoud (per Datacenter)</t>
  </si>
  <si>
    <t>Verruimde Openstelling</t>
  </si>
  <si>
    <t>Vergoeding 
per dagdeel (4 uur)</t>
  </si>
  <si>
    <t>Jaren 1 t/m 10</t>
  </si>
  <si>
    <t>Indicatie aantal dagdelen per jaar</t>
  </si>
  <si>
    <t>Ondersteunende technische werkzaamheden</t>
  </si>
  <si>
    <t>RDBMS (in TB)</t>
  </si>
  <si>
    <t>Object Storage (in TB)</t>
  </si>
  <si>
    <t xml:space="preserve"> Vergoeding Beheer &amp; Onderhoud per TB obv cumulatief aantal</t>
  </si>
  <si>
    <t>Beheer &amp; Onderhoud RDBMS</t>
  </si>
  <si>
    <t>Beheer &amp; Onderhoud Object Storage</t>
  </si>
  <si>
    <t xml:space="preserve">Vergoeding Beheer &amp; Onderhoud </t>
  </si>
  <si>
    <t>Totaal Beheer &amp; Onderhoud RDBMS per jaar</t>
  </si>
  <si>
    <t>Totaal Beheer &amp; Onderhoud Object Storage per jaar</t>
  </si>
  <si>
    <t>Gebruiksrecht / Subscription DSP Oplossing inclusief Beheer &amp; Onderhoud (per Datacenter)</t>
  </si>
  <si>
    <t>T.b.v. Vergelijkingswaarde</t>
  </si>
  <si>
    <t>Back-up &amp; Recovery</t>
  </si>
  <si>
    <t>Overig</t>
  </si>
  <si>
    <t>RDBMS Compute en memory</t>
  </si>
  <si>
    <t>RDBMS Storage</t>
  </si>
  <si>
    <t xml:space="preserve">
 Vergoeding 
per Opleiding per Gebruiker</t>
  </si>
  <si>
    <t xml:space="preserve">STAFFELS Uitbreiding Apparatuur DSP Oplossing inclusief Beheer &amp; Onderhoud </t>
  </si>
  <si>
    <t>Productnaam Programmatuur/add-on</t>
  </si>
  <si>
    <t>Train-de-trainer (voor advanced training)</t>
  </si>
  <si>
    <t>Extra Openstelling zoals beschreven in DAP</t>
  </si>
  <si>
    <t>Beschikbaar stellen conversie/migratietool (GUE 71)</t>
  </si>
  <si>
    <t>Vergoeding per maand</t>
  </si>
  <si>
    <t>Indicatie aantal maanden</t>
  </si>
  <si>
    <t>3b. Gebruiksrecht DSP Oplossing (Subscription)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</si>
</sst>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0_ ;\-#,##0\ "/>
    <numFmt numFmtId="166" formatCode="0_ ;\-0\ "/>
    <numFmt numFmtId="167" formatCode="_ * #,##0_ ;_ * \-#,##0_ ;_ * &quot;-&quot;??_ ;_ @_ "/>
    <numFmt numFmtId="168" formatCode="_-* #,##0.00_-;_-* #,##0.00\-;_-* &quot;-&quot;??_-;_-@_-"/>
    <numFmt numFmtId="169" formatCode="_-* #,##0_-;_-* #,##0\-;_-* &quot;-&quot;??_-;_-@_-"/>
    <numFmt numFmtId="170" formatCode="_-&quot;€&quot;\ * #,##0.00_-;_-&quot;€&quot;\ * #,##0.00\-;_-&quot;€&quot;\ * &quot;-&quot;??_-;_-@_-"/>
    <numFmt numFmtId="171" formatCode="0.0%"/>
    <numFmt numFmtId="172" formatCode="&quot;€&quot;\ #,##0.00"/>
    <numFmt numFmtId="173" formatCode="_(&quot;€&quot;* #,##0.00_);_(&quot;€&quot;* \(#,##0.00\);_(&quot;€&quot;* &quot;-&quot;??_);_(@_)"/>
    <numFmt numFmtId="174" formatCode="##0.0\ &quot;TB&quot;"/>
    <numFmt numFmtId="175" formatCode="_ &quot;€&quot;\ * #,##0.000_ ;_ &quot;€&quot;\ * \-#,##0.000_ ;_ &quot;€&quot;\ * &quot;-&quot;???_ ;_ @_ "/>
    <numFmt numFmtId="176" formatCode="_(* #,##0.00_);_(* \(#,##0.00\);_(* &quot;-&quot;??_);_(@_)"/>
    <numFmt numFmtId="177" formatCode="0.0"/>
    <numFmt numFmtId="178" formatCode="0.000"/>
    <numFmt numFmtId="179" formatCode="&quot;€&quot;#,##0.00_);\(&quot;€&quot;#,##0.00\)"/>
    <numFmt numFmtId="180" formatCode="_ &quot;€&quot;\ * #,##0_ ;_ &quot;€&quot;\ * \-#,##0_ ;_ &quot;€&quot;\ * &quot;-&quot;??_ ;_ @_ "/>
    <numFmt numFmtId="181" formatCode="#,##0.0"/>
    <numFmt numFmtId="182" formatCode="##0\ &quot;TB&quot;"/>
  </numFmts>
  <fonts count="54"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0"/>
      <name val="Helv"/>
      <family val="2"/>
    </font>
    <font>
      <sz val="10"/>
      <name val="RijksoverheidSansWebText Regula"/>
      <family val="2"/>
    </font>
    <font>
      <sz val="10"/>
      <color indexed="9"/>
      <name val="RijksoverheidSansWebText Regula"/>
      <family val="2"/>
    </font>
    <font>
      <sz val="10"/>
      <color theme="1"/>
      <name val="RijksoverheidSansWebText Regula"/>
      <family val="2"/>
    </font>
    <font>
      <b/>
      <sz val="10"/>
      <name val="RijksoverheidSansWebText Regula"/>
      <family val="2"/>
    </font>
    <font>
      <b/>
      <sz val="8"/>
      <color indexed="10"/>
      <name val="RijksoverheidSansWebText Regula"/>
      <family val="2"/>
    </font>
    <font>
      <b/>
      <sz val="12"/>
      <color indexed="10"/>
      <name val="RijksoverheidSansWebText Regula"/>
      <family val="2"/>
    </font>
    <font>
      <b/>
      <sz val="18"/>
      <color theme="1"/>
      <name val="RijksoverheidSansWebText Regula"/>
      <family val="2"/>
    </font>
    <font>
      <b/>
      <sz val="16"/>
      <color theme="0"/>
      <name val="RijksoverheidSansWebText Regula"/>
      <family val="2"/>
    </font>
    <font>
      <b/>
      <sz val="10"/>
      <color theme="1"/>
      <name val="RijksoverheidSansWebText Regula"/>
      <family val="2"/>
    </font>
    <font>
      <sz val="8"/>
      <name val="RijksoverheidSansWebText Regula"/>
      <family val="2"/>
    </font>
    <font>
      <b/>
      <sz val="12"/>
      <color theme="1"/>
      <name val="RijksoverheidSansWebText Regula"/>
      <family val="2"/>
    </font>
    <font>
      <sz val="12"/>
      <name val="RijksoverheidSansWebText Regula"/>
      <family val="2"/>
    </font>
    <font>
      <b/>
      <sz val="11"/>
      <color theme="1"/>
      <name val="RijksoverheidSansWebText Regula"/>
      <family val="2"/>
    </font>
    <font>
      <b/>
      <sz val="12"/>
      <name val="RijksoverheidSansWebText Regula"/>
      <family val="2"/>
    </font>
    <font>
      <sz val="11"/>
      <color theme="1"/>
      <name val="RijksoverheidSansWebText Regula"/>
      <family val="2"/>
    </font>
    <font>
      <sz val="8"/>
      <color theme="1"/>
      <name val="RijksoverheidSansWebText Regula"/>
      <family val="2"/>
    </font>
    <font>
      <b/>
      <sz val="8"/>
      <color theme="1"/>
      <name val="RijksoverheidSansWebText Regula"/>
      <family val="2"/>
    </font>
    <font>
      <b/>
      <sz val="16"/>
      <color theme="1"/>
      <name val="RijksoverheidSansWebText Regula"/>
      <family val="2"/>
    </font>
    <font>
      <sz val="12"/>
      <color theme="1"/>
      <name val="RijksoverheidSansWebText Regula"/>
      <family val="2"/>
    </font>
    <font>
      <b/>
      <sz val="18"/>
      <color indexed="10"/>
      <name val="RijksoverheidSansWebText Regula"/>
      <family val="2"/>
    </font>
    <font>
      <b/>
      <sz val="14"/>
      <color theme="1"/>
      <name val="RijksoverheidSansWebText Regula"/>
      <family val="2"/>
    </font>
    <font>
      <sz val="10"/>
      <color indexed="8"/>
      <name val="RijksoverheidSansWebText Regula"/>
      <family val="2"/>
    </font>
    <font>
      <sz val="18"/>
      <color theme="1"/>
      <name val="RijksoverheidSansWebText Regula"/>
      <family val="2"/>
    </font>
    <font>
      <sz val="11"/>
      <name val="RijksoverheidSansWebText Regula"/>
      <family val="2"/>
    </font>
    <font>
      <sz val="11"/>
      <color theme="0" tint="-0.14996795556505021"/>
      <name val="Calibri"/>
      <family val="2"/>
      <scheme val="minor"/>
    </font>
    <font>
      <sz val="11"/>
      <color theme="0" tint="-0.14996795556505021"/>
      <name val="Verdana"/>
      <family val="2"/>
    </font>
    <font>
      <b/>
      <sz val="11"/>
      <color theme="0" tint="-0.14996795556505021"/>
      <name val="Verdana"/>
      <family val="2"/>
    </font>
    <font>
      <i/>
      <sz val="11"/>
      <color theme="0" tint="-0.14996795556505021"/>
      <name val="Verdana"/>
      <family val="2"/>
    </font>
    <font>
      <sz val="12"/>
      <color theme="0" tint="-0.14996795556505021"/>
      <name val="Verdana"/>
      <family val="2"/>
    </font>
    <font>
      <i/>
      <sz val="12"/>
      <color theme="0" tint="-0.14996795556505021"/>
      <name val="Verdana"/>
      <family val="2"/>
    </font>
    <font>
      <b/>
      <sz val="12"/>
      <color theme="0" tint="-0.14996795556505021"/>
      <name val="Verdana"/>
      <family val="2"/>
    </font>
    <font>
      <sz val="24"/>
      <color theme="0" tint="-0.14996795556505021"/>
      <name val="Verdana"/>
      <family val="2"/>
    </font>
    <font>
      <sz val="8"/>
      <name val="Calibri"/>
      <family val="2"/>
      <scheme val="minor"/>
    </font>
    <font>
      <sz val="8"/>
      <name val="Verdana"/>
      <family val="2"/>
    </font>
    <font>
      <sz val="11"/>
      <color theme="1"/>
      <name val="Verdana"/>
      <family val="2"/>
    </font>
    <font>
      <b/>
      <sz val="18"/>
      <color theme="1"/>
      <name val="Verdana"/>
      <family val="2"/>
    </font>
    <font>
      <sz val="10"/>
      <color theme="1"/>
      <name val="Verdana"/>
      <family val="2"/>
    </font>
    <font>
      <b/>
      <sz val="14"/>
      <color theme="1"/>
      <name val="Verdana"/>
      <family val="2"/>
    </font>
    <font>
      <b/>
      <sz val="20"/>
      <color theme="0"/>
      <name val="Verdana"/>
      <family val="2"/>
    </font>
    <font>
      <b/>
      <sz val="11"/>
      <color theme="1"/>
      <name val="Verdana"/>
      <family val="2"/>
    </font>
    <font>
      <i/>
      <sz val="10"/>
      <color theme="1"/>
      <name val="Verdana"/>
      <family val="2"/>
    </font>
    <font>
      <sz val="10"/>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b/>
      <sz val="8"/>
      <color theme="1"/>
      <name val="Verdana"/>
      <family val="2"/>
    </font>
    <font>
      <b/>
      <sz val="10"/>
      <color theme="1"/>
      <name val="Verdana"/>
      <family val="2"/>
    </font>
    <font>
      <b/>
      <sz val="10"/>
      <name val="Verdana"/>
      <family val="2"/>
    </font>
  </fonts>
  <fills count="12">
    <fill>
      <patternFill patternType="none"/>
    </fill>
    <fill>
      <patternFill patternType="gray125"/>
    </fill>
    <fill>
      <patternFill patternType="solid">
        <fgColor rgb="FFFFFFCC"/>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theme="6" tint="0.79998168889431442"/>
        <bgColor indexed="64"/>
      </patternFill>
    </fill>
    <fill>
      <patternFill patternType="solid">
        <fgColor rgb="FFFFFF99"/>
        <bgColor indexed="64"/>
      </patternFill>
    </fill>
    <fill>
      <patternFill patternType="solid">
        <fgColor theme="6" tint="0.39997558519241921"/>
        <bgColor indexed="64"/>
      </patternFill>
    </fill>
    <fill>
      <patternFill patternType="solid">
        <fgColor theme="6" tint="0.59999389629810485"/>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5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8"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3" fillId="2" borderId="1" applyNumberFormat="0" applyFont="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 fillId="0" borderId="0"/>
    <xf numFmtId="170"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 fillId="0" borderId="0"/>
    <xf numFmtId="17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9" fontId="1" fillId="0" borderId="0" applyFont="0" applyFill="0" applyBorder="0" applyAlignment="0" applyProtection="0"/>
  </cellStyleXfs>
  <cellXfs count="520">
    <xf numFmtId="0" fontId="0" fillId="0" borderId="0" xfId="0"/>
    <xf numFmtId="164" fontId="5" fillId="5" borderId="6" xfId="3" applyNumberFormat="1" applyFont="1" applyFill="1" applyBorder="1" applyAlignment="1" applyProtection="1">
      <alignment horizontal="right"/>
      <protection locked="0"/>
    </xf>
    <xf numFmtId="164" fontId="5" fillId="5" borderId="6" xfId="3" applyNumberFormat="1" applyFont="1" applyFill="1" applyBorder="1" applyProtection="1">
      <protection locked="0"/>
    </xf>
    <xf numFmtId="1" fontId="14" fillId="0" borderId="0" xfId="0" applyNumberFormat="1" applyFont="1" applyFill="1" applyBorder="1" applyProtection="1"/>
    <xf numFmtId="0" fontId="26" fillId="5" borderId="6" xfId="0" applyNumberFormat="1" applyFont="1" applyFill="1" applyBorder="1" applyAlignment="1" applyProtection="1">
      <alignment horizontal="left"/>
      <protection locked="0"/>
    </xf>
    <xf numFmtId="44" fontId="7" fillId="5" borderId="6" xfId="44" applyFont="1" applyFill="1" applyBorder="1" applyAlignment="1" applyProtection="1">
      <alignment horizontal="right"/>
      <protection locked="0"/>
    </xf>
    <xf numFmtId="44" fontId="7" fillId="5" borderId="6" xfId="44" applyFont="1" applyFill="1" applyBorder="1" applyAlignment="1" applyProtection="1">
      <protection locked="0"/>
    </xf>
    <xf numFmtId="169" fontId="26" fillId="0" borderId="6" xfId="1" applyNumberFormat="1" applyFont="1" applyFill="1" applyBorder="1" applyAlignment="1" applyProtection="1">
      <alignment horizontal="right"/>
      <protection locked="0"/>
    </xf>
    <xf numFmtId="171" fontId="7" fillId="5" borderId="6" xfId="2" applyNumberFormat="1" applyFont="1" applyFill="1" applyBorder="1" applyAlignment="1" applyProtection="1">
      <alignment horizontal="right"/>
      <protection locked="0"/>
    </xf>
    <xf numFmtId="0" fontId="26" fillId="5" borderId="6" xfId="0" applyFont="1" applyFill="1" applyBorder="1" applyAlignment="1" applyProtection="1">
      <alignment horizontal="left"/>
      <protection locked="0"/>
    </xf>
    <xf numFmtId="169" fontId="26" fillId="9" borderId="6" xfId="1" applyNumberFormat="1" applyFont="1" applyFill="1" applyBorder="1" applyAlignment="1" applyProtection="1">
      <alignment horizontal="right"/>
      <protection locked="0"/>
    </xf>
    <xf numFmtId="164" fontId="7" fillId="9" borderId="17" xfId="0" applyNumberFormat="1" applyFont="1" applyFill="1" applyBorder="1" applyProtection="1">
      <protection locked="0"/>
    </xf>
    <xf numFmtId="9" fontId="7" fillId="9" borderId="6" xfId="2" applyFont="1" applyFill="1" applyBorder="1" applyAlignment="1" applyProtection="1">
      <alignment horizontal="right"/>
      <protection locked="0"/>
    </xf>
    <xf numFmtId="0" fontId="7" fillId="5" borderId="6" xfId="0" applyFont="1" applyFill="1" applyBorder="1" applyAlignment="1" applyProtection="1">
      <alignment horizontal="left"/>
      <protection locked="0"/>
    </xf>
    <xf numFmtId="0" fontId="9" fillId="0" borderId="0" xfId="3" applyFont="1" applyProtection="1"/>
    <xf numFmtId="0" fontId="9" fillId="7" borderId="0" xfId="3" applyFont="1" applyFill="1" applyBorder="1" applyProtection="1"/>
    <xf numFmtId="0" fontId="10" fillId="0" borderId="0" xfId="3" applyFont="1" applyProtection="1"/>
    <xf numFmtId="0" fontId="11" fillId="3" borderId="0" xfId="0" applyFont="1" applyFill="1" applyBorder="1" applyProtection="1"/>
    <xf numFmtId="164" fontId="7" fillId="3" borderId="0" xfId="0" applyNumberFormat="1" applyFont="1" applyFill="1" applyBorder="1" applyAlignment="1" applyProtection="1">
      <alignment horizontal="right"/>
    </xf>
    <xf numFmtId="0" fontId="12" fillId="3" borderId="0" xfId="0" applyFont="1" applyFill="1" applyBorder="1" applyProtection="1"/>
    <xf numFmtId="0" fontId="13" fillId="3" borderId="0" xfId="0" applyFont="1" applyFill="1" applyAlignment="1" applyProtection="1"/>
    <xf numFmtId="0" fontId="7" fillId="3" borderId="0" xfId="0" applyFont="1" applyFill="1" applyBorder="1" applyProtection="1"/>
    <xf numFmtId="0" fontId="5" fillId="0" borderId="0" xfId="3" applyFont="1" applyProtection="1"/>
    <xf numFmtId="0" fontId="13" fillId="3" borderId="0" xfId="0" applyFont="1" applyFill="1" applyBorder="1" applyAlignment="1" applyProtection="1">
      <alignment horizontal="right"/>
    </xf>
    <xf numFmtId="164" fontId="13" fillId="3" borderId="0" xfId="0" applyNumberFormat="1" applyFont="1" applyFill="1" applyBorder="1" applyAlignment="1" applyProtection="1">
      <alignment horizontal="right"/>
    </xf>
    <xf numFmtId="0" fontId="13" fillId="3" borderId="0" xfId="0" applyFont="1" applyFill="1" applyBorder="1" applyProtection="1"/>
    <xf numFmtId="164" fontId="5" fillId="0" borderId="8" xfId="3" applyNumberFormat="1" applyFont="1" applyFill="1" applyBorder="1" applyProtection="1"/>
    <xf numFmtId="164" fontId="5" fillId="0" borderId="0" xfId="3" applyNumberFormat="1" applyFont="1" applyFill="1" applyBorder="1" applyAlignment="1" applyProtection="1">
      <alignment horizontal="right"/>
    </xf>
    <xf numFmtId="0" fontId="11" fillId="3" borderId="12" xfId="0" applyFont="1" applyFill="1" applyBorder="1" applyAlignment="1" applyProtection="1">
      <alignment horizontal="left" vertical="top"/>
    </xf>
    <xf numFmtId="164" fontId="13" fillId="3" borderId="15" xfId="0" applyNumberFormat="1" applyFont="1" applyFill="1" applyBorder="1" applyAlignment="1" applyProtection="1">
      <alignment horizontal="right" vertical="top"/>
    </xf>
    <xf numFmtId="164" fontId="13" fillId="3" borderId="15" xfId="0" applyNumberFormat="1" applyFont="1" applyFill="1" applyBorder="1" applyAlignment="1" applyProtection="1">
      <alignment horizontal="right"/>
    </xf>
    <xf numFmtId="164" fontId="13" fillId="3" borderId="16" xfId="0" applyNumberFormat="1" applyFont="1" applyFill="1" applyBorder="1" applyAlignment="1" applyProtection="1">
      <alignment horizontal="right" wrapText="1"/>
    </xf>
    <xf numFmtId="166" fontId="7" fillId="0" borderId="0" xfId="1" applyNumberFormat="1" applyFont="1" applyFill="1" applyBorder="1" applyAlignment="1" applyProtection="1">
      <alignment vertical="top"/>
    </xf>
    <xf numFmtId="0" fontId="15" fillId="3" borderId="12" xfId="0" applyFont="1" applyFill="1" applyBorder="1" applyAlignment="1" applyProtection="1">
      <alignment horizontal="left" vertical="top"/>
    </xf>
    <xf numFmtId="1" fontId="16" fillId="3" borderId="16" xfId="0" applyNumberFormat="1" applyFont="1" applyFill="1" applyBorder="1" applyProtection="1"/>
    <xf numFmtId="1" fontId="16" fillId="0" borderId="0" xfId="0" applyNumberFormat="1" applyFont="1" applyFill="1" applyBorder="1" applyProtection="1"/>
    <xf numFmtId="164" fontId="7" fillId="0" borderId="0" xfId="3" applyNumberFormat="1" applyFont="1" applyProtection="1"/>
    <xf numFmtId="0" fontId="13" fillId="3" borderId="6" xfId="0" applyFont="1" applyFill="1" applyBorder="1" applyAlignment="1" applyProtection="1">
      <alignment horizontal="right"/>
    </xf>
    <xf numFmtId="0" fontId="5" fillId="0" borderId="0" xfId="3" applyFont="1" applyAlignment="1" applyProtection="1">
      <alignment horizontal="right"/>
    </xf>
    <xf numFmtId="0" fontId="7" fillId="0" borderId="6" xfId="0" applyFont="1" applyFill="1" applyBorder="1" applyAlignment="1" applyProtection="1">
      <alignment horizontal="right"/>
    </xf>
    <xf numFmtId="7" fontId="7" fillId="4" borderId="6" xfId="1" applyNumberFormat="1" applyFont="1" applyFill="1" applyBorder="1" applyAlignment="1" applyProtection="1">
      <alignment horizontal="right"/>
    </xf>
    <xf numFmtId="7" fontId="7" fillId="4" borderId="0" xfId="1" applyNumberFormat="1" applyFont="1" applyFill="1" applyBorder="1" applyAlignment="1" applyProtection="1">
      <alignment horizontal="right"/>
    </xf>
    <xf numFmtId="0" fontId="13" fillId="0" borderId="6" xfId="0" applyFont="1" applyFill="1" applyBorder="1" applyAlignment="1" applyProtection="1">
      <alignment horizontal="right"/>
    </xf>
    <xf numFmtId="7" fontId="13" fillId="4" borderId="17" xfId="1" applyNumberFormat="1" applyFont="1" applyFill="1" applyBorder="1" applyAlignment="1" applyProtection="1">
      <alignment horizontal="right"/>
    </xf>
    <xf numFmtId="7" fontId="13" fillId="4" borderId="0" xfId="1" applyNumberFormat="1" applyFont="1" applyFill="1" applyBorder="1" applyAlignment="1" applyProtection="1">
      <alignment horizontal="right"/>
    </xf>
    <xf numFmtId="7" fontId="17" fillId="8" borderId="17" xfId="0" applyNumberFormat="1" applyFont="1" applyFill="1" applyBorder="1" applyProtection="1"/>
    <xf numFmtId="166" fontId="7" fillId="0" borderId="0" xfId="1" applyNumberFormat="1" applyFont="1" applyFill="1" applyBorder="1" applyAlignment="1" applyProtection="1">
      <alignment horizontal="center" vertical="top"/>
    </xf>
    <xf numFmtId="164" fontId="5" fillId="0" borderId="0" xfId="3" applyNumberFormat="1" applyFont="1" applyFill="1" applyBorder="1" applyProtection="1"/>
    <xf numFmtId="44" fontId="7" fillId="0" borderId="0" xfId="5" applyNumberFormat="1" applyFont="1" applyFill="1" applyBorder="1" applyProtection="1"/>
    <xf numFmtId="164" fontId="7" fillId="0" borderId="0" xfId="3" applyNumberFormat="1" applyFont="1" applyFill="1" applyBorder="1" applyAlignment="1" applyProtection="1">
      <alignment horizontal="right"/>
    </xf>
    <xf numFmtId="173" fontId="30" fillId="4" borderId="0" xfId="48" applyFont="1" applyFill="1" applyBorder="1" applyAlignment="1" applyProtection="1">
      <alignment horizontal="right" vertical="center"/>
      <protection locked="0"/>
    </xf>
    <xf numFmtId="173" fontId="30" fillId="4" borderId="0" xfId="48" applyFont="1" applyFill="1" applyBorder="1" applyAlignment="1" applyProtection="1">
      <alignment horizontal="center" vertical="center"/>
      <protection locked="0"/>
    </xf>
    <xf numFmtId="180" fontId="30" fillId="4" borderId="0" xfId="48" applyNumberFormat="1" applyFont="1" applyFill="1" applyBorder="1" applyAlignment="1" applyProtection="1">
      <alignment horizontal="right" vertical="center"/>
      <protection locked="0"/>
    </xf>
    <xf numFmtId="179" fontId="32" fillId="4" borderId="0" xfId="48" applyNumberFormat="1" applyFont="1" applyFill="1" applyBorder="1" applyAlignment="1" applyProtection="1">
      <alignment horizontal="right" vertical="center"/>
      <protection locked="0"/>
    </xf>
    <xf numFmtId="172" fontId="7" fillId="9" borderId="6" xfId="47" applyNumberFormat="1" applyFont="1" applyFill="1" applyBorder="1" applyAlignment="1" applyProtection="1">
      <alignment horizontal="left" vertical="top"/>
      <protection locked="0"/>
    </xf>
    <xf numFmtId="0" fontId="5" fillId="9" borderId="6" xfId="47" applyFont="1" applyFill="1" applyBorder="1" applyAlignment="1" applyProtection="1">
      <alignment horizontal="left" vertical="top"/>
      <protection locked="0"/>
    </xf>
    <xf numFmtId="3" fontId="7" fillId="9" borderId="12" xfId="0" applyNumberFormat="1" applyFont="1" applyFill="1" applyBorder="1" applyAlignment="1" applyProtection="1">
      <alignment horizontal="right" vertical="top"/>
      <protection locked="0"/>
    </xf>
    <xf numFmtId="172" fontId="7" fillId="5" borderId="6" xfId="0" applyNumberFormat="1" applyFont="1" applyFill="1" applyBorder="1" applyAlignment="1" applyProtection="1">
      <alignment horizontal="right" vertical="top"/>
      <protection locked="0"/>
    </xf>
    <xf numFmtId="10" fontId="7" fillId="5" borderId="6" xfId="0" applyNumberFormat="1" applyFont="1" applyFill="1" applyBorder="1" applyAlignment="1" applyProtection="1">
      <alignment horizontal="right" vertical="top"/>
      <protection locked="0"/>
    </xf>
    <xf numFmtId="172" fontId="7" fillId="9" borderId="6" xfId="0" applyNumberFormat="1" applyFont="1" applyFill="1" applyBorder="1" applyAlignment="1" applyProtection="1">
      <alignment horizontal="right" vertical="top"/>
      <protection locked="0"/>
    </xf>
    <xf numFmtId="10" fontId="5" fillId="9" borderId="6" xfId="47" applyNumberFormat="1" applyFont="1" applyFill="1" applyBorder="1" applyAlignment="1" applyProtection="1">
      <alignment horizontal="right" vertical="top" wrapText="1"/>
      <protection locked="0"/>
    </xf>
    <xf numFmtId="3" fontId="7" fillId="9" borderId="6" xfId="0" applyNumberFormat="1" applyFont="1" applyFill="1" applyBorder="1" applyAlignment="1" applyProtection="1">
      <alignment horizontal="right" vertical="top"/>
      <protection locked="0"/>
    </xf>
    <xf numFmtId="0" fontId="7" fillId="0" borderId="6" xfId="0" applyFont="1" applyFill="1" applyBorder="1" applyAlignment="1" applyProtection="1">
      <alignment horizontal="right"/>
    </xf>
    <xf numFmtId="0" fontId="13" fillId="0" borderId="0" xfId="0" applyFont="1" applyFill="1" applyBorder="1" applyAlignment="1" applyProtection="1">
      <alignment horizontal="right"/>
    </xf>
    <xf numFmtId="7" fontId="5" fillId="0" borderId="0" xfId="3" applyNumberFormat="1" applyFont="1" applyProtection="1"/>
    <xf numFmtId="7" fontId="18" fillId="6" borderId="17" xfId="3" applyNumberFormat="1" applyFont="1" applyFill="1" applyBorder="1" applyProtection="1"/>
    <xf numFmtId="7" fontId="17" fillId="4" borderId="17" xfId="0" applyNumberFormat="1" applyFont="1" applyFill="1" applyBorder="1" applyProtection="1"/>
    <xf numFmtId="7" fontId="17" fillId="8" borderId="17" xfId="0" applyNumberFormat="1" applyFont="1" applyFill="1" applyBorder="1" applyAlignment="1" applyProtection="1">
      <alignment horizontal="right"/>
    </xf>
    <xf numFmtId="7" fontId="17" fillId="4" borderId="17" xfId="0" applyNumberFormat="1" applyFont="1" applyFill="1" applyBorder="1" applyAlignment="1" applyProtection="1">
      <alignment horizontal="right"/>
    </xf>
    <xf numFmtId="1" fontId="14" fillId="4" borderId="0" xfId="0" applyNumberFormat="1" applyFont="1" applyFill="1" applyBorder="1" applyProtection="1"/>
    <xf numFmtId="0" fontId="38" fillId="0" borderId="0" xfId="0" applyFont="1" applyProtection="1">
      <protection hidden="1"/>
    </xf>
    <xf numFmtId="0" fontId="39" fillId="0" borderId="0" xfId="0" applyFont="1" applyProtection="1">
      <protection hidden="1"/>
    </xf>
    <xf numFmtId="0" fontId="40" fillId="3" borderId="0" xfId="0" applyFont="1" applyFill="1" applyProtection="1">
      <protection hidden="1"/>
    </xf>
    <xf numFmtId="0" fontId="41" fillId="3" borderId="0" xfId="0" applyFont="1" applyFill="1" applyProtection="1">
      <protection hidden="1"/>
    </xf>
    <xf numFmtId="0" fontId="39" fillId="3" borderId="0" xfId="0" applyFont="1" applyFill="1" applyProtection="1">
      <protection hidden="1"/>
    </xf>
    <xf numFmtId="0" fontId="42" fillId="3" borderId="0" xfId="0" applyFont="1" applyFill="1" applyProtection="1">
      <protection hidden="1"/>
    </xf>
    <xf numFmtId="0" fontId="43" fillId="3" borderId="0" xfId="0" applyFont="1" applyFill="1" applyProtection="1">
      <protection hidden="1"/>
    </xf>
    <xf numFmtId="0" fontId="44" fillId="3" borderId="0" xfId="0" applyFont="1" applyFill="1" applyAlignment="1" applyProtection="1">
      <alignment vertical="center"/>
      <protection hidden="1"/>
    </xf>
    <xf numFmtId="0" fontId="45" fillId="3" borderId="0" xfId="0" applyFont="1" applyFill="1" applyAlignment="1" applyProtection="1">
      <alignment vertical="center"/>
      <protection hidden="1"/>
    </xf>
    <xf numFmtId="1" fontId="46" fillId="0" borderId="8" xfId="0" applyNumberFormat="1" applyFont="1" applyBorder="1" applyProtection="1">
      <protection hidden="1"/>
    </xf>
    <xf numFmtId="1" fontId="38" fillId="0" borderId="8" xfId="0" applyNumberFormat="1" applyFont="1" applyBorder="1" applyAlignment="1" applyProtection="1">
      <alignment horizontal="right"/>
      <protection hidden="1"/>
    </xf>
    <xf numFmtId="1" fontId="38" fillId="0" borderId="8" xfId="0" applyNumberFormat="1" applyFont="1" applyBorder="1" applyProtection="1">
      <protection hidden="1"/>
    </xf>
    <xf numFmtId="1" fontId="47" fillId="0" borderId="8" xfId="0" applyNumberFormat="1" applyFont="1" applyBorder="1" applyProtection="1">
      <protection hidden="1"/>
    </xf>
    <xf numFmtId="173" fontId="38" fillId="0" borderId="0" xfId="48" applyFont="1" applyAlignment="1" applyProtection="1">
      <alignment horizontal="left"/>
      <protection hidden="1"/>
    </xf>
    <xf numFmtId="0" fontId="39" fillId="0" borderId="0" xfId="0" applyFont="1" applyAlignment="1" applyProtection="1">
      <alignment wrapText="1"/>
      <protection hidden="1"/>
    </xf>
    <xf numFmtId="179" fontId="48" fillId="6" borderId="6" xfId="48" quotePrefix="1" applyNumberFormat="1" applyFont="1" applyFill="1" applyBorder="1" applyAlignment="1" applyProtection="1">
      <alignment horizontal="right" vertical="center" wrapText="1"/>
      <protection hidden="1"/>
    </xf>
    <xf numFmtId="3" fontId="48" fillId="4" borderId="6" xfId="0" quotePrefix="1" applyNumberFormat="1" applyFont="1" applyFill="1" applyBorder="1" applyAlignment="1" applyProtection="1">
      <alignment horizontal="right" vertical="center" wrapText="1"/>
      <protection hidden="1"/>
    </xf>
    <xf numFmtId="177" fontId="48" fillId="0" borderId="12" xfId="0" applyNumberFormat="1" applyFont="1" applyBorder="1" applyAlignment="1" applyProtection="1">
      <alignment horizontal="right" vertical="center"/>
      <protection hidden="1"/>
    </xf>
    <xf numFmtId="177" fontId="48" fillId="0" borderId="16" xfId="0" applyNumberFormat="1" applyFont="1" applyBorder="1" applyAlignment="1" applyProtection="1">
      <alignment horizontal="left" vertical="center"/>
      <protection hidden="1"/>
    </xf>
    <xf numFmtId="181" fontId="39" fillId="9" borderId="6" xfId="50" applyNumberFormat="1" applyFont="1" applyFill="1" applyBorder="1" applyAlignment="1" applyProtection="1">
      <alignment horizontal="right" vertical="center" wrapText="1"/>
      <protection locked="0"/>
    </xf>
    <xf numFmtId="0" fontId="39" fillId="0" borderId="12" xfId="0" applyFont="1" applyBorder="1" applyAlignment="1" applyProtection="1">
      <alignment horizontal="center" vertical="center"/>
      <protection hidden="1"/>
    </xf>
    <xf numFmtId="3" fontId="39" fillId="0" borderId="6" xfId="0" applyNumberFormat="1" applyFont="1" applyBorder="1" applyAlignment="1" applyProtection="1">
      <alignment horizontal="right" vertical="center"/>
      <protection hidden="1"/>
    </xf>
    <xf numFmtId="178" fontId="50" fillId="0" borderId="6" xfId="0" applyNumberFormat="1" applyFont="1" applyBorder="1" applyAlignment="1" applyProtection="1">
      <alignment horizontal="right" vertical="center"/>
      <protection hidden="1"/>
    </xf>
    <xf numFmtId="0" fontId="49" fillId="0" borderId="12" xfId="0" applyFont="1" applyBorder="1" applyAlignment="1" applyProtection="1">
      <alignment horizontal="right" vertical="center"/>
      <protection hidden="1"/>
    </xf>
    <xf numFmtId="0" fontId="45" fillId="0" borderId="15" xfId="30" applyFont="1" applyBorder="1" applyAlignment="1" applyProtection="1">
      <alignment vertical="center"/>
      <protection hidden="1"/>
    </xf>
    <xf numFmtId="0" fontId="48" fillId="0" borderId="16" xfId="30" applyFont="1" applyBorder="1" applyAlignment="1" applyProtection="1">
      <alignment vertical="center"/>
      <protection hidden="1"/>
    </xf>
    <xf numFmtId="0" fontId="48" fillId="0" borderId="9" xfId="30" applyFont="1" applyBorder="1" applyAlignment="1" applyProtection="1">
      <alignment vertical="center"/>
      <protection hidden="1"/>
    </xf>
    <xf numFmtId="0" fontId="48" fillId="0" borderId="0" xfId="30" applyFont="1" applyAlignment="1" applyProtection="1">
      <alignment horizontal="left" vertical="center"/>
      <protection hidden="1"/>
    </xf>
    <xf numFmtId="0" fontId="49" fillId="0" borderId="0" xfId="0" applyFont="1" applyAlignment="1" applyProtection="1">
      <alignment horizontal="right" vertical="center"/>
      <protection hidden="1"/>
    </xf>
    <xf numFmtId="0" fontId="44" fillId="3" borderId="3" xfId="0" applyFont="1" applyFill="1" applyBorder="1" applyAlignment="1" applyProtection="1">
      <alignment horizontal="right" vertical="center" wrapText="1"/>
      <protection hidden="1"/>
    </xf>
    <xf numFmtId="0" fontId="48" fillId="0" borderId="0" xfId="0" applyFont="1" applyProtection="1">
      <protection hidden="1"/>
    </xf>
    <xf numFmtId="3" fontId="39" fillId="0" borderId="3" xfId="0" applyNumberFormat="1" applyFont="1" applyBorder="1" applyAlignment="1" applyProtection="1">
      <alignment horizontal="right" vertical="center"/>
      <protection hidden="1"/>
    </xf>
    <xf numFmtId="177" fontId="48" fillId="0" borderId="3" xfId="0" applyNumberFormat="1" applyFont="1" applyBorder="1" applyAlignment="1" applyProtection="1">
      <alignment horizontal="right" vertical="center"/>
      <protection hidden="1"/>
    </xf>
    <xf numFmtId="177" fontId="48" fillId="0" borderId="3" xfId="0" applyNumberFormat="1" applyFont="1" applyBorder="1" applyAlignment="1" applyProtection="1">
      <alignment horizontal="left" vertical="center"/>
      <protection hidden="1"/>
    </xf>
    <xf numFmtId="0" fontId="0" fillId="0" borderId="0" xfId="0" applyProtection="1">
      <protection hidden="1"/>
    </xf>
    <xf numFmtId="0" fontId="44" fillId="3" borderId="9" xfId="0" applyFont="1" applyFill="1" applyBorder="1" applyAlignment="1" applyProtection="1">
      <alignment horizontal="center" vertical="center"/>
      <protection hidden="1"/>
    </xf>
    <xf numFmtId="0" fontId="44" fillId="3" borderId="0" xfId="0" applyFont="1" applyFill="1" applyAlignment="1" applyProtection="1">
      <alignment horizontal="center" vertical="center"/>
      <protection hidden="1"/>
    </xf>
    <xf numFmtId="0" fontId="39" fillId="0" borderId="6" xfId="0" applyFont="1" applyBorder="1" applyAlignment="1" applyProtection="1">
      <alignment horizontal="right" vertical="center"/>
      <protection hidden="1"/>
    </xf>
    <xf numFmtId="0" fontId="48" fillId="0" borderId="12" xfId="51" applyNumberFormat="1" applyFont="1" applyBorder="1" applyAlignment="1" applyProtection="1">
      <alignment vertical="center"/>
      <protection hidden="1"/>
    </xf>
    <xf numFmtId="0" fontId="29" fillId="4" borderId="0" xfId="0" applyFont="1" applyFill="1" applyProtection="1">
      <protection hidden="1"/>
    </xf>
    <xf numFmtId="0" fontId="30" fillId="4" borderId="0" xfId="0" applyFont="1" applyFill="1" applyProtection="1">
      <protection hidden="1"/>
    </xf>
    <xf numFmtId="0" fontId="30" fillId="4" borderId="0" xfId="0" applyFont="1" applyFill="1" applyAlignment="1" applyProtection="1">
      <alignment wrapText="1"/>
      <protection hidden="1"/>
    </xf>
    <xf numFmtId="0" fontId="31" fillId="4" borderId="0" xfId="0" applyFont="1" applyFill="1" applyAlignment="1" applyProtection="1">
      <alignment horizontal="left" vertical="center"/>
      <protection hidden="1"/>
    </xf>
    <xf numFmtId="0" fontId="30" fillId="4" borderId="0" xfId="0" applyFont="1" applyFill="1" applyAlignment="1" applyProtection="1">
      <alignment horizontal="center" vertical="center"/>
      <protection hidden="1"/>
    </xf>
    <xf numFmtId="173" fontId="30" fillId="4" borderId="0" xfId="48" applyFont="1" applyFill="1" applyBorder="1" applyAlignment="1" applyProtection="1">
      <alignment horizontal="right" vertical="center" wrapText="1"/>
      <protection hidden="1"/>
    </xf>
    <xf numFmtId="177" fontId="30" fillId="4" borderId="0" xfId="0" applyNumberFormat="1" applyFont="1" applyFill="1" applyAlignment="1" applyProtection="1">
      <alignment horizontal="right" vertical="center" wrapText="1"/>
      <protection hidden="1"/>
    </xf>
    <xf numFmtId="178" fontId="32" fillId="4" borderId="0" xfId="0" applyNumberFormat="1" applyFont="1" applyFill="1" applyAlignment="1" applyProtection="1">
      <alignment horizontal="right" vertical="center"/>
      <protection hidden="1"/>
    </xf>
    <xf numFmtId="1" fontId="32" fillId="4" borderId="0" xfId="0" applyNumberFormat="1" applyFont="1" applyFill="1" applyAlignment="1" applyProtection="1">
      <alignment horizontal="right" vertical="center"/>
      <protection hidden="1"/>
    </xf>
    <xf numFmtId="0" fontId="35" fillId="4" borderId="0" xfId="0" applyFont="1" applyFill="1" applyAlignment="1" applyProtection="1">
      <alignment vertical="center"/>
      <protection hidden="1"/>
    </xf>
    <xf numFmtId="0" fontId="33" fillId="4" borderId="0" xfId="0" applyFont="1" applyFill="1" applyAlignment="1" applyProtection="1">
      <alignment vertical="center"/>
      <protection hidden="1"/>
    </xf>
    <xf numFmtId="0" fontId="30" fillId="4" borderId="0" xfId="0" applyFont="1" applyFill="1" applyAlignment="1" applyProtection="1">
      <alignment vertical="center"/>
      <protection hidden="1"/>
    </xf>
    <xf numFmtId="0" fontId="31" fillId="4" borderId="0" xfId="0" applyFont="1" applyFill="1" applyAlignment="1" applyProtection="1">
      <alignment horizontal="left" vertical="center"/>
      <protection locked="0"/>
    </xf>
    <xf numFmtId="0" fontId="31" fillId="4" borderId="0" xfId="0" applyFont="1" applyFill="1" applyAlignment="1" applyProtection="1">
      <alignment horizontal="right" vertical="center"/>
      <protection locked="0"/>
    </xf>
    <xf numFmtId="0" fontId="30" fillId="4" borderId="0" xfId="0" applyFont="1" applyFill="1" applyProtection="1">
      <protection locked="0"/>
    </xf>
    <xf numFmtId="0" fontId="32" fillId="4" borderId="0" xfId="0" applyFont="1" applyFill="1" applyAlignment="1" applyProtection="1">
      <alignment horizontal="center" vertical="center"/>
      <protection locked="0"/>
    </xf>
    <xf numFmtId="177" fontId="32" fillId="4" borderId="0" xfId="0" applyNumberFormat="1" applyFont="1" applyFill="1" applyAlignment="1" applyProtection="1">
      <alignment horizontal="right" vertical="center"/>
      <protection locked="0"/>
    </xf>
    <xf numFmtId="178" fontId="32" fillId="4" borderId="0" xfId="0" applyNumberFormat="1" applyFont="1" applyFill="1" applyAlignment="1" applyProtection="1">
      <alignment horizontal="right" vertical="center"/>
      <protection locked="0"/>
    </xf>
    <xf numFmtId="0" fontId="31" fillId="4" borderId="0" xfId="0" applyFont="1" applyFill="1" applyAlignment="1" applyProtection="1">
      <alignment vertical="center"/>
      <protection locked="0"/>
    </xf>
    <xf numFmtId="176" fontId="30" fillId="4" borderId="0" xfId="50" applyFont="1" applyFill="1" applyBorder="1" applyAlignment="1" applyProtection="1">
      <alignment vertical="center"/>
      <protection locked="0"/>
    </xf>
    <xf numFmtId="176" fontId="31" fillId="4" borderId="0" xfId="50" applyFont="1" applyFill="1" applyBorder="1" applyAlignment="1" applyProtection="1">
      <alignment vertical="center"/>
      <protection locked="0"/>
    </xf>
    <xf numFmtId="0" fontId="30" fillId="4" borderId="0" xfId="0" applyFont="1" applyFill="1" applyAlignment="1" applyProtection="1">
      <alignment vertical="center" wrapText="1"/>
      <protection locked="0"/>
    </xf>
    <xf numFmtId="0" fontId="30" fillId="4" borderId="0" xfId="0" applyFont="1" applyFill="1" applyAlignment="1" applyProtection="1">
      <alignment vertical="center"/>
      <protection locked="0"/>
    </xf>
    <xf numFmtId="0" fontId="30" fillId="4" borderId="0" xfId="0" applyFont="1" applyFill="1" applyAlignment="1" applyProtection="1">
      <alignment wrapText="1"/>
      <protection locked="0"/>
    </xf>
    <xf numFmtId="2" fontId="30" fillId="4" borderId="0" xfId="0" applyNumberFormat="1" applyFont="1" applyFill="1" applyProtection="1">
      <protection locked="0"/>
    </xf>
    <xf numFmtId="176" fontId="30" fillId="4" borderId="0" xfId="50" applyFont="1" applyFill="1" applyBorder="1" applyAlignment="1" applyProtection="1">
      <alignment horizontal="right"/>
      <protection locked="0"/>
    </xf>
    <xf numFmtId="0" fontId="29" fillId="4" borderId="0" xfId="0" applyFont="1" applyFill="1" applyProtection="1">
      <protection locked="0"/>
    </xf>
    <xf numFmtId="0" fontId="30" fillId="4" borderId="0" xfId="0" applyFont="1" applyFill="1" applyAlignment="1" applyProtection="1">
      <alignment horizontal="center" vertical="center"/>
      <protection locked="0"/>
    </xf>
    <xf numFmtId="1" fontId="30" fillId="4" borderId="0" xfId="0" applyNumberFormat="1" applyFont="1" applyFill="1" applyAlignment="1" applyProtection="1">
      <alignment horizontal="right" vertical="center"/>
      <protection locked="0"/>
    </xf>
    <xf numFmtId="0" fontId="30" fillId="4" borderId="0" xfId="0" applyFont="1" applyFill="1" applyAlignment="1" applyProtection="1">
      <alignment horizontal="right" vertical="center"/>
      <protection locked="0"/>
    </xf>
    <xf numFmtId="1" fontId="30" fillId="4" borderId="0" xfId="50" applyNumberFormat="1" applyFont="1" applyFill="1" applyBorder="1" applyAlignment="1" applyProtection="1">
      <alignment horizontal="center" vertical="center"/>
      <protection locked="0"/>
    </xf>
    <xf numFmtId="1" fontId="30" fillId="4" borderId="0" xfId="0" applyNumberFormat="1" applyFont="1" applyFill="1" applyAlignment="1" applyProtection="1">
      <alignment horizontal="center" vertical="center"/>
      <protection locked="0"/>
    </xf>
    <xf numFmtId="0" fontId="29" fillId="4" borderId="0" xfId="0" applyFont="1" applyFill="1" applyAlignment="1" applyProtection="1">
      <alignment horizontal="center" vertical="center"/>
      <protection locked="0"/>
    </xf>
    <xf numFmtId="0" fontId="30" fillId="4" borderId="0" xfId="0" quotePrefix="1" applyFont="1" applyFill="1" applyAlignment="1" applyProtection="1">
      <alignment vertical="center"/>
      <protection locked="0"/>
    </xf>
    <xf numFmtId="0" fontId="40" fillId="3" borderId="0" xfId="0" applyFont="1" applyFill="1" applyAlignment="1" applyProtection="1">
      <alignment vertical="center"/>
      <protection hidden="1"/>
    </xf>
    <xf numFmtId="164" fontId="51" fillId="3" borderId="0" xfId="0" applyNumberFormat="1" applyFont="1" applyFill="1" applyAlignment="1" applyProtection="1">
      <alignment vertical="center"/>
      <protection hidden="1"/>
    </xf>
    <xf numFmtId="0" fontId="52" fillId="3" borderId="0" xfId="0" applyFont="1" applyFill="1" applyProtection="1">
      <protection hidden="1"/>
    </xf>
    <xf numFmtId="3" fontId="51" fillId="3" borderId="0" xfId="0" applyNumberFormat="1" applyFont="1" applyFill="1" applyAlignment="1" applyProtection="1">
      <alignment horizontal="right"/>
      <protection hidden="1"/>
    </xf>
    <xf numFmtId="0" fontId="53" fillId="0" borderId="8" xfId="3" applyFont="1" applyBorder="1" applyProtection="1">
      <protection hidden="1"/>
    </xf>
    <xf numFmtId="0" fontId="53" fillId="0" borderId="0" xfId="3" applyFont="1" applyProtection="1">
      <protection hidden="1"/>
    </xf>
    <xf numFmtId="164" fontId="46" fillId="0" borderId="0" xfId="3" applyNumberFormat="1" applyFont="1" applyAlignment="1" applyProtection="1">
      <alignment horizontal="right"/>
      <protection hidden="1"/>
    </xf>
    <xf numFmtId="164" fontId="52" fillId="3" borderId="7" xfId="0" applyNumberFormat="1" applyFont="1" applyFill="1" applyBorder="1" applyProtection="1">
      <protection hidden="1"/>
    </xf>
    <xf numFmtId="164" fontId="52" fillId="3" borderId="11" xfId="0" applyNumberFormat="1" applyFont="1" applyFill="1" applyBorder="1" applyAlignment="1" applyProtection="1">
      <alignment horizontal="right" wrapText="1"/>
      <protection hidden="1"/>
    </xf>
    <xf numFmtId="164" fontId="5" fillId="0" borderId="6" xfId="3" applyNumberFormat="1" applyFont="1" applyFill="1" applyBorder="1" applyProtection="1"/>
    <xf numFmtId="164" fontId="5" fillId="0" borderId="20" xfId="3" applyNumberFormat="1" applyFont="1" applyFill="1" applyBorder="1" applyProtection="1"/>
    <xf numFmtId="164" fontId="5" fillId="0" borderId="21" xfId="3" applyNumberFormat="1" applyFont="1" applyFill="1" applyBorder="1" applyProtection="1"/>
    <xf numFmtId="164" fontId="5" fillId="0" borderId="22" xfId="3" applyNumberFormat="1" applyFont="1" applyFill="1" applyBorder="1" applyProtection="1"/>
    <xf numFmtId="164" fontId="5" fillId="0" borderId="20" xfId="3" applyNumberFormat="1" applyFont="1" applyFill="1" applyBorder="1" applyAlignment="1" applyProtection="1">
      <alignment horizontal="right"/>
    </xf>
    <xf numFmtId="164" fontId="5" fillId="0" borderId="21" xfId="3" applyNumberFormat="1" applyFont="1" applyFill="1" applyBorder="1" applyAlignment="1" applyProtection="1">
      <alignment horizontal="right"/>
    </xf>
    <xf numFmtId="44" fontId="7" fillId="5" borderId="6" xfId="44" applyFont="1" applyFill="1" applyBorder="1" applyAlignment="1" applyProtection="1">
      <alignment horizontal="right" vertical="center"/>
      <protection locked="0"/>
    </xf>
    <xf numFmtId="7" fontId="7" fillId="4" borderId="13" xfId="1" applyNumberFormat="1" applyFont="1" applyFill="1" applyBorder="1" applyAlignment="1" applyProtection="1">
      <alignment horizontal="right"/>
    </xf>
    <xf numFmtId="0" fontId="26" fillId="5" borderId="6" xfId="1" applyNumberFormat="1" applyFont="1" applyFill="1" applyBorder="1" applyAlignment="1" applyProtection="1">
      <alignment horizontal="left"/>
      <protection locked="0"/>
    </xf>
    <xf numFmtId="0" fontId="26" fillId="5" borderId="12" xfId="1" applyNumberFormat="1" applyFont="1" applyFill="1" applyBorder="1" applyAlignment="1" applyProtection="1">
      <alignment horizontal="left"/>
      <protection locked="0"/>
    </xf>
    <xf numFmtId="0" fontId="26" fillId="5" borderId="15" xfId="1" applyNumberFormat="1" applyFont="1" applyFill="1" applyBorder="1" applyAlignment="1" applyProtection="1">
      <alignment horizontal="left"/>
      <protection locked="0"/>
    </xf>
    <xf numFmtId="0" fontId="26" fillId="5" borderId="16" xfId="1" applyNumberFormat="1" applyFont="1" applyFill="1" applyBorder="1" applyAlignment="1" applyProtection="1">
      <alignment horizontal="left"/>
      <protection locked="0"/>
    </xf>
    <xf numFmtId="166" fontId="26" fillId="5" borderId="6" xfId="1" applyNumberFormat="1" applyFont="1" applyFill="1" applyBorder="1" applyAlignment="1" applyProtection="1">
      <alignment horizontal="left"/>
      <protection locked="0"/>
    </xf>
    <xf numFmtId="166" fontId="7" fillId="5" borderId="6" xfId="1" applyNumberFormat="1" applyFont="1" applyFill="1" applyBorder="1" applyAlignment="1" applyProtection="1">
      <alignment horizontal="left"/>
      <protection locked="0"/>
    </xf>
    <xf numFmtId="0" fontId="44" fillId="3" borderId="16" xfId="0" applyFont="1" applyFill="1" applyBorder="1" applyAlignment="1" applyProtection="1">
      <alignment horizontal="right" vertical="center" wrapText="1"/>
      <protection hidden="1"/>
    </xf>
    <xf numFmtId="0" fontId="39" fillId="0" borderId="16" xfId="0" applyFont="1" applyBorder="1" applyAlignment="1" applyProtection="1">
      <alignment horizontal="right" vertical="center"/>
      <protection hidden="1"/>
    </xf>
    <xf numFmtId="0" fontId="11" fillId="3" borderId="0" xfId="0" applyFont="1" applyFill="1" applyBorder="1" applyProtection="1">
      <protection hidden="1"/>
    </xf>
    <xf numFmtId="0" fontId="12" fillId="3" borderId="0" xfId="0" applyFont="1" applyFill="1" applyBorder="1" applyAlignment="1" applyProtection="1">
      <alignment vertical="top"/>
      <protection hidden="1"/>
    </xf>
    <xf numFmtId="0" fontId="13" fillId="3" borderId="0" xfId="0" applyFont="1" applyFill="1" applyAlignment="1" applyProtection="1">
      <protection hidden="1"/>
    </xf>
    <xf numFmtId="0" fontId="7" fillId="3" borderId="0" xfId="0" applyFont="1" applyFill="1" applyBorder="1" applyProtection="1">
      <protection hidden="1"/>
    </xf>
    <xf numFmtId="0" fontId="15" fillId="3" borderId="12" xfId="0" applyFont="1" applyFill="1" applyBorder="1" applyAlignment="1" applyProtection="1">
      <alignment vertical="center"/>
      <protection hidden="1"/>
    </xf>
    <xf numFmtId="0" fontId="17" fillId="3" borderId="6" xfId="0" applyFont="1" applyFill="1" applyBorder="1" applyAlignment="1" applyProtection="1">
      <alignment horizontal="left" vertical="top" wrapText="1"/>
      <protection hidden="1"/>
    </xf>
    <xf numFmtId="0" fontId="7" fillId="0" borderId="6" xfId="0" applyFont="1" applyFill="1" applyBorder="1" applyAlignment="1" applyProtection="1">
      <alignment horizontal="left" vertical="top" wrapText="1"/>
      <protection hidden="1"/>
    </xf>
    <xf numFmtId="0" fontId="13" fillId="0" borderId="6" xfId="0" applyFont="1" applyBorder="1" applyAlignment="1" applyProtection="1">
      <alignment horizontal="right"/>
      <protection hidden="1"/>
    </xf>
    <xf numFmtId="7" fontId="8" fillId="6" borderId="17" xfId="3" applyNumberFormat="1" applyFont="1" applyFill="1" applyBorder="1" applyProtection="1">
      <protection hidden="1"/>
    </xf>
    <xf numFmtId="0" fontId="9" fillId="0" borderId="0" xfId="3" applyFont="1" applyProtection="1">
      <protection hidden="1"/>
    </xf>
    <xf numFmtId="0" fontId="9" fillId="7" borderId="0" xfId="3" applyFont="1" applyFill="1" applyBorder="1" applyProtection="1">
      <protection hidden="1"/>
    </xf>
    <xf numFmtId="0" fontId="10" fillId="0" borderId="0" xfId="3" applyFont="1" applyProtection="1">
      <protection hidden="1"/>
    </xf>
    <xf numFmtId="164" fontId="13" fillId="3" borderId="0" xfId="0" applyNumberFormat="1" applyFont="1" applyFill="1" applyBorder="1" applyProtection="1">
      <protection hidden="1"/>
    </xf>
    <xf numFmtId="164" fontId="7" fillId="3" borderId="0" xfId="0" applyNumberFormat="1" applyFont="1" applyFill="1" applyBorder="1" applyAlignment="1" applyProtection="1">
      <alignment horizontal="right"/>
      <protection hidden="1"/>
    </xf>
    <xf numFmtId="164" fontId="7" fillId="3" borderId="0" xfId="0" applyNumberFormat="1" applyFont="1" applyFill="1" applyBorder="1" applyProtection="1">
      <protection hidden="1"/>
    </xf>
    <xf numFmtId="0" fontId="10" fillId="0" borderId="0" xfId="3" applyFont="1" applyBorder="1" applyProtection="1">
      <protection hidden="1"/>
    </xf>
    <xf numFmtId="0" fontId="12" fillId="3" borderId="0" xfId="0" applyFont="1" applyFill="1" applyBorder="1" applyProtection="1">
      <protection hidden="1"/>
    </xf>
    <xf numFmtId="0" fontId="5" fillId="0" borderId="0" xfId="3" applyFont="1" applyProtection="1">
      <protection hidden="1"/>
    </xf>
    <xf numFmtId="164" fontId="13" fillId="3" borderId="0" xfId="0" applyNumberFormat="1" applyFont="1" applyFill="1" applyBorder="1" applyAlignment="1" applyProtection="1">
      <alignment horizontal="right"/>
      <protection hidden="1"/>
    </xf>
    <xf numFmtId="0" fontId="5" fillId="0" borderId="0" xfId="3" applyFont="1" applyBorder="1" applyProtection="1">
      <protection hidden="1"/>
    </xf>
    <xf numFmtId="0" fontId="13" fillId="3" borderId="0" xfId="0" applyFont="1" applyFill="1" applyBorder="1" applyProtection="1">
      <protection hidden="1"/>
    </xf>
    <xf numFmtId="0" fontId="8" fillId="0" borderId="8" xfId="3" applyFont="1" applyFill="1" applyBorder="1" applyProtection="1">
      <protection hidden="1"/>
    </xf>
    <xf numFmtId="164" fontId="5" fillId="0" borderId="8" xfId="3" applyNumberFormat="1" applyFont="1" applyFill="1" applyBorder="1" applyProtection="1">
      <protection hidden="1"/>
    </xf>
    <xf numFmtId="169" fontId="6" fillId="0" borderId="8" xfId="4" applyNumberFormat="1" applyFont="1" applyFill="1" applyBorder="1" applyProtection="1">
      <protection hidden="1"/>
    </xf>
    <xf numFmtId="169" fontId="5" fillId="0" borderId="8" xfId="4" applyNumberFormat="1" applyFont="1" applyFill="1" applyBorder="1" applyAlignment="1" applyProtection="1">
      <alignment horizontal="center"/>
      <protection hidden="1"/>
    </xf>
    <xf numFmtId="0" fontId="8" fillId="0" borderId="0" xfId="3" applyFont="1" applyFill="1" applyBorder="1" applyProtection="1">
      <protection hidden="1"/>
    </xf>
    <xf numFmtId="164" fontId="5" fillId="0" borderId="0" xfId="3" applyNumberFormat="1" applyFont="1" applyFill="1" applyBorder="1" applyAlignment="1" applyProtection="1">
      <alignment horizontal="right"/>
      <protection hidden="1"/>
    </xf>
    <xf numFmtId="0" fontId="5" fillId="0" borderId="0" xfId="3" applyFont="1" applyFill="1" applyBorder="1" applyAlignment="1" applyProtection="1">
      <alignment horizontal="right"/>
      <protection hidden="1"/>
    </xf>
    <xf numFmtId="164" fontId="25" fillId="3" borderId="2" xfId="0" applyNumberFormat="1" applyFont="1" applyFill="1" applyBorder="1" applyProtection="1">
      <protection hidden="1"/>
    </xf>
    <xf numFmtId="164" fontId="13" fillId="3" borderId="3" xfId="0" applyNumberFormat="1" applyFont="1" applyFill="1" applyBorder="1" applyProtection="1">
      <protection hidden="1"/>
    </xf>
    <xf numFmtId="164" fontId="13" fillId="3" borderId="7" xfId="0" applyNumberFormat="1" applyFont="1" applyFill="1" applyBorder="1" applyProtection="1">
      <protection hidden="1"/>
    </xf>
    <xf numFmtId="164" fontId="13" fillId="3" borderId="9" xfId="0" applyNumberFormat="1" applyFont="1" applyFill="1" applyBorder="1" applyProtection="1">
      <protection hidden="1"/>
    </xf>
    <xf numFmtId="164" fontId="13" fillId="3" borderId="0" xfId="0" applyNumberFormat="1" applyFont="1" applyFill="1" applyBorder="1" applyAlignment="1" applyProtection="1">
      <alignment horizontal="right" wrapText="1"/>
      <protection hidden="1"/>
    </xf>
    <xf numFmtId="164" fontId="13" fillId="3" borderId="10" xfId="0" applyNumberFormat="1" applyFont="1" applyFill="1" applyBorder="1" applyAlignment="1" applyProtection="1">
      <alignment horizontal="right" wrapText="1"/>
      <protection hidden="1"/>
    </xf>
    <xf numFmtId="0" fontId="5" fillId="0" borderId="12" xfId="3" quotePrefix="1" applyFont="1" applyFill="1" applyBorder="1" applyAlignment="1" applyProtection="1">
      <protection hidden="1"/>
    </xf>
    <xf numFmtId="167" fontId="7" fillId="0" borderId="6" xfId="1" applyNumberFormat="1" applyFont="1" applyFill="1" applyBorder="1" applyAlignment="1" applyProtection="1">
      <alignment horizontal="center"/>
      <protection hidden="1"/>
    </xf>
    <xf numFmtId="164" fontId="7" fillId="10" borderId="17" xfId="0" applyNumberFormat="1" applyFont="1" applyFill="1" applyBorder="1" applyAlignment="1" applyProtection="1">
      <alignment horizontal="right" vertical="top"/>
      <protection hidden="1"/>
    </xf>
    <xf numFmtId="164" fontId="5" fillId="4" borderId="6" xfId="3" applyNumberFormat="1" applyFont="1" applyFill="1" applyBorder="1" applyAlignment="1" applyProtection="1">
      <alignment horizontal="right"/>
      <protection hidden="1"/>
    </xf>
    <xf numFmtId="164" fontId="13" fillId="3" borderId="14" xfId="0" applyNumberFormat="1" applyFont="1" applyFill="1" applyBorder="1" applyAlignment="1" applyProtection="1">
      <alignment horizontal="right"/>
      <protection hidden="1"/>
    </xf>
    <xf numFmtId="0" fontId="5" fillId="0" borderId="8" xfId="3" quotePrefix="1" applyFont="1" applyFill="1" applyBorder="1" applyAlignment="1" applyProtection="1">
      <protection hidden="1"/>
    </xf>
    <xf numFmtId="0" fontId="5" fillId="0" borderId="0" xfId="3" quotePrefix="1" applyFont="1" applyFill="1" applyBorder="1" applyAlignment="1" applyProtection="1">
      <protection hidden="1"/>
    </xf>
    <xf numFmtId="164" fontId="13" fillId="3" borderId="4" xfId="0" applyNumberFormat="1" applyFont="1" applyFill="1" applyBorder="1" applyAlignment="1" applyProtection="1">
      <alignment horizontal="right"/>
      <protection hidden="1"/>
    </xf>
    <xf numFmtId="164" fontId="13" fillId="3" borderId="11" xfId="0" applyNumberFormat="1" applyFont="1" applyFill="1" applyBorder="1" applyAlignment="1" applyProtection="1">
      <alignment horizontal="right"/>
      <protection hidden="1"/>
    </xf>
    <xf numFmtId="0" fontId="0" fillId="0" borderId="8" xfId="0" applyBorder="1" applyProtection="1">
      <protection hidden="1"/>
    </xf>
    <xf numFmtId="164" fontId="5" fillId="0" borderId="0" xfId="3" applyNumberFormat="1" applyFont="1" applyProtection="1">
      <protection hidden="1"/>
    </xf>
    <xf numFmtId="164" fontId="8" fillId="0" borderId="0" xfId="3" applyNumberFormat="1" applyFont="1" applyProtection="1">
      <protection hidden="1"/>
    </xf>
    <xf numFmtId="164" fontId="26" fillId="0" borderId="0" xfId="3" applyNumberFormat="1" applyFont="1" applyProtection="1">
      <protection hidden="1"/>
    </xf>
    <xf numFmtId="164" fontId="13" fillId="3" borderId="9" xfId="0" applyNumberFormat="1" applyFont="1" applyFill="1" applyBorder="1" applyAlignment="1" applyProtection="1">
      <alignment wrapText="1"/>
      <protection hidden="1"/>
    </xf>
    <xf numFmtId="0" fontId="5" fillId="3" borderId="0" xfId="3" applyFont="1" applyFill="1" applyProtection="1">
      <protection hidden="1"/>
    </xf>
    <xf numFmtId="0" fontId="5" fillId="3" borderId="10" xfId="3" applyFont="1" applyFill="1" applyBorder="1" applyProtection="1">
      <protection hidden="1"/>
    </xf>
    <xf numFmtId="164" fontId="13" fillId="3" borderId="10" xfId="0" applyNumberFormat="1" applyFont="1" applyFill="1" applyBorder="1" applyAlignment="1" applyProtection="1">
      <alignment horizontal="right"/>
      <protection hidden="1"/>
    </xf>
    <xf numFmtId="0" fontId="5" fillId="4" borderId="6" xfId="3" quotePrefix="1" applyFont="1" applyFill="1" applyBorder="1" applyProtection="1">
      <protection hidden="1"/>
    </xf>
    <xf numFmtId="169" fontId="5" fillId="4" borderId="6" xfId="4" applyNumberFormat="1" applyFont="1" applyFill="1" applyBorder="1" applyAlignment="1" applyProtection="1">
      <alignment horizontal="right"/>
      <protection hidden="1"/>
    </xf>
    <xf numFmtId="164" fontId="5" fillId="0" borderId="0" xfId="3" applyNumberFormat="1" applyFont="1" applyFill="1" applyBorder="1" applyProtection="1">
      <protection hidden="1"/>
    </xf>
    <xf numFmtId="169" fontId="6" fillId="0" borderId="0" xfId="4" applyNumberFormat="1" applyFont="1" applyFill="1" applyBorder="1" applyProtection="1">
      <protection hidden="1"/>
    </xf>
    <xf numFmtId="169" fontId="5" fillId="0" borderId="0" xfId="4" applyNumberFormat="1" applyFont="1" applyFill="1" applyBorder="1" applyAlignment="1" applyProtection="1">
      <alignment horizontal="center"/>
      <protection hidden="1"/>
    </xf>
    <xf numFmtId="0" fontId="5" fillId="0" borderId="8" xfId="3" applyFont="1" applyBorder="1" applyProtection="1">
      <protection hidden="1"/>
    </xf>
    <xf numFmtId="164" fontId="5" fillId="0" borderId="8" xfId="3" applyNumberFormat="1" applyFont="1" applyBorder="1" applyProtection="1">
      <protection hidden="1"/>
    </xf>
    <xf numFmtId="0" fontId="9" fillId="0" borderId="0" xfId="0" applyFont="1" applyAlignment="1" applyProtection="1">
      <alignment vertical="top"/>
      <protection hidden="1"/>
    </xf>
    <xf numFmtId="0" fontId="9" fillId="0" borderId="0" xfId="0" applyFont="1" applyAlignment="1" applyProtection="1">
      <alignment horizontal="center" vertical="top"/>
      <protection hidden="1"/>
    </xf>
    <xf numFmtId="0" fontId="5" fillId="0" borderId="0" xfId="0" applyFont="1" applyAlignment="1" applyProtection="1">
      <alignment vertical="top"/>
      <protection hidden="1"/>
    </xf>
    <xf numFmtId="0" fontId="19" fillId="0" borderId="0" xfId="0" applyFont="1" applyAlignment="1" applyProtection="1">
      <alignment vertical="top"/>
      <protection hidden="1"/>
    </xf>
    <xf numFmtId="164" fontId="19" fillId="0" borderId="0" xfId="0" applyNumberFormat="1" applyFont="1" applyAlignment="1" applyProtection="1">
      <alignment vertical="top"/>
      <protection hidden="1"/>
    </xf>
    <xf numFmtId="0" fontId="7" fillId="0" borderId="0" xfId="0" applyFont="1" applyAlignment="1" applyProtection="1">
      <alignment vertical="top"/>
      <protection hidden="1"/>
    </xf>
    <xf numFmtId="0" fontId="11" fillId="3" borderId="0" xfId="0" applyFont="1" applyFill="1" applyBorder="1" applyAlignment="1" applyProtection="1">
      <alignment vertical="top"/>
      <protection hidden="1"/>
    </xf>
    <xf numFmtId="0" fontId="15" fillId="3" borderId="0" xfId="0" applyFont="1" applyFill="1" applyBorder="1" applyAlignment="1" applyProtection="1">
      <alignment vertical="top"/>
      <protection hidden="1"/>
    </xf>
    <xf numFmtId="164" fontId="15" fillId="3" borderId="0" xfId="0" applyNumberFormat="1" applyFont="1" applyFill="1" applyBorder="1" applyAlignment="1" applyProtection="1">
      <alignment vertical="top"/>
      <protection hidden="1"/>
    </xf>
    <xf numFmtId="1" fontId="20" fillId="3" borderId="0" xfId="0" applyNumberFormat="1" applyFont="1" applyFill="1" applyBorder="1" applyAlignment="1" applyProtection="1">
      <alignment vertical="top"/>
      <protection hidden="1"/>
    </xf>
    <xf numFmtId="1" fontId="7" fillId="3" borderId="0" xfId="0" applyNumberFormat="1" applyFont="1" applyFill="1" applyBorder="1" applyAlignment="1" applyProtection="1">
      <alignment vertical="top"/>
      <protection hidden="1"/>
    </xf>
    <xf numFmtId="0" fontId="10" fillId="3" borderId="0" xfId="0" applyFont="1" applyFill="1" applyAlignment="1" applyProtection="1">
      <alignment vertical="top"/>
      <protection hidden="1"/>
    </xf>
    <xf numFmtId="0" fontId="10" fillId="0" borderId="0" xfId="0" applyFont="1" applyAlignment="1" applyProtection="1">
      <alignment vertical="top"/>
      <protection hidden="1"/>
    </xf>
    <xf numFmtId="164" fontId="21" fillId="3" borderId="0" xfId="0" applyNumberFormat="1" applyFont="1" applyFill="1" applyBorder="1" applyAlignment="1" applyProtection="1">
      <alignment vertical="top"/>
      <protection hidden="1"/>
    </xf>
    <xf numFmtId="164" fontId="13" fillId="3" borderId="0" xfId="0" applyNumberFormat="1" applyFont="1" applyFill="1" applyBorder="1" applyAlignment="1" applyProtection="1">
      <alignment vertical="top"/>
      <protection hidden="1"/>
    </xf>
    <xf numFmtId="0" fontId="9" fillId="3" borderId="0" xfId="0" applyFont="1" applyFill="1" applyAlignment="1" applyProtection="1">
      <alignment vertical="top"/>
      <protection hidden="1"/>
    </xf>
    <xf numFmtId="0" fontId="13" fillId="3" borderId="0" xfId="0" applyFont="1" applyFill="1" applyAlignment="1" applyProtection="1">
      <alignment vertical="top"/>
      <protection hidden="1"/>
    </xf>
    <xf numFmtId="0" fontId="7" fillId="3" borderId="0" xfId="0" applyFont="1" applyFill="1" applyBorder="1" applyAlignment="1" applyProtection="1">
      <alignment vertical="top"/>
      <protection hidden="1"/>
    </xf>
    <xf numFmtId="0" fontId="13" fillId="3" borderId="0" xfId="0" applyFont="1" applyFill="1" applyBorder="1" applyAlignment="1" applyProtection="1">
      <alignment vertical="top"/>
      <protection hidden="1"/>
    </xf>
    <xf numFmtId="3" fontId="21" fillId="3" borderId="0" xfId="0" applyNumberFormat="1" applyFont="1" applyFill="1" applyBorder="1" applyAlignment="1" applyProtection="1">
      <alignment horizontal="right" vertical="top"/>
      <protection hidden="1"/>
    </xf>
    <xf numFmtId="1" fontId="21" fillId="3" borderId="0" xfId="0" applyNumberFormat="1" applyFont="1" applyFill="1" applyBorder="1" applyAlignment="1" applyProtection="1">
      <alignment horizontal="right" vertical="top"/>
      <protection hidden="1"/>
    </xf>
    <xf numFmtId="164" fontId="21" fillId="3" borderId="0" xfId="0" applyNumberFormat="1" applyFont="1" applyFill="1" applyBorder="1" applyAlignment="1" applyProtection="1">
      <alignment horizontal="right" vertical="top"/>
      <protection hidden="1"/>
    </xf>
    <xf numFmtId="164" fontId="13" fillId="3" borderId="0" xfId="0" applyNumberFormat="1" applyFont="1" applyFill="1" applyBorder="1" applyAlignment="1" applyProtection="1">
      <alignment horizontal="right" vertical="top"/>
      <protection hidden="1"/>
    </xf>
    <xf numFmtId="0" fontId="8" fillId="0" borderId="0" xfId="0" applyFont="1" applyFill="1" applyBorder="1" applyAlignment="1" applyProtection="1">
      <alignment vertical="top"/>
      <protection hidden="1"/>
    </xf>
    <xf numFmtId="164" fontId="14" fillId="0" borderId="0" xfId="0" applyNumberFormat="1" applyFont="1" applyFill="1" applyBorder="1" applyAlignment="1" applyProtection="1">
      <alignment vertical="top"/>
      <protection hidden="1"/>
    </xf>
    <xf numFmtId="164" fontId="14" fillId="0" borderId="0" xfId="0" applyNumberFormat="1" applyFont="1" applyFill="1" applyBorder="1" applyAlignment="1" applyProtection="1">
      <alignment horizontal="right" vertical="top"/>
      <protection hidden="1"/>
    </xf>
    <xf numFmtId="164" fontId="7" fillId="0" borderId="0" xfId="0" applyNumberFormat="1" applyFont="1" applyFill="1" applyBorder="1" applyAlignment="1" applyProtection="1">
      <alignment vertical="top"/>
      <protection hidden="1"/>
    </xf>
    <xf numFmtId="164" fontId="10" fillId="0" borderId="0" xfId="0" applyNumberFormat="1" applyFont="1" applyAlignment="1" applyProtection="1">
      <alignment vertical="top"/>
      <protection hidden="1"/>
    </xf>
    <xf numFmtId="0" fontId="13" fillId="3" borderId="2" xfId="0" applyFont="1" applyFill="1" applyBorder="1" applyAlignment="1" applyProtection="1">
      <alignment horizontal="left" vertical="top"/>
      <protection hidden="1"/>
    </xf>
    <xf numFmtId="0" fontId="13" fillId="3" borderId="3" xfId="0" applyFont="1" applyFill="1" applyBorder="1" applyAlignment="1" applyProtection="1">
      <alignment horizontal="left" vertical="top"/>
      <protection hidden="1"/>
    </xf>
    <xf numFmtId="164" fontId="7" fillId="3" borderId="3" xfId="0" applyNumberFormat="1" applyFont="1" applyFill="1" applyBorder="1" applyAlignment="1" applyProtection="1">
      <alignment vertical="top"/>
      <protection hidden="1"/>
    </xf>
    <xf numFmtId="0" fontId="13" fillId="3" borderId="9" xfId="0" applyFont="1" applyFill="1" applyBorder="1" applyAlignment="1" applyProtection="1">
      <alignment horizontal="right" vertical="top"/>
      <protection hidden="1"/>
    </xf>
    <xf numFmtId="0" fontId="13" fillId="3" borderId="0" xfId="0" applyFont="1" applyFill="1" applyBorder="1" applyAlignment="1" applyProtection="1">
      <alignment horizontal="right" vertical="top"/>
      <protection hidden="1"/>
    </xf>
    <xf numFmtId="182" fontId="7" fillId="4" borderId="6" xfId="1" applyNumberFormat="1" applyFont="1" applyFill="1" applyBorder="1" applyAlignment="1" applyProtection="1">
      <alignment horizontal="center" vertical="top"/>
      <protection hidden="1"/>
    </xf>
    <xf numFmtId="172" fontId="7" fillId="4" borderId="0" xfId="0" applyNumberFormat="1" applyFont="1" applyFill="1" applyBorder="1" applyAlignment="1" applyProtection="1">
      <alignment horizontal="right" vertical="top"/>
      <protection hidden="1"/>
    </xf>
    <xf numFmtId="182" fontId="13" fillId="4" borderId="6" xfId="1" applyNumberFormat="1" applyFont="1" applyFill="1" applyBorder="1" applyAlignment="1" applyProtection="1">
      <alignment horizontal="center" vertical="top"/>
      <protection hidden="1"/>
    </xf>
    <xf numFmtId="172" fontId="13" fillId="4" borderId="0" xfId="0" applyNumberFormat="1" applyFont="1" applyFill="1" applyBorder="1" applyAlignment="1" applyProtection="1">
      <alignment horizontal="right" vertical="top"/>
      <protection hidden="1"/>
    </xf>
    <xf numFmtId="1" fontId="14" fillId="0" borderId="8" xfId="0" applyNumberFormat="1" applyFont="1" applyFill="1" applyBorder="1" applyAlignment="1" applyProtection="1">
      <alignment vertical="top"/>
      <protection hidden="1"/>
    </xf>
    <xf numFmtId="1" fontId="14" fillId="0" borderId="8" xfId="0" applyNumberFormat="1" applyFont="1" applyFill="1" applyBorder="1" applyAlignment="1" applyProtection="1">
      <alignment horizontal="right" vertical="top"/>
      <protection hidden="1"/>
    </xf>
    <xf numFmtId="1" fontId="14" fillId="0" borderId="0" xfId="0" applyNumberFormat="1" applyFont="1" applyFill="1" applyBorder="1" applyAlignment="1" applyProtection="1">
      <alignment vertical="top"/>
      <protection hidden="1"/>
    </xf>
    <xf numFmtId="1" fontId="14" fillId="0" borderId="0" xfId="0" applyNumberFormat="1" applyFont="1" applyFill="1" applyBorder="1" applyAlignment="1" applyProtection="1">
      <alignment horizontal="right" vertical="top"/>
      <protection hidden="1"/>
    </xf>
    <xf numFmtId="164" fontId="7" fillId="3" borderId="15" xfId="0" applyNumberFormat="1" applyFont="1" applyFill="1" applyBorder="1" applyProtection="1">
      <protection hidden="1"/>
    </xf>
    <xf numFmtId="164" fontId="10" fillId="3" borderId="15" xfId="0" applyNumberFormat="1" applyFont="1" applyFill="1" applyBorder="1" applyProtection="1">
      <protection hidden="1"/>
    </xf>
    <xf numFmtId="166" fontId="7" fillId="0" borderId="0" xfId="1" applyNumberFormat="1" applyFont="1" applyFill="1" applyBorder="1" applyAlignment="1" applyProtection="1">
      <alignment vertical="top"/>
      <protection hidden="1"/>
    </xf>
    <xf numFmtId="166" fontId="7" fillId="0" borderId="0" xfId="1" applyNumberFormat="1" applyFont="1" applyFill="1" applyBorder="1" applyAlignment="1" applyProtection="1">
      <alignment horizontal="center" vertical="top"/>
      <protection hidden="1"/>
    </xf>
    <xf numFmtId="0" fontId="17" fillId="3" borderId="6" xfId="0" applyFont="1" applyFill="1" applyBorder="1" applyAlignment="1" applyProtection="1">
      <alignment horizontal="right" vertical="top" wrapText="1"/>
      <protection hidden="1"/>
    </xf>
    <xf numFmtId="0" fontId="17" fillId="3" borderId="16" xfId="0" applyFont="1" applyFill="1" applyBorder="1" applyAlignment="1" applyProtection="1">
      <alignment horizontal="right" vertical="top" wrapText="1"/>
      <protection hidden="1"/>
    </xf>
    <xf numFmtId="166" fontId="25" fillId="0" borderId="6" xfId="1" applyNumberFormat="1" applyFont="1" applyFill="1" applyBorder="1" applyAlignment="1" applyProtection="1">
      <alignment horizontal="center" vertical="top"/>
      <protection hidden="1"/>
    </xf>
    <xf numFmtId="0" fontId="17" fillId="3" borderId="2" xfId="0" applyFont="1" applyFill="1" applyBorder="1" applyAlignment="1" applyProtection="1">
      <alignment vertical="top" wrapText="1"/>
      <protection hidden="1"/>
    </xf>
    <xf numFmtId="1" fontId="5" fillId="0" borderId="6" xfId="0" applyNumberFormat="1" applyFont="1" applyFill="1" applyBorder="1" applyAlignment="1" applyProtection="1">
      <alignment vertical="top"/>
      <protection hidden="1"/>
    </xf>
    <xf numFmtId="172" fontId="5" fillId="0" borderId="6" xfId="0" applyNumberFormat="1" applyFont="1" applyFill="1" applyBorder="1" applyAlignment="1" applyProtection="1">
      <alignment horizontal="right" vertical="top"/>
      <protection hidden="1"/>
    </xf>
    <xf numFmtId="0" fontId="7" fillId="4" borderId="12" xfId="0" applyFont="1" applyFill="1" applyBorder="1" applyAlignment="1" applyProtection="1">
      <alignment horizontal="right"/>
      <protection hidden="1"/>
    </xf>
    <xf numFmtId="182" fontId="5" fillId="0" borderId="6" xfId="0" applyNumberFormat="1" applyFont="1" applyFill="1" applyBorder="1" applyAlignment="1" applyProtection="1">
      <alignment horizontal="center" vertical="center"/>
      <protection hidden="1"/>
    </xf>
    <xf numFmtId="7" fontId="7" fillId="0" borderId="6" xfId="44" applyNumberFormat="1" applyFont="1" applyFill="1" applyBorder="1" applyAlignment="1" applyProtection="1">
      <alignment horizontal="center" vertical="center"/>
      <protection hidden="1"/>
    </xf>
    <xf numFmtId="0" fontId="7" fillId="0" borderId="0" xfId="0" applyFont="1" applyBorder="1" applyAlignment="1" applyProtection="1">
      <alignment vertical="top"/>
      <protection hidden="1"/>
    </xf>
    <xf numFmtId="172" fontId="5" fillId="0" borderId="18" xfId="0" applyNumberFormat="1" applyFont="1" applyFill="1" applyBorder="1" applyAlignment="1" applyProtection="1">
      <alignment vertical="center"/>
      <protection hidden="1"/>
    </xf>
    <xf numFmtId="172" fontId="5" fillId="0" borderId="14" xfId="0" applyNumberFormat="1" applyFont="1" applyFill="1" applyBorder="1" applyAlignment="1" applyProtection="1">
      <alignment vertical="center"/>
      <protection hidden="1"/>
    </xf>
    <xf numFmtId="172" fontId="19" fillId="10" borderId="17" xfId="0" applyNumberFormat="1" applyFont="1" applyFill="1" applyBorder="1" applyAlignment="1" applyProtection="1">
      <alignment vertical="top"/>
      <protection hidden="1"/>
    </xf>
    <xf numFmtId="0" fontId="17" fillId="3" borderId="13" xfId="0" applyFont="1" applyFill="1" applyBorder="1" applyAlignment="1" applyProtection="1">
      <alignment horizontal="left" vertical="top" wrapText="1"/>
      <protection hidden="1"/>
    </xf>
    <xf numFmtId="0" fontId="17" fillId="3" borderId="7" xfId="0" applyFont="1" applyFill="1" applyBorder="1" applyAlignment="1" applyProtection="1">
      <alignment horizontal="right" vertical="top" wrapText="1"/>
      <protection hidden="1"/>
    </xf>
    <xf numFmtId="172" fontId="17" fillId="3" borderId="2" xfId="0" applyNumberFormat="1" applyFont="1" applyFill="1" applyBorder="1" applyAlignment="1" applyProtection="1">
      <alignment vertical="top" wrapText="1"/>
      <protection hidden="1"/>
    </xf>
    <xf numFmtId="0" fontId="7" fillId="4" borderId="28" xfId="0" applyFont="1" applyFill="1" applyBorder="1" applyAlignment="1" applyProtection="1">
      <alignment horizontal="right"/>
      <protection hidden="1"/>
    </xf>
    <xf numFmtId="182" fontId="5" fillId="0" borderId="24"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right"/>
      <protection hidden="1"/>
    </xf>
    <xf numFmtId="172" fontId="5" fillId="0" borderId="6" xfId="0" applyNumberFormat="1" applyFont="1" applyFill="1" applyBorder="1" applyAlignment="1" applyProtection="1">
      <alignment horizontal="center" vertical="center"/>
      <protection hidden="1"/>
    </xf>
    <xf numFmtId="0" fontId="7" fillId="4" borderId="30" xfId="0" applyFont="1" applyFill="1" applyBorder="1" applyAlignment="1" applyProtection="1">
      <alignment horizontal="right"/>
      <protection hidden="1"/>
    </xf>
    <xf numFmtId="172" fontId="5" fillId="0" borderId="27" xfId="0" applyNumberFormat="1" applyFont="1" applyFill="1" applyBorder="1" applyAlignment="1" applyProtection="1">
      <alignment horizontal="center" vertical="center"/>
      <protection hidden="1"/>
    </xf>
    <xf numFmtId="182" fontId="5" fillId="0" borderId="25" xfId="0" applyNumberFormat="1" applyFont="1" applyFill="1" applyBorder="1" applyAlignment="1" applyProtection="1">
      <alignment horizontal="center" vertical="center"/>
      <protection hidden="1"/>
    </xf>
    <xf numFmtId="172" fontId="5" fillId="0" borderId="26" xfId="0" applyNumberFormat="1" applyFont="1" applyFill="1" applyBorder="1" applyAlignment="1" applyProtection="1">
      <alignment horizontal="center" vertical="center"/>
      <protection hidden="1"/>
    </xf>
    <xf numFmtId="172" fontId="5" fillId="4" borderId="0" xfId="0" applyNumberFormat="1" applyFont="1" applyFill="1" applyBorder="1" applyAlignment="1" applyProtection="1">
      <alignment horizontal="right" wrapText="1"/>
      <protection hidden="1"/>
    </xf>
    <xf numFmtId="172" fontId="19" fillId="10" borderId="19" xfId="0" applyNumberFormat="1" applyFont="1" applyFill="1" applyBorder="1" applyAlignment="1" applyProtection="1">
      <alignment vertical="top"/>
      <protection hidden="1"/>
    </xf>
    <xf numFmtId="172" fontId="5" fillId="4" borderId="3" xfId="0" applyNumberFormat="1" applyFont="1" applyFill="1" applyBorder="1" applyAlignment="1" applyProtection="1">
      <alignment horizontal="right" wrapText="1"/>
      <protection hidden="1"/>
    </xf>
    <xf numFmtId="172" fontId="5" fillId="0" borderId="18" xfId="0" applyNumberFormat="1" applyFont="1" applyFill="1" applyBorder="1" applyAlignment="1" applyProtection="1">
      <alignment horizontal="center" vertical="center"/>
      <protection hidden="1"/>
    </xf>
    <xf numFmtId="172" fontId="5" fillId="4" borderId="23" xfId="0" applyNumberFormat="1" applyFont="1" applyFill="1" applyBorder="1" applyAlignment="1" applyProtection="1">
      <alignment horizontal="center" vertical="center"/>
      <protection hidden="1"/>
    </xf>
    <xf numFmtId="166" fontId="7" fillId="0" borderId="8" xfId="1" applyNumberFormat="1" applyFont="1" applyFill="1" applyBorder="1" applyAlignment="1" applyProtection="1">
      <alignment horizontal="center" vertical="top"/>
      <protection hidden="1"/>
    </xf>
    <xf numFmtId="0" fontId="15" fillId="3" borderId="2" xfId="0" applyFont="1" applyFill="1" applyBorder="1" applyAlignment="1" applyProtection="1">
      <alignment horizontal="left"/>
      <protection hidden="1"/>
    </xf>
    <xf numFmtId="0" fontId="13" fillId="3" borderId="3" xfId="0" applyFont="1" applyFill="1" applyBorder="1" applyAlignment="1" applyProtection="1">
      <alignment horizontal="right"/>
      <protection hidden="1"/>
    </xf>
    <xf numFmtId="164" fontId="13" fillId="3" borderId="3" xfId="0" applyNumberFormat="1" applyFont="1" applyFill="1" applyBorder="1" applyAlignment="1" applyProtection="1">
      <alignment horizontal="center"/>
      <protection hidden="1"/>
    </xf>
    <xf numFmtId="164" fontId="13" fillId="3" borderId="7" xfId="0" applyNumberFormat="1" applyFont="1" applyFill="1" applyBorder="1" applyAlignment="1" applyProtection="1">
      <alignment horizontal="center"/>
      <protection hidden="1"/>
    </xf>
    <xf numFmtId="164" fontId="10" fillId="0" borderId="0" xfId="0" applyNumberFormat="1" applyFont="1" applyProtection="1">
      <protection hidden="1"/>
    </xf>
    <xf numFmtId="0" fontId="20" fillId="3" borderId="3" xfId="0" applyFont="1" applyFill="1" applyBorder="1" applyProtection="1">
      <protection hidden="1"/>
    </xf>
    <xf numFmtId="0" fontId="20" fillId="3" borderId="7" xfId="0" applyFont="1" applyFill="1" applyBorder="1" applyProtection="1">
      <protection hidden="1"/>
    </xf>
    <xf numFmtId="0" fontId="13" fillId="3" borderId="9" xfId="0" applyFont="1" applyFill="1" applyBorder="1" applyAlignment="1" applyProtection="1">
      <alignment horizontal="left"/>
      <protection hidden="1"/>
    </xf>
    <xf numFmtId="0" fontId="13" fillId="3" borderId="0" xfId="0" applyFont="1" applyFill="1" applyBorder="1" applyAlignment="1" applyProtection="1">
      <alignment horizontal="right" wrapText="1"/>
      <protection hidden="1"/>
    </xf>
    <xf numFmtId="164" fontId="13" fillId="3" borderId="0" xfId="0" applyNumberFormat="1" applyFont="1" applyFill="1" applyBorder="1" applyAlignment="1" applyProtection="1">
      <alignment horizontal="center"/>
      <protection hidden="1"/>
    </xf>
    <xf numFmtId="164" fontId="13" fillId="3" borderId="10" xfId="0" applyNumberFormat="1" applyFont="1" applyFill="1" applyBorder="1" applyAlignment="1" applyProtection="1">
      <alignment horizontal="center"/>
      <protection hidden="1"/>
    </xf>
    <xf numFmtId="0" fontId="20" fillId="3" borderId="9" xfId="0" applyFont="1" applyFill="1" applyBorder="1" applyProtection="1">
      <protection hidden="1"/>
    </xf>
    <xf numFmtId="0" fontId="20" fillId="3" borderId="0" xfId="0" applyFont="1" applyFill="1" applyBorder="1" applyProtection="1">
      <protection hidden="1"/>
    </xf>
    <xf numFmtId="0" fontId="20" fillId="3" borderId="10" xfId="0" applyFont="1" applyFill="1" applyBorder="1" applyProtection="1">
      <protection hidden="1"/>
    </xf>
    <xf numFmtId="0" fontId="26" fillId="4" borderId="6" xfId="0" applyNumberFormat="1" applyFont="1" applyFill="1" applyBorder="1" applyAlignment="1" applyProtection="1">
      <alignment horizontal="left"/>
      <protection hidden="1"/>
    </xf>
    <xf numFmtId="44" fontId="7" fillId="4" borderId="6" xfId="44" applyFont="1" applyFill="1" applyBorder="1" applyAlignment="1" applyProtection="1">
      <protection hidden="1"/>
    </xf>
    <xf numFmtId="164" fontId="13" fillId="3" borderId="9" xfId="0" applyNumberFormat="1" applyFont="1" applyFill="1" applyBorder="1" applyAlignment="1" applyProtection="1">
      <alignment horizontal="center"/>
      <protection hidden="1"/>
    </xf>
    <xf numFmtId="0" fontId="7" fillId="3" borderId="9" xfId="0" applyFont="1" applyFill="1" applyBorder="1" applyAlignment="1" applyProtection="1">
      <alignment horizontal="left"/>
      <protection hidden="1"/>
    </xf>
    <xf numFmtId="164" fontId="8" fillId="3" borderId="0" xfId="0" applyNumberFormat="1" applyFont="1" applyFill="1" applyBorder="1" applyAlignment="1" applyProtection="1">
      <alignment horizontal="center"/>
      <protection hidden="1"/>
    </xf>
    <xf numFmtId="164" fontId="8" fillId="3" borderId="0" xfId="0" applyNumberFormat="1" applyFont="1" applyFill="1" applyBorder="1" applyAlignment="1" applyProtection="1">
      <alignment horizontal="right"/>
      <protection hidden="1"/>
    </xf>
    <xf numFmtId="0" fontId="13" fillId="3" borderId="9" xfId="0" applyFont="1" applyFill="1" applyBorder="1" applyAlignment="1" applyProtection="1">
      <alignment horizontal="right"/>
      <protection hidden="1"/>
    </xf>
    <xf numFmtId="49" fontId="13" fillId="3" borderId="10" xfId="0" applyNumberFormat="1" applyFont="1" applyFill="1" applyBorder="1" applyAlignment="1" applyProtection="1">
      <alignment horizontal="right"/>
      <protection hidden="1"/>
    </xf>
    <xf numFmtId="0" fontId="13" fillId="3" borderId="4" xfId="0" applyFont="1" applyFill="1" applyBorder="1" applyAlignment="1" applyProtection="1">
      <alignment horizontal="right"/>
      <protection hidden="1"/>
    </xf>
    <xf numFmtId="164" fontId="8" fillId="3" borderId="4" xfId="0" applyNumberFormat="1" applyFont="1" applyFill="1" applyBorder="1" applyAlignment="1" applyProtection="1">
      <alignment horizontal="center"/>
      <protection hidden="1"/>
    </xf>
    <xf numFmtId="164" fontId="8" fillId="3" borderId="11" xfId="0" applyNumberFormat="1" applyFont="1" applyFill="1" applyBorder="1" applyAlignment="1" applyProtection="1">
      <alignment horizontal="center"/>
      <protection hidden="1"/>
    </xf>
    <xf numFmtId="164" fontId="8" fillId="3" borderId="5" xfId="0" applyNumberFormat="1" applyFont="1" applyFill="1" applyBorder="1" applyAlignment="1" applyProtection="1">
      <alignment horizontal="right"/>
      <protection hidden="1"/>
    </xf>
    <xf numFmtId="164" fontId="8" fillId="3" borderId="0" xfId="0" applyNumberFormat="1" applyFont="1" applyFill="1" applyBorder="1" applyAlignment="1" applyProtection="1">
      <alignment horizontal="right" wrapText="1"/>
      <protection hidden="1"/>
    </xf>
    <xf numFmtId="0" fontId="20" fillId="0" borderId="0" xfId="0" applyFont="1" applyProtection="1">
      <protection hidden="1"/>
    </xf>
    <xf numFmtId="3" fontId="20" fillId="0" borderId="0" xfId="0" applyNumberFormat="1" applyFont="1" applyProtection="1">
      <protection hidden="1"/>
    </xf>
    <xf numFmtId="0" fontId="7" fillId="0" borderId="14" xfId="0" applyFont="1" applyFill="1" applyBorder="1" applyAlignment="1" applyProtection="1">
      <alignment horizontal="right"/>
      <protection hidden="1"/>
    </xf>
    <xf numFmtId="3" fontId="7" fillId="0" borderId="6" xfId="1" applyNumberFormat="1" applyFont="1" applyFill="1" applyBorder="1" applyAlignment="1" applyProtection="1">
      <protection hidden="1"/>
    </xf>
    <xf numFmtId="165" fontId="7" fillId="0" borderId="14" xfId="1" applyNumberFormat="1" applyFont="1" applyFill="1" applyBorder="1" applyAlignment="1" applyProtection="1">
      <alignment horizontal="right"/>
      <protection hidden="1"/>
    </xf>
    <xf numFmtId="173" fontId="7" fillId="0" borderId="14" xfId="48" applyFont="1" applyFill="1" applyBorder="1" applyAlignment="1" applyProtection="1">
      <alignment horizontal="right"/>
      <protection hidden="1"/>
    </xf>
    <xf numFmtId="44" fontId="7" fillId="10" borderId="6" xfId="44" applyFont="1" applyFill="1" applyBorder="1" applyAlignment="1" applyProtection="1">
      <alignment horizontal="center"/>
      <protection hidden="1"/>
    </xf>
    <xf numFmtId="0" fontId="7" fillId="4" borderId="0" xfId="0" applyFont="1" applyFill="1" applyAlignment="1" applyProtection="1">
      <alignment horizontal="center"/>
      <protection hidden="1"/>
    </xf>
    <xf numFmtId="0" fontId="20" fillId="0" borderId="6" xfId="0" applyFont="1" applyBorder="1" applyAlignment="1" applyProtection="1">
      <alignment horizontal="right"/>
      <protection hidden="1"/>
    </xf>
    <xf numFmtId="0" fontId="7" fillId="0" borderId="6" xfId="0" applyFont="1" applyFill="1" applyBorder="1" applyAlignment="1" applyProtection="1">
      <alignment horizontal="right"/>
      <protection hidden="1"/>
    </xf>
    <xf numFmtId="0" fontId="5" fillId="0" borderId="6" xfId="0" applyFont="1" applyFill="1" applyBorder="1" applyAlignment="1" applyProtection="1">
      <alignment horizontal="right"/>
      <protection hidden="1"/>
    </xf>
    <xf numFmtId="0" fontId="9" fillId="0" borderId="0" xfId="0" applyFont="1" applyProtection="1">
      <protection hidden="1"/>
    </xf>
    <xf numFmtId="0" fontId="13" fillId="6" borderId="6" xfId="0" applyFont="1" applyFill="1" applyBorder="1" applyAlignment="1" applyProtection="1">
      <alignment horizontal="right"/>
      <protection hidden="1"/>
    </xf>
    <xf numFmtId="0" fontId="7" fillId="0" borderId="0" xfId="0" applyFont="1" applyProtection="1">
      <protection hidden="1"/>
    </xf>
    <xf numFmtId="44" fontId="20" fillId="0" borderId="0" xfId="0" applyNumberFormat="1" applyFont="1" applyProtection="1">
      <protection hidden="1"/>
    </xf>
    <xf numFmtId="0" fontId="7" fillId="0" borderId="0" xfId="0" applyFont="1" applyBorder="1" applyAlignment="1" applyProtection="1">
      <alignment horizontal="left" vertical="top" wrapText="1"/>
      <protection hidden="1"/>
    </xf>
    <xf numFmtId="164" fontId="13" fillId="3" borderId="3" xfId="0" applyNumberFormat="1" applyFont="1" applyFill="1" applyBorder="1" applyAlignment="1" applyProtection="1">
      <alignment horizontal="right"/>
      <protection hidden="1"/>
    </xf>
    <xf numFmtId="0" fontId="22" fillId="3" borderId="2" xfId="0" applyFont="1" applyFill="1" applyBorder="1" applyAlignment="1" applyProtection="1">
      <alignment vertical="top" wrapText="1"/>
      <protection hidden="1"/>
    </xf>
    <xf numFmtId="0" fontId="22" fillId="4" borderId="6" xfId="0" applyFont="1" applyFill="1" applyBorder="1" applyAlignment="1" applyProtection="1">
      <alignment vertical="top" wrapText="1"/>
      <protection hidden="1"/>
    </xf>
    <xf numFmtId="0" fontId="13" fillId="0" borderId="0" xfId="0" applyFont="1" applyAlignment="1" applyProtection="1">
      <alignment vertical="top"/>
      <protection hidden="1"/>
    </xf>
    <xf numFmtId="164" fontId="15" fillId="0" borderId="0" xfId="0" applyNumberFormat="1" applyFont="1" applyAlignment="1" applyProtection="1">
      <alignment vertical="top"/>
      <protection hidden="1"/>
    </xf>
    <xf numFmtId="0" fontId="20" fillId="0" borderId="0" xfId="0" applyFont="1" applyAlignment="1" applyProtection="1">
      <alignment vertical="top"/>
      <protection hidden="1"/>
    </xf>
    <xf numFmtId="0" fontId="20" fillId="0" borderId="0" xfId="0" applyFont="1" applyAlignment="1" applyProtection="1">
      <alignment horizontal="left" vertical="top"/>
      <protection hidden="1"/>
    </xf>
    <xf numFmtId="172" fontId="7" fillId="4" borderId="6" xfId="0" applyNumberFormat="1" applyFont="1" applyFill="1" applyBorder="1" applyAlignment="1" applyProtection="1">
      <alignment horizontal="right" vertical="top"/>
      <protection hidden="1"/>
    </xf>
    <xf numFmtId="3" fontId="5" fillId="0" borderId="6" xfId="47" applyNumberFormat="1" applyFont="1" applyFill="1" applyBorder="1" applyAlignment="1" applyProtection="1">
      <alignment horizontal="right" vertical="top" wrapText="1"/>
      <protection hidden="1"/>
    </xf>
    <xf numFmtId="0" fontId="21" fillId="0" borderId="0" xfId="0" applyFont="1" applyAlignment="1" applyProtection="1">
      <alignment horizontal="left" vertical="top"/>
      <protection hidden="1"/>
    </xf>
    <xf numFmtId="0" fontId="13" fillId="0" borderId="0" xfId="0" applyFont="1" applyAlignment="1" applyProtection="1">
      <alignment horizontal="left" vertical="top"/>
      <protection hidden="1"/>
    </xf>
    <xf numFmtId="0" fontId="22" fillId="3" borderId="6" xfId="0" applyFont="1" applyFill="1" applyBorder="1" applyAlignment="1" applyProtection="1">
      <alignment vertical="top" wrapText="1"/>
      <protection hidden="1"/>
    </xf>
    <xf numFmtId="175" fontId="9" fillId="0" borderId="0" xfId="0" applyNumberFormat="1" applyFont="1" applyAlignment="1" applyProtection="1">
      <alignment vertical="top"/>
      <protection hidden="1"/>
    </xf>
    <xf numFmtId="0" fontId="5" fillId="0" borderId="0" xfId="47" applyFont="1" applyFill="1" applyBorder="1" applyAlignment="1" applyProtection="1">
      <alignment horizontal="left" vertical="top"/>
      <protection hidden="1"/>
    </xf>
    <xf numFmtId="172" fontId="7" fillId="0" borderId="0" xfId="47" applyNumberFormat="1" applyFont="1" applyFill="1" applyBorder="1" applyAlignment="1" applyProtection="1">
      <alignment horizontal="left" vertical="top"/>
      <protection hidden="1"/>
    </xf>
    <xf numFmtId="10" fontId="7" fillId="0" borderId="0" xfId="0" applyNumberFormat="1" applyFont="1" applyFill="1" applyBorder="1" applyAlignment="1" applyProtection="1">
      <alignment horizontal="right" vertical="top"/>
      <protection hidden="1"/>
    </xf>
    <xf numFmtId="164" fontId="7" fillId="4" borderId="0" xfId="0" applyNumberFormat="1" applyFont="1" applyFill="1" applyBorder="1" applyAlignment="1" applyProtection="1">
      <alignment horizontal="left" vertical="top"/>
      <protection hidden="1"/>
    </xf>
    <xf numFmtId="0" fontId="20" fillId="0" borderId="0" xfId="0" applyFont="1" applyAlignment="1" applyProtection="1">
      <alignment horizontal="center" vertical="top"/>
      <protection hidden="1"/>
    </xf>
    <xf numFmtId="1" fontId="5" fillId="0" borderId="8" xfId="0" applyNumberFormat="1" applyFont="1" applyFill="1" applyBorder="1" applyAlignment="1" applyProtection="1">
      <alignment horizontal="left" vertical="top"/>
      <protection hidden="1"/>
    </xf>
    <xf numFmtId="1" fontId="5" fillId="0" borderId="8" xfId="0" applyNumberFormat="1" applyFont="1" applyFill="1" applyBorder="1" applyAlignment="1" applyProtection="1">
      <alignment vertical="top"/>
      <protection hidden="1"/>
    </xf>
    <xf numFmtId="1" fontId="14" fillId="0" borderId="8" xfId="0" applyNumberFormat="1" applyFont="1" applyFill="1" applyBorder="1" applyAlignment="1" applyProtection="1">
      <alignment horizontal="left" vertical="top"/>
      <protection hidden="1"/>
    </xf>
    <xf numFmtId="164" fontId="7" fillId="11" borderId="17" xfId="0" applyNumberFormat="1" applyFont="1" applyFill="1" applyBorder="1" applyAlignment="1" applyProtection="1">
      <alignment horizontal="right" vertical="top"/>
      <protection hidden="1"/>
    </xf>
    <xf numFmtId="0" fontId="13" fillId="3" borderId="16" xfId="0" applyFont="1" applyFill="1" applyBorder="1" applyAlignment="1" applyProtection="1">
      <alignment horizontal="right"/>
      <protection hidden="1"/>
    </xf>
    <xf numFmtId="1" fontId="14" fillId="0" borderId="0" xfId="0" applyNumberFormat="1" applyFont="1" applyFill="1" applyBorder="1" applyAlignment="1" applyProtection="1">
      <alignment horizontal="left" vertical="top"/>
      <protection hidden="1"/>
    </xf>
    <xf numFmtId="1" fontId="5" fillId="0" borderId="0" xfId="0" applyNumberFormat="1" applyFont="1" applyFill="1" applyBorder="1" applyAlignment="1" applyProtection="1">
      <alignment horizontal="left" vertical="top"/>
      <protection hidden="1"/>
    </xf>
    <xf numFmtId="1" fontId="5" fillId="0" borderId="0" xfId="0" applyNumberFormat="1" applyFont="1" applyFill="1" applyBorder="1" applyAlignment="1" applyProtection="1">
      <alignment vertical="top"/>
      <protection hidden="1"/>
    </xf>
    <xf numFmtId="0" fontId="19" fillId="0" borderId="0" xfId="0" applyFont="1" applyAlignment="1" applyProtection="1">
      <alignment horizontal="center" vertical="top"/>
      <protection hidden="1"/>
    </xf>
    <xf numFmtId="0" fontId="24" fillId="0" borderId="0" xfId="0" applyFont="1" applyProtection="1">
      <protection hidden="1"/>
    </xf>
    <xf numFmtId="0" fontId="5" fillId="0" borderId="0" xfId="0" applyFont="1" applyProtection="1">
      <protection hidden="1"/>
    </xf>
    <xf numFmtId="0" fontId="19" fillId="0" borderId="0" xfId="0" applyFont="1" applyProtection="1">
      <protection hidden="1"/>
    </xf>
    <xf numFmtId="164" fontId="19" fillId="0" borderId="0" xfId="0" applyNumberFormat="1" applyFont="1" applyProtection="1">
      <protection hidden="1"/>
    </xf>
    <xf numFmtId="164" fontId="11" fillId="3" borderId="0" xfId="0" applyNumberFormat="1" applyFont="1" applyFill="1" applyBorder="1" applyProtection="1">
      <protection hidden="1"/>
    </xf>
    <xf numFmtId="0" fontId="24" fillId="3" borderId="0" xfId="0" applyFont="1" applyFill="1" applyProtection="1">
      <protection hidden="1"/>
    </xf>
    <xf numFmtId="0" fontId="27" fillId="3" borderId="0" xfId="0" applyFont="1" applyFill="1" applyProtection="1">
      <protection hidden="1"/>
    </xf>
    <xf numFmtId="164" fontId="10" fillId="3" borderId="0" xfId="0" applyNumberFormat="1" applyFont="1" applyFill="1" applyProtection="1">
      <protection hidden="1"/>
    </xf>
    <xf numFmtId="0" fontId="27" fillId="0" borderId="0" xfId="0" applyFont="1" applyProtection="1">
      <protection hidden="1"/>
    </xf>
    <xf numFmtId="164" fontId="21" fillId="3" borderId="0" xfId="0" applyNumberFormat="1" applyFont="1" applyFill="1" applyBorder="1" applyProtection="1">
      <protection hidden="1"/>
    </xf>
    <xf numFmtId="0" fontId="20" fillId="3" borderId="0" xfId="0" applyFont="1" applyFill="1" applyProtection="1">
      <protection hidden="1"/>
    </xf>
    <xf numFmtId="1" fontId="5" fillId="0" borderId="0" xfId="0" applyNumberFormat="1" applyFont="1" applyFill="1" applyBorder="1" applyProtection="1">
      <protection hidden="1"/>
    </xf>
    <xf numFmtId="1" fontId="14" fillId="0" borderId="0" xfId="0" applyNumberFormat="1" applyFont="1" applyFill="1" applyBorder="1" applyProtection="1">
      <protection hidden="1"/>
    </xf>
    <xf numFmtId="1" fontId="14" fillId="0" borderId="8" xfId="0" applyNumberFormat="1" applyFont="1" applyFill="1" applyBorder="1" applyProtection="1">
      <protection hidden="1"/>
    </xf>
    <xf numFmtId="164" fontId="10" fillId="3" borderId="16" xfId="0" applyNumberFormat="1" applyFont="1" applyFill="1" applyBorder="1" applyProtection="1">
      <protection hidden="1"/>
    </xf>
    <xf numFmtId="0" fontId="13" fillId="3" borderId="6" xfId="0" applyFont="1" applyFill="1" applyBorder="1" applyProtection="1">
      <protection hidden="1"/>
    </xf>
    <xf numFmtId="164" fontId="13" fillId="3" borderId="6" xfId="0" applyNumberFormat="1" applyFont="1" applyFill="1" applyBorder="1" applyAlignment="1" applyProtection="1">
      <alignment horizontal="left"/>
      <protection hidden="1"/>
    </xf>
    <xf numFmtId="1" fontId="5" fillId="0" borderId="8" xfId="0" applyNumberFormat="1" applyFont="1" applyFill="1" applyBorder="1" applyProtection="1">
      <protection hidden="1"/>
    </xf>
    <xf numFmtId="0" fontId="13" fillId="0" borderId="0" xfId="0" applyFont="1" applyProtection="1">
      <protection hidden="1"/>
    </xf>
    <xf numFmtId="164" fontId="10" fillId="3" borderId="4" xfId="0" applyNumberFormat="1" applyFont="1" applyFill="1" applyBorder="1" applyProtection="1">
      <protection hidden="1"/>
    </xf>
    <xf numFmtId="164" fontId="23" fillId="0" borderId="0" xfId="0" applyNumberFormat="1" applyFont="1" applyProtection="1">
      <protection hidden="1"/>
    </xf>
    <xf numFmtId="0" fontId="20" fillId="0" borderId="8" xfId="0" applyFont="1" applyBorder="1" applyProtection="1">
      <protection hidden="1"/>
    </xf>
    <xf numFmtId="0" fontId="13" fillId="0" borderId="8" xfId="0" applyFont="1" applyBorder="1" applyProtection="1">
      <protection hidden="1"/>
    </xf>
    <xf numFmtId="0" fontId="9" fillId="0" borderId="8" xfId="0" applyFont="1" applyBorder="1" applyProtection="1">
      <protection hidden="1"/>
    </xf>
    <xf numFmtId="164" fontId="10" fillId="0" borderId="8" xfId="0" applyNumberFormat="1" applyFont="1" applyBorder="1" applyProtection="1">
      <protection hidden="1"/>
    </xf>
    <xf numFmtId="0" fontId="15" fillId="3" borderId="12" xfId="0" applyFont="1" applyFill="1" applyBorder="1" applyProtection="1">
      <protection hidden="1"/>
    </xf>
    <xf numFmtId="1" fontId="13" fillId="3" borderId="16" xfId="0" applyNumberFormat="1" applyFont="1" applyFill="1" applyBorder="1" applyAlignment="1" applyProtection="1">
      <alignment horizontal="right"/>
      <protection hidden="1"/>
    </xf>
    <xf numFmtId="0" fontId="7" fillId="4" borderId="6" xfId="0" applyFont="1" applyFill="1" applyBorder="1" applyAlignment="1" applyProtection="1">
      <alignment horizontal="right"/>
      <protection hidden="1"/>
    </xf>
    <xf numFmtId="182" fontId="7" fillId="4" borderId="6" xfId="1" applyNumberFormat="1" applyFont="1" applyFill="1" applyBorder="1" applyAlignment="1" applyProtection="1">
      <alignment horizontal="right"/>
      <protection hidden="1"/>
    </xf>
    <xf numFmtId="182" fontId="7" fillId="0" borderId="6" xfId="1" applyNumberFormat="1" applyFont="1" applyFill="1" applyBorder="1" applyAlignment="1" applyProtection="1">
      <alignment horizontal="right"/>
      <protection hidden="1"/>
    </xf>
    <xf numFmtId="7" fontId="7" fillId="0" borderId="6" xfId="44" applyNumberFormat="1" applyFont="1" applyFill="1" applyBorder="1" applyAlignment="1" applyProtection="1">
      <protection hidden="1"/>
    </xf>
    <xf numFmtId="164" fontId="7" fillId="4" borderId="6" xfId="0" applyNumberFormat="1" applyFont="1" applyFill="1" applyBorder="1" applyProtection="1">
      <protection hidden="1"/>
    </xf>
    <xf numFmtId="164" fontId="7" fillId="10" borderId="17" xfId="0" applyNumberFormat="1" applyFont="1" applyFill="1" applyBorder="1" applyProtection="1">
      <protection hidden="1"/>
    </xf>
    <xf numFmtId="1" fontId="13" fillId="3" borderId="15" xfId="0" applyNumberFormat="1" applyFont="1" applyFill="1" applyBorder="1" applyAlignment="1" applyProtection="1">
      <alignment horizontal="right"/>
      <protection hidden="1"/>
    </xf>
    <xf numFmtId="164" fontId="7" fillId="10" borderId="19" xfId="0" applyNumberFormat="1" applyFont="1" applyFill="1" applyBorder="1" applyProtection="1">
      <protection hidden="1"/>
    </xf>
    <xf numFmtId="8" fontId="13" fillId="0" borderId="0" xfId="0" applyNumberFormat="1" applyFont="1" applyProtection="1">
      <protection hidden="1"/>
    </xf>
    <xf numFmtId="3" fontId="21" fillId="3" borderId="0" xfId="0" applyNumberFormat="1" applyFont="1" applyFill="1" applyBorder="1" applyAlignment="1" applyProtection="1">
      <alignment horizontal="right"/>
      <protection hidden="1"/>
    </xf>
    <xf numFmtId="1" fontId="21" fillId="3" borderId="0" xfId="0" applyNumberFormat="1" applyFont="1" applyFill="1" applyBorder="1" applyAlignment="1" applyProtection="1">
      <alignment horizontal="right"/>
      <protection hidden="1"/>
    </xf>
    <xf numFmtId="164" fontId="21" fillId="3" borderId="0" xfId="0" applyNumberFormat="1" applyFont="1" applyFill="1" applyBorder="1" applyAlignment="1" applyProtection="1">
      <alignment horizontal="right"/>
      <protection hidden="1"/>
    </xf>
    <xf numFmtId="174" fontId="7" fillId="4" borderId="8" xfId="1" applyNumberFormat="1" applyFont="1" applyFill="1" applyBorder="1" applyAlignment="1" applyProtection="1">
      <alignment horizontal="center"/>
      <protection hidden="1"/>
    </xf>
    <xf numFmtId="1" fontId="5" fillId="0" borderId="3" xfId="0" applyNumberFormat="1" applyFont="1" applyFill="1" applyBorder="1" applyProtection="1">
      <protection hidden="1"/>
    </xf>
    <xf numFmtId="1" fontId="14" fillId="0" borderId="3" xfId="0" applyNumberFormat="1" applyFont="1" applyFill="1" applyBorder="1" applyProtection="1">
      <protection hidden="1"/>
    </xf>
    <xf numFmtId="0" fontId="13" fillId="3" borderId="9" xfId="0" applyFont="1" applyFill="1" applyBorder="1" applyAlignment="1" applyProtection="1">
      <alignment horizontal="center"/>
      <protection hidden="1"/>
    </xf>
    <xf numFmtId="0" fontId="13" fillId="3" borderId="0" xfId="0" applyFont="1" applyFill="1" applyBorder="1" applyAlignment="1" applyProtection="1">
      <alignment horizontal="right"/>
      <protection hidden="1"/>
    </xf>
    <xf numFmtId="0" fontId="13" fillId="3" borderId="5" xfId="0" applyFont="1" applyFill="1" applyBorder="1" applyAlignment="1" applyProtection="1">
      <alignment horizontal="right"/>
      <protection hidden="1"/>
    </xf>
    <xf numFmtId="164" fontId="8" fillId="3" borderId="5" xfId="0" applyNumberFormat="1" applyFont="1" applyFill="1" applyBorder="1" applyAlignment="1" applyProtection="1">
      <alignment horizontal="right" wrapText="1"/>
      <protection hidden="1"/>
    </xf>
    <xf numFmtId="7" fontId="7" fillId="0" borderId="13" xfId="44" applyNumberFormat="1" applyFont="1" applyFill="1" applyBorder="1" applyAlignment="1" applyProtection="1">
      <protection hidden="1"/>
    </xf>
    <xf numFmtId="0" fontId="11" fillId="0" borderId="0" xfId="0" applyFont="1" applyProtection="1">
      <protection hidden="1"/>
    </xf>
    <xf numFmtId="164" fontId="15" fillId="0" borderId="0" xfId="0" applyNumberFormat="1" applyFont="1" applyProtection="1">
      <protection hidden="1"/>
    </xf>
    <xf numFmtId="0" fontId="21" fillId="0" borderId="0" xfId="0" applyFont="1" applyProtection="1">
      <protection hidden="1"/>
    </xf>
    <xf numFmtId="1" fontId="7" fillId="0" borderId="0" xfId="0" applyNumberFormat="1" applyFont="1" applyFill="1" applyBorder="1" applyProtection="1">
      <protection hidden="1"/>
    </xf>
    <xf numFmtId="1" fontId="20" fillId="0" borderId="0" xfId="0" applyNumberFormat="1" applyFont="1" applyFill="1" applyBorder="1" applyProtection="1">
      <protection hidden="1"/>
    </xf>
    <xf numFmtId="169" fontId="7" fillId="4" borderId="0" xfId="1" applyNumberFormat="1" applyFont="1" applyFill="1" applyBorder="1" applyAlignment="1" applyProtection="1">
      <alignment horizontal="right"/>
      <protection hidden="1"/>
    </xf>
    <xf numFmtId="0" fontId="7" fillId="0" borderId="8" xfId="0" applyFont="1" applyFill="1" applyBorder="1" applyAlignment="1" applyProtection="1">
      <alignment horizontal="right" vertical="top"/>
      <protection hidden="1"/>
    </xf>
    <xf numFmtId="174" fontId="7" fillId="4" borderId="8" xfId="1" applyNumberFormat="1" applyFont="1" applyFill="1" applyBorder="1" applyAlignment="1" applyProtection="1">
      <alignment horizontal="center" vertical="top"/>
      <protection hidden="1"/>
    </xf>
    <xf numFmtId="164" fontId="15" fillId="3" borderId="15" xfId="0" applyNumberFormat="1" applyFont="1" applyFill="1" applyBorder="1" applyProtection="1">
      <protection hidden="1"/>
    </xf>
    <xf numFmtId="164" fontId="15" fillId="3" borderId="16" xfId="0" applyNumberFormat="1" applyFont="1" applyFill="1" applyBorder="1" applyProtection="1">
      <protection hidden="1"/>
    </xf>
    <xf numFmtId="1" fontId="7" fillId="0" borderId="8" xfId="0" applyNumberFormat="1" applyFont="1" applyFill="1" applyBorder="1" applyProtection="1">
      <protection hidden="1"/>
    </xf>
    <xf numFmtId="1" fontId="20" fillId="0" borderId="8" xfId="0" applyNumberFormat="1" applyFont="1" applyFill="1" applyBorder="1" applyProtection="1">
      <protection hidden="1"/>
    </xf>
    <xf numFmtId="164" fontId="25" fillId="3" borderId="12" xfId="0" applyNumberFormat="1" applyFont="1" applyFill="1" applyBorder="1" applyAlignment="1" applyProtection="1">
      <alignment vertical="center"/>
      <protection hidden="1"/>
    </xf>
    <xf numFmtId="164" fontId="13" fillId="3" borderId="15" xfId="0" applyNumberFormat="1" applyFont="1" applyFill="1" applyBorder="1" applyAlignment="1" applyProtection="1">
      <alignment horizontal="right"/>
      <protection hidden="1"/>
    </xf>
    <xf numFmtId="164" fontId="13" fillId="3" borderId="15" xfId="0" applyNumberFormat="1" applyFont="1" applyFill="1" applyBorder="1" applyAlignment="1" applyProtection="1">
      <alignment horizontal="left" vertical="center"/>
      <protection hidden="1"/>
    </xf>
    <xf numFmtId="0" fontId="20" fillId="0" borderId="0" xfId="0" applyFont="1" applyBorder="1" applyProtection="1">
      <protection hidden="1"/>
    </xf>
    <xf numFmtId="0" fontId="21" fillId="0" borderId="0" xfId="0" applyFont="1" applyBorder="1" applyProtection="1">
      <protection hidden="1"/>
    </xf>
    <xf numFmtId="0" fontId="7" fillId="0" borderId="0" xfId="3" applyFont="1" applyProtection="1">
      <protection hidden="1"/>
    </xf>
    <xf numFmtId="164" fontId="13" fillId="3" borderId="12" xfId="0" applyNumberFormat="1" applyFont="1" applyFill="1" applyBorder="1" applyProtection="1">
      <protection hidden="1"/>
    </xf>
    <xf numFmtId="0" fontId="13" fillId="3" borderId="16" xfId="3" applyFont="1" applyFill="1" applyBorder="1" applyAlignment="1" applyProtection="1">
      <alignment horizontal="right"/>
      <protection hidden="1"/>
    </xf>
    <xf numFmtId="0" fontId="13" fillId="0" borderId="0" xfId="0" applyFont="1" applyFill="1" applyAlignment="1" applyProtection="1">
      <alignment horizontal="right"/>
      <protection hidden="1"/>
    </xf>
    <xf numFmtId="0" fontId="7" fillId="0" borderId="12" xfId="3" quotePrefix="1" applyFont="1" applyFill="1" applyBorder="1" applyAlignment="1" applyProtection="1">
      <protection hidden="1"/>
    </xf>
    <xf numFmtId="43" fontId="20" fillId="0" borderId="0" xfId="0" applyNumberFormat="1" applyFont="1" applyBorder="1" applyProtection="1">
      <protection hidden="1"/>
    </xf>
    <xf numFmtId="0" fontId="13" fillId="0" borderId="0" xfId="0" applyFont="1" applyFill="1" applyAlignment="1" applyProtection="1">
      <alignment horizontal="left"/>
      <protection hidden="1"/>
    </xf>
    <xf numFmtId="43" fontId="20" fillId="0" borderId="0" xfId="1" applyFont="1" applyBorder="1" applyProtection="1">
      <protection hidden="1"/>
    </xf>
    <xf numFmtId="0" fontId="7" fillId="0" borderId="12" xfId="0" applyFont="1" applyBorder="1" applyAlignment="1" applyProtection="1">
      <alignment horizontal="right"/>
      <protection hidden="1"/>
    </xf>
    <xf numFmtId="164" fontId="7" fillId="8" borderId="17" xfId="0" applyNumberFormat="1" applyFont="1" applyFill="1" applyBorder="1" applyProtection="1">
      <protection hidden="1"/>
    </xf>
    <xf numFmtId="164" fontId="7" fillId="0" borderId="0" xfId="3" applyNumberFormat="1" applyFont="1" applyFill="1" applyBorder="1" applyAlignment="1" applyProtection="1">
      <alignment horizontal="right"/>
      <protection hidden="1"/>
    </xf>
    <xf numFmtId="43" fontId="7" fillId="0" borderId="0" xfId="1" applyFont="1" applyFill="1" applyBorder="1" applyAlignment="1" applyProtection="1">
      <alignment horizontal="right"/>
      <protection hidden="1"/>
    </xf>
    <xf numFmtId="44" fontId="20" fillId="0" borderId="0" xfId="0" applyNumberFormat="1" applyFont="1" applyBorder="1" applyProtection="1">
      <protection hidden="1"/>
    </xf>
    <xf numFmtId="0" fontId="13" fillId="0" borderId="12" xfId="0" applyFont="1" applyBorder="1" applyAlignment="1" applyProtection="1">
      <alignment horizontal="right"/>
      <protection hidden="1"/>
    </xf>
    <xf numFmtId="0" fontId="13" fillId="0" borderId="8" xfId="3" applyFont="1" applyFill="1" applyBorder="1" applyProtection="1">
      <protection hidden="1"/>
    </xf>
    <xf numFmtId="164" fontId="7" fillId="0" borderId="8" xfId="3" applyNumberFormat="1" applyFont="1" applyFill="1" applyBorder="1" applyProtection="1">
      <protection hidden="1"/>
    </xf>
    <xf numFmtId="0" fontId="13" fillId="0" borderId="0" xfId="3" applyFont="1" applyFill="1" applyBorder="1" applyProtection="1">
      <protection hidden="1"/>
    </xf>
    <xf numFmtId="164" fontId="7" fillId="0" borderId="0" xfId="3" applyNumberFormat="1" applyFont="1" applyFill="1" applyBorder="1" applyProtection="1">
      <protection hidden="1"/>
    </xf>
    <xf numFmtId="164" fontId="13" fillId="3" borderId="10" xfId="0" applyNumberFormat="1" applyFont="1" applyFill="1" applyBorder="1" applyAlignment="1" applyProtection="1">
      <alignment horizontal="right" wrapText="1"/>
      <protection hidden="1"/>
    </xf>
    <xf numFmtId="0" fontId="5" fillId="0" borderId="5" xfId="3" quotePrefix="1" applyFont="1" applyFill="1" applyBorder="1" applyAlignment="1" applyProtection="1">
      <protection hidden="1"/>
    </xf>
    <xf numFmtId="0" fontId="15" fillId="3" borderId="12" xfId="0" applyFont="1" applyFill="1" applyBorder="1" applyAlignment="1" applyProtection="1">
      <alignment horizontal="left" vertical="top"/>
    </xf>
    <xf numFmtId="0" fontId="15" fillId="3" borderId="16" xfId="0" applyFont="1" applyFill="1" applyBorder="1" applyAlignment="1" applyProtection="1">
      <alignment horizontal="left" vertical="top"/>
    </xf>
    <xf numFmtId="0" fontId="5" fillId="5" borderId="12" xfId="3" quotePrefix="1" applyFont="1" applyFill="1" applyBorder="1" applyAlignment="1" applyProtection="1">
      <alignment horizontal="center"/>
      <protection locked="0"/>
    </xf>
    <xf numFmtId="0" fontId="5" fillId="5" borderId="15" xfId="3" quotePrefix="1" applyFont="1" applyFill="1" applyBorder="1" applyAlignment="1" applyProtection="1">
      <alignment horizontal="center"/>
      <protection locked="0"/>
    </xf>
    <xf numFmtId="0" fontId="5" fillId="5" borderId="16" xfId="3" quotePrefix="1" applyFont="1" applyFill="1" applyBorder="1" applyAlignment="1" applyProtection="1">
      <alignment horizontal="center"/>
      <protection locked="0"/>
    </xf>
    <xf numFmtId="164" fontId="11" fillId="3" borderId="6" xfId="0" applyNumberFormat="1" applyFont="1" applyFill="1" applyBorder="1" applyAlignment="1" applyProtection="1">
      <alignment horizontal="left"/>
    </xf>
    <xf numFmtId="172" fontId="8" fillId="0" borderId="12" xfId="0" applyNumberFormat="1" applyFont="1" applyFill="1" applyBorder="1" applyAlignment="1" applyProtection="1">
      <alignment horizontal="right" vertical="center" wrapText="1"/>
      <protection hidden="1"/>
    </xf>
    <xf numFmtId="172" fontId="8" fillId="0" borderId="16" xfId="0" applyNumberFormat="1" applyFont="1" applyFill="1" applyBorder="1" applyAlignment="1" applyProtection="1">
      <alignment horizontal="right" vertical="center" wrapText="1"/>
      <protection hidden="1"/>
    </xf>
    <xf numFmtId="164" fontId="13" fillId="3" borderId="10" xfId="0" applyNumberFormat="1" applyFont="1" applyFill="1" applyBorder="1" applyAlignment="1" applyProtection="1">
      <alignment horizontal="right" wrapText="1"/>
      <protection hidden="1"/>
    </xf>
    <xf numFmtId="164" fontId="13" fillId="3" borderId="11" xfId="0" applyNumberFormat="1" applyFont="1" applyFill="1" applyBorder="1" applyAlignment="1" applyProtection="1">
      <alignment horizontal="right" wrapText="1"/>
      <protection hidden="1"/>
    </xf>
    <xf numFmtId="0" fontId="13" fillId="0" borderId="12" xfId="0" applyFont="1" applyBorder="1" applyAlignment="1" applyProtection="1">
      <alignment horizontal="right"/>
      <protection hidden="1"/>
    </xf>
    <xf numFmtId="0" fontId="13" fillId="0" borderId="15" xfId="0" applyFont="1" applyBorder="1" applyAlignment="1" applyProtection="1">
      <alignment horizontal="right"/>
      <protection hidden="1"/>
    </xf>
    <xf numFmtId="0" fontId="13" fillId="0" borderId="16" xfId="0" applyFont="1" applyBorder="1" applyAlignment="1" applyProtection="1">
      <alignment horizontal="right"/>
      <protection hidden="1"/>
    </xf>
    <xf numFmtId="0" fontId="15" fillId="3" borderId="4" xfId="0" applyFont="1" applyFill="1" applyBorder="1" applyAlignment="1" applyProtection="1">
      <alignment horizontal="left"/>
      <protection hidden="1"/>
    </xf>
    <xf numFmtId="0" fontId="15" fillId="3" borderId="5" xfId="0" applyFont="1" applyFill="1" applyBorder="1" applyAlignment="1" applyProtection="1">
      <alignment horizontal="left"/>
      <protection hidden="1"/>
    </xf>
    <xf numFmtId="164" fontId="13" fillId="3" borderId="3" xfId="0" applyNumberFormat="1" applyFont="1" applyFill="1" applyBorder="1" applyAlignment="1" applyProtection="1">
      <alignment horizontal="right" wrapText="1"/>
      <protection hidden="1"/>
    </xf>
    <xf numFmtId="164" fontId="13" fillId="3" borderId="5" xfId="0" applyNumberFormat="1" applyFont="1" applyFill="1" applyBorder="1" applyAlignment="1" applyProtection="1">
      <alignment horizontal="right" wrapText="1"/>
      <protection hidden="1"/>
    </xf>
    <xf numFmtId="0" fontId="7" fillId="0" borderId="6" xfId="0" applyFont="1" applyBorder="1" applyAlignment="1" applyProtection="1">
      <alignment horizontal="left" vertical="top" wrapText="1"/>
      <protection hidden="1"/>
    </xf>
    <xf numFmtId="0" fontId="15" fillId="3" borderId="2" xfId="0" applyFont="1" applyFill="1" applyBorder="1" applyAlignment="1" applyProtection="1">
      <alignment horizontal="left" vertical="top"/>
      <protection hidden="1"/>
    </xf>
    <xf numFmtId="0" fontId="15" fillId="3" borderId="3" xfId="0" applyFont="1" applyFill="1" applyBorder="1" applyAlignment="1" applyProtection="1">
      <alignment horizontal="left" vertical="top"/>
      <protection hidden="1"/>
    </xf>
    <xf numFmtId="164" fontId="8" fillId="3" borderId="9" xfId="0" applyNumberFormat="1" applyFont="1" applyFill="1" applyBorder="1" applyAlignment="1" applyProtection="1">
      <alignment horizontal="center"/>
      <protection hidden="1"/>
    </xf>
    <xf numFmtId="164" fontId="8" fillId="3" borderId="10" xfId="0" applyNumberFormat="1" applyFont="1" applyFill="1" applyBorder="1" applyAlignment="1" applyProtection="1">
      <alignment horizontal="center"/>
      <protection hidden="1"/>
    </xf>
    <xf numFmtId="164" fontId="8" fillId="3" borderId="0" xfId="0" applyNumberFormat="1" applyFont="1" applyFill="1" applyBorder="1" applyAlignment="1" applyProtection="1">
      <alignment horizontal="right" wrapText="1"/>
      <protection hidden="1"/>
    </xf>
    <xf numFmtId="0" fontId="28" fillId="0" borderId="0" xfId="0" applyFont="1" applyAlignment="1" applyProtection="1">
      <alignment horizontal="right" wrapText="1"/>
      <protection hidden="1"/>
    </xf>
    <xf numFmtId="0" fontId="17" fillId="4" borderId="0" xfId="0" applyFont="1" applyFill="1" applyBorder="1" applyAlignment="1" applyProtection="1">
      <alignment horizontal="right" vertical="top" wrapText="1"/>
      <protection hidden="1"/>
    </xf>
    <xf numFmtId="164" fontId="13" fillId="3" borderId="6" xfId="0" applyNumberFormat="1" applyFont="1" applyFill="1" applyBorder="1" applyAlignment="1" applyProtection="1">
      <alignment horizontal="center" vertical="center" wrapText="1"/>
      <protection hidden="1"/>
    </xf>
    <xf numFmtId="164" fontId="13" fillId="3" borderId="7" xfId="0" applyNumberFormat="1" applyFont="1" applyFill="1" applyBorder="1" applyAlignment="1" applyProtection="1">
      <alignment horizontal="center" vertical="center" wrapText="1"/>
      <protection hidden="1"/>
    </xf>
    <xf numFmtId="164" fontId="13" fillId="3" borderId="10" xfId="0" applyNumberFormat="1" applyFont="1" applyFill="1" applyBorder="1" applyAlignment="1" applyProtection="1">
      <alignment horizontal="center" vertical="center" wrapText="1"/>
      <protection hidden="1"/>
    </xf>
    <xf numFmtId="0" fontId="7" fillId="0" borderId="6" xfId="0" applyFont="1" applyFill="1" applyBorder="1" applyAlignment="1" applyProtection="1">
      <alignment horizontal="right" vertical="top"/>
      <protection hidden="1"/>
    </xf>
    <xf numFmtId="0" fontId="7" fillId="0" borderId="6" xfId="0" applyFont="1" applyFill="1" applyBorder="1" applyAlignment="1" applyProtection="1">
      <alignment horizontal="center" vertical="center"/>
      <protection hidden="1"/>
    </xf>
    <xf numFmtId="0" fontId="13" fillId="0" borderId="6" xfId="0" applyFont="1" applyFill="1" applyBorder="1" applyAlignment="1" applyProtection="1">
      <alignment horizontal="right" vertical="top"/>
      <protection hidden="1"/>
    </xf>
    <xf numFmtId="0" fontId="26" fillId="5" borderId="6" xfId="1" applyNumberFormat="1" applyFont="1" applyFill="1" applyBorder="1" applyAlignment="1" applyProtection="1">
      <alignment horizontal="left"/>
      <protection locked="0"/>
    </xf>
    <xf numFmtId="164" fontId="13" fillId="3" borderId="12" xfId="0" applyNumberFormat="1" applyFont="1" applyFill="1" applyBorder="1" applyAlignment="1" applyProtection="1">
      <alignment horizontal="left"/>
      <protection hidden="1"/>
    </xf>
    <xf numFmtId="164" fontId="13" fillId="3" borderId="15" xfId="0" applyNumberFormat="1" applyFont="1" applyFill="1" applyBorder="1" applyAlignment="1" applyProtection="1">
      <alignment horizontal="left"/>
      <protection hidden="1"/>
    </xf>
    <xf numFmtId="164" fontId="13" fillId="3" borderId="16" xfId="0" applyNumberFormat="1" applyFont="1" applyFill="1" applyBorder="1" applyAlignment="1" applyProtection="1">
      <alignment horizontal="left"/>
      <protection hidden="1"/>
    </xf>
    <xf numFmtId="0" fontId="26" fillId="5" borderId="12" xfId="1" applyNumberFormat="1" applyFont="1" applyFill="1" applyBorder="1" applyAlignment="1" applyProtection="1">
      <alignment horizontal="left"/>
      <protection locked="0"/>
    </xf>
    <xf numFmtId="0" fontId="26" fillId="5" borderId="15" xfId="1" applyNumberFormat="1" applyFont="1" applyFill="1" applyBorder="1" applyAlignment="1" applyProtection="1">
      <alignment horizontal="left"/>
      <protection locked="0"/>
    </xf>
    <xf numFmtId="0" fontId="26" fillId="5" borderId="16" xfId="1" applyNumberFormat="1" applyFont="1" applyFill="1" applyBorder="1" applyAlignment="1" applyProtection="1">
      <alignment horizontal="left"/>
      <protection locked="0"/>
    </xf>
    <xf numFmtId="166" fontId="26" fillId="5" borderId="12" xfId="1" applyNumberFormat="1" applyFont="1" applyFill="1" applyBorder="1" applyAlignment="1" applyProtection="1">
      <alignment horizontal="left"/>
      <protection locked="0"/>
    </xf>
    <xf numFmtId="166" fontId="26" fillId="5" borderId="15" xfId="1" applyNumberFormat="1" applyFont="1" applyFill="1" applyBorder="1" applyAlignment="1" applyProtection="1">
      <alignment horizontal="left"/>
      <protection locked="0"/>
    </xf>
    <xf numFmtId="166" fontId="26" fillId="5" borderId="16" xfId="1" applyNumberFormat="1" applyFont="1" applyFill="1" applyBorder="1" applyAlignment="1" applyProtection="1">
      <alignment horizontal="left"/>
      <protection locked="0"/>
    </xf>
    <xf numFmtId="166" fontId="26" fillId="5" borderId="6" xfId="1" applyNumberFormat="1" applyFont="1" applyFill="1" applyBorder="1" applyAlignment="1" applyProtection="1">
      <alignment horizontal="left"/>
      <protection locked="0"/>
    </xf>
    <xf numFmtId="0" fontId="7" fillId="0" borderId="2" xfId="0" applyFont="1" applyBorder="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7"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5"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164" fontId="8" fillId="3" borderId="5" xfId="0" applyNumberFormat="1" applyFont="1" applyFill="1" applyBorder="1" applyAlignment="1" applyProtection="1">
      <alignment horizontal="right" wrapText="1"/>
      <protection hidden="1"/>
    </xf>
    <xf numFmtId="164" fontId="13" fillId="3" borderId="15" xfId="0" applyNumberFormat="1" applyFont="1" applyFill="1" applyBorder="1" applyAlignment="1" applyProtection="1">
      <alignment horizontal="center" vertical="center"/>
      <protection hidden="1"/>
    </xf>
    <xf numFmtId="164" fontId="13" fillId="3" borderId="16" xfId="0" applyNumberFormat="1" applyFont="1" applyFill="1" applyBorder="1" applyAlignment="1" applyProtection="1">
      <alignment horizontal="center" vertical="center"/>
      <protection hidden="1"/>
    </xf>
    <xf numFmtId="166" fontId="7" fillId="5" borderId="6" xfId="1" applyNumberFormat="1" applyFont="1" applyFill="1" applyBorder="1" applyAlignment="1" applyProtection="1">
      <alignment horizontal="left"/>
      <protection locked="0"/>
    </xf>
    <xf numFmtId="164" fontId="13" fillId="3" borderId="0" xfId="0" applyNumberFormat="1" applyFont="1" applyFill="1" applyBorder="1" applyAlignment="1" applyProtection="1">
      <alignment horizontal="right" wrapText="1"/>
      <protection hidden="1"/>
    </xf>
    <xf numFmtId="0" fontId="44" fillId="0" borderId="3" xfId="0" applyFont="1" applyBorder="1" applyAlignment="1" applyProtection="1">
      <alignment horizontal="right" vertical="center"/>
      <protection hidden="1"/>
    </xf>
    <xf numFmtId="0" fontId="44" fillId="0" borderId="6" xfId="0" applyFont="1" applyBorder="1" applyAlignment="1" applyProtection="1">
      <alignment horizontal="right" vertical="center"/>
      <protection hidden="1"/>
    </xf>
    <xf numFmtId="0" fontId="44" fillId="3" borderId="12" xfId="0" applyFont="1" applyFill="1" applyBorder="1" applyAlignment="1" applyProtection="1">
      <alignment horizontal="left" vertical="center" wrapText="1"/>
      <protection hidden="1"/>
    </xf>
    <xf numFmtId="0" fontId="44" fillId="3" borderId="16" xfId="0" applyFont="1" applyFill="1" applyBorder="1" applyAlignment="1" applyProtection="1">
      <alignment horizontal="left" vertical="center" wrapText="1"/>
      <protection hidden="1"/>
    </xf>
    <xf numFmtId="0" fontId="44" fillId="3" borderId="12" xfId="0" applyFont="1" applyFill="1" applyBorder="1" applyAlignment="1" applyProtection="1">
      <alignment horizontal="right" vertical="center" wrapText="1"/>
      <protection hidden="1"/>
    </xf>
    <xf numFmtId="0" fontId="44" fillId="3" borderId="16" xfId="0" applyFont="1" applyFill="1" applyBorder="1" applyAlignment="1" applyProtection="1">
      <alignment horizontal="right" vertical="center" wrapText="1"/>
      <protection hidden="1"/>
    </xf>
    <xf numFmtId="0" fontId="39" fillId="0" borderId="12" xfId="0" applyFont="1" applyBorder="1" applyAlignment="1" applyProtection="1">
      <alignment horizontal="right" vertical="center"/>
      <protection hidden="1"/>
    </xf>
    <xf numFmtId="0" fontId="39" fillId="0" borderId="16" xfId="0" applyFont="1" applyBorder="1" applyAlignment="1" applyProtection="1">
      <alignment horizontal="right" vertical="center"/>
      <protection hidden="1"/>
    </xf>
    <xf numFmtId="0" fontId="44" fillId="0" borderId="12" xfId="0" applyFont="1" applyBorder="1" applyAlignment="1" applyProtection="1">
      <alignment horizontal="right" vertical="center"/>
      <protection hidden="1"/>
    </xf>
    <xf numFmtId="0" fontId="44" fillId="0" borderId="16" xfId="0" applyFont="1" applyBorder="1" applyAlignment="1" applyProtection="1">
      <alignment horizontal="right" vertical="center"/>
      <protection hidden="1"/>
    </xf>
    <xf numFmtId="0" fontId="36" fillId="4" borderId="0" xfId="0" applyFont="1" applyFill="1" applyAlignment="1" applyProtection="1">
      <alignment vertical="center"/>
      <protection hidden="1"/>
    </xf>
    <xf numFmtId="0" fontId="33" fillId="4" borderId="0" xfId="0" applyFont="1" applyFill="1" applyAlignment="1" applyProtection="1">
      <alignment horizontal="left" vertical="top" wrapText="1"/>
      <protection hidden="1"/>
    </xf>
  </cellXfs>
  <cellStyles count="52">
    <cellStyle name="_x000d__x000a_JournalTemplate=C:\COMFO\CTALK\JOURSTD.TPL_x000d__x000a_LbStateAddress=3 3 0 251 1 89 2 311_x000d__x000a_LbStateJou" xfId="6" xr:uid="{00000000-0005-0000-0000-000000000000}"/>
    <cellStyle name="_x000d__x000a_JournalTemplate=C:\COMFO\CTALK\JOURSTD.TPL_x000d__x000a_LbStateAddress=3 3 0 251 1 89 2 311_x000d__x000a_LbStateJou 2" xfId="7" xr:uid="{00000000-0005-0000-0000-000001000000}"/>
    <cellStyle name="Komma" xfId="1" builtinId="3"/>
    <cellStyle name="Komma 2" xfId="4" xr:uid="{00000000-0005-0000-0000-000004000000}"/>
    <cellStyle name="Komma 2 2" xfId="8" xr:uid="{00000000-0005-0000-0000-000005000000}"/>
    <cellStyle name="Komma 2 3" xfId="50" xr:uid="{2C5DCDEE-285E-4BE9-ADF5-7F4D0A8310B6}"/>
    <cellStyle name="Komma 3" xfId="9" xr:uid="{00000000-0005-0000-0000-000006000000}"/>
    <cellStyle name="Komma 3 2" xfId="10" xr:uid="{00000000-0005-0000-0000-000007000000}"/>
    <cellStyle name="Komma 3 2 2" xfId="11" xr:uid="{00000000-0005-0000-0000-000008000000}"/>
    <cellStyle name="Komma 3 3" xfId="12" xr:uid="{00000000-0005-0000-0000-000009000000}"/>
    <cellStyle name="Komma 4" xfId="13" xr:uid="{00000000-0005-0000-0000-00000A000000}"/>
    <cellStyle name="Komma 4 2" xfId="14" xr:uid="{00000000-0005-0000-0000-00000B000000}"/>
    <cellStyle name="Komma 5" xfId="15" xr:uid="{00000000-0005-0000-0000-00000C000000}"/>
    <cellStyle name="Komma 6" xfId="49" xr:uid="{00000000-0005-0000-0000-00000D000000}"/>
    <cellStyle name="Normal 2 2 2" xfId="16" xr:uid="{00000000-0005-0000-0000-00000F000000}"/>
    <cellStyle name="Normal 3 2 2" xfId="17" xr:uid="{00000000-0005-0000-0000-000010000000}"/>
    <cellStyle name="Normal 3 3 2" xfId="18" xr:uid="{00000000-0005-0000-0000-000011000000}"/>
    <cellStyle name="Normal 3 4" xfId="19" xr:uid="{00000000-0005-0000-0000-000012000000}"/>
    <cellStyle name="Normal 3 5" xfId="20" xr:uid="{00000000-0005-0000-0000-000013000000}"/>
    <cellStyle name="Notitie 2" xfId="21" xr:uid="{00000000-0005-0000-0000-000014000000}"/>
    <cellStyle name="Procent" xfId="2" builtinId="5"/>
    <cellStyle name="Procent 2" xfId="5" xr:uid="{00000000-0005-0000-0000-000016000000}"/>
    <cellStyle name="Procent 2 2" xfId="22" xr:uid="{00000000-0005-0000-0000-000017000000}"/>
    <cellStyle name="Procent 2 3" xfId="51" xr:uid="{66126106-BB2F-4307-A379-FC18D748B79C}"/>
    <cellStyle name="Procent 3" xfId="23" xr:uid="{00000000-0005-0000-0000-000018000000}"/>
    <cellStyle name="Procent 3 2" xfId="24" xr:uid="{00000000-0005-0000-0000-000019000000}"/>
    <cellStyle name="Procent 4" xfId="25" xr:uid="{00000000-0005-0000-0000-00001A000000}"/>
    <cellStyle name="Procent 4 2" xfId="26" xr:uid="{00000000-0005-0000-0000-00001B000000}"/>
    <cellStyle name="Standaard" xfId="0" builtinId="0"/>
    <cellStyle name="Standaard 2" xfId="27" xr:uid="{00000000-0005-0000-0000-00001C000000}"/>
    <cellStyle name="Standaard 2 2" xfId="28" xr:uid="{00000000-0005-0000-0000-00001D000000}"/>
    <cellStyle name="Standaard 2 3" xfId="47" xr:uid="{00000000-0005-0000-0000-00001E000000}"/>
    <cellStyle name="Standaard 3" xfId="29" xr:uid="{00000000-0005-0000-0000-00001F000000}"/>
    <cellStyle name="Standaard 3 2" xfId="30" xr:uid="{00000000-0005-0000-0000-000020000000}"/>
    <cellStyle name="Standaard 3 2 2" xfId="31" xr:uid="{00000000-0005-0000-0000-000021000000}"/>
    <cellStyle name="Standaard 3 3" xfId="32" xr:uid="{00000000-0005-0000-0000-000022000000}"/>
    <cellStyle name="Standaard 3 4" xfId="33" xr:uid="{00000000-0005-0000-0000-000023000000}"/>
    <cellStyle name="Standaard 4" xfId="3" xr:uid="{00000000-0005-0000-0000-000024000000}"/>
    <cellStyle name="Standaard 4 2" xfId="34" xr:uid="{00000000-0005-0000-0000-000025000000}"/>
    <cellStyle name="Standaard 5" xfId="35" xr:uid="{00000000-0005-0000-0000-000026000000}"/>
    <cellStyle name="Standaard 6" xfId="36" xr:uid="{00000000-0005-0000-0000-000027000000}"/>
    <cellStyle name="Standaard 7" xfId="37" xr:uid="{00000000-0005-0000-0000-000028000000}"/>
    <cellStyle name="Stijl 1" xfId="38" xr:uid="{00000000-0005-0000-0000-000029000000}"/>
    <cellStyle name="Style 1" xfId="39" xr:uid="{00000000-0005-0000-0000-00002A000000}"/>
    <cellStyle name="Valuta 2" xfId="40" xr:uid="{00000000-0005-0000-0000-00002B000000}"/>
    <cellStyle name="Valuta 2 2" xfId="41" xr:uid="{00000000-0005-0000-0000-00002C000000}"/>
    <cellStyle name="Valuta 2 2 2" xfId="42" xr:uid="{00000000-0005-0000-0000-00002D000000}"/>
    <cellStyle name="Valuta 2 3" xfId="43" xr:uid="{00000000-0005-0000-0000-00002E000000}"/>
    <cellStyle name="Valuta 2 4" xfId="48" xr:uid="{00000000-0005-0000-0000-00002F000000}"/>
    <cellStyle name="Valuta 3" xfId="44" xr:uid="{00000000-0005-0000-0000-000030000000}"/>
    <cellStyle name="Valuta 3 2" xfId="45" xr:uid="{00000000-0005-0000-0000-000031000000}"/>
    <cellStyle name="Valuta 4" xfId="46" xr:uid="{00000000-0005-0000-0000-000032000000}"/>
  </cellStyles>
  <dxfs count="357">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tint="-0.2499465926084170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ont>
        <color theme="0" tint="-0.24994659260841701"/>
      </font>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b/>
        <i val="0"/>
      </font>
      <fill>
        <patternFill>
          <bgColor rgb="FFFF0000"/>
        </patternFill>
      </fill>
    </dxf>
    <dxf>
      <font>
        <color theme="0" tint="-0.2499465926084170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ont>
        <color theme="0" tint="-0.24994659260841701"/>
      </font>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ont>
        <b/>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b val="0"/>
        <i val="0"/>
      </font>
      <fill>
        <patternFill>
          <bgColor rgb="FFFF0000"/>
        </patternFill>
      </fill>
    </dxf>
    <dxf>
      <font>
        <b/>
        <i val="0"/>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1"/>
      </font>
      <fill>
        <patternFill>
          <bgColor rgb="FFFF0000"/>
        </patternFill>
      </fill>
    </dxf>
    <dxf>
      <font>
        <b/>
        <i val="0"/>
      </font>
      <fill>
        <patternFill>
          <bgColor rgb="FFFF0000"/>
        </patternFill>
      </fill>
    </dxf>
    <dxf>
      <font>
        <b val="0"/>
        <i val="0"/>
      </font>
      <fill>
        <patternFill>
          <bgColor rgb="FFFF0000"/>
        </patternFill>
      </fill>
    </dxf>
    <dxf>
      <font>
        <b val="0"/>
        <i val="0"/>
      </font>
      <fill>
        <patternFill>
          <bgColor rgb="FFFF0000"/>
        </patternFill>
      </fill>
    </dxf>
    <dxf>
      <fill>
        <patternFill>
          <bgColor rgb="FFFF0000"/>
        </patternFill>
      </fill>
    </dxf>
    <dxf>
      <fill>
        <patternFill>
          <bgColor rgb="FFFF0000"/>
        </patternFill>
      </fill>
    </dxf>
    <dxf>
      <font>
        <b val="0"/>
        <i val="0"/>
      </font>
      <fill>
        <patternFill>
          <bgColor rgb="FFFF0000"/>
        </patternFill>
      </fill>
    </dxf>
    <dxf>
      <font>
        <b val="0"/>
        <i val="0"/>
      </font>
      <fill>
        <patternFill>
          <bgColor rgb="FFFF0000"/>
        </patternFill>
      </fill>
    </dxf>
    <dxf>
      <fill>
        <patternFill>
          <bgColor rgb="FFFF0000"/>
        </patternFill>
      </fill>
    </dxf>
    <dxf>
      <font>
        <b val="0"/>
        <i val="0"/>
      </font>
      <fill>
        <patternFill>
          <bgColor rgb="FFFF0000"/>
        </patternFill>
      </fill>
    </dxf>
    <dxf>
      <font>
        <b val="0"/>
        <i val="0"/>
      </font>
      <fill>
        <patternFill>
          <bgColor rgb="FFFF0000"/>
        </patternFill>
      </fill>
    </dxf>
    <dxf>
      <fill>
        <patternFill>
          <bgColor rgb="FFFF0000"/>
        </patternFill>
      </fill>
    </dxf>
    <dxf>
      <font>
        <b val="0"/>
        <i val="0"/>
      </font>
      <fill>
        <patternFill>
          <bgColor rgb="FFFF0000"/>
        </patternFill>
      </fill>
    </dxf>
    <dxf>
      <font>
        <b val="0"/>
        <i val="0"/>
      </font>
      <fill>
        <patternFill>
          <bgColor rgb="FFFF0000"/>
        </patternFill>
      </fill>
    </dxf>
    <dxf>
      <fill>
        <patternFill>
          <bgColor rgb="FFFF0000"/>
        </patternFill>
      </fill>
    </dxf>
    <dxf>
      <font>
        <b val="0"/>
        <i val="0"/>
      </font>
      <fill>
        <patternFill>
          <bgColor rgb="FFFF0000"/>
        </patternFill>
      </fill>
    </dxf>
    <dxf>
      <font>
        <b val="0"/>
        <i val="0"/>
      </font>
      <fill>
        <patternFill>
          <bgColor rgb="FFFF0000"/>
        </patternFill>
      </fill>
    </dxf>
    <dxf>
      <font>
        <b/>
        <i val="0"/>
        <color theme="1"/>
      </font>
      <fill>
        <patternFill>
          <bgColor rgb="FFFF0000"/>
        </patternFill>
      </fill>
    </dxf>
    <dxf>
      <font>
        <b/>
        <i val="0"/>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ont>
        <b val="0"/>
        <i val="0"/>
      </font>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b/>
        <i val="0"/>
      </font>
      <fill>
        <patternFill>
          <bgColor rgb="FFFF0000"/>
        </patternFill>
      </fill>
    </dxf>
    <dxf>
      <font>
        <b val="0"/>
        <i val="0"/>
      </font>
      <fill>
        <patternFill>
          <bgColor rgb="FFFF0000"/>
        </patternFill>
      </fill>
    </dxf>
    <dxf>
      <font>
        <b val="0"/>
        <i val="0"/>
      </font>
      <fill>
        <patternFill>
          <bgColor rgb="FFFF0000"/>
        </patternFill>
      </fill>
    </dxf>
    <dxf>
      <font>
        <b val="0"/>
        <i val="0"/>
      </font>
      <fill>
        <patternFill>
          <bgColor rgb="FFFF0000"/>
        </patternFill>
      </fill>
    </dxf>
    <dxf>
      <font>
        <b val="0"/>
        <i val="0"/>
      </font>
      <fill>
        <patternFill>
          <bgColor rgb="FFFF0000"/>
        </patternFill>
      </fill>
    </dxf>
    <dxf>
      <font>
        <b val="0"/>
        <i val="0"/>
      </font>
      <fill>
        <patternFill>
          <bgColor rgb="FFFF0000"/>
        </patternFill>
      </fill>
    </dxf>
    <dxf>
      <font>
        <b val="0"/>
        <i val="0"/>
      </font>
      <fill>
        <patternFill>
          <bgColor rgb="FFFF0000"/>
        </patternFill>
      </fill>
    </dxf>
    <dxf>
      <font>
        <b/>
        <i val="0"/>
        <color theme="1"/>
      </font>
      <fill>
        <patternFill>
          <bgColor rgb="FFFF0000"/>
        </patternFill>
      </fill>
    </dxf>
    <dxf>
      <font>
        <b/>
        <i val="0"/>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font>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58.331265563417944</c:v>
                </c:pt>
                <c:pt idx="1">
                  <c:v>58.852124743875223</c:v>
                </c:pt>
                <c:pt idx="2">
                  <c:v>59.372983924332502</c:v>
                </c:pt>
                <c:pt idx="3">
                  <c:v>60.414702285247046</c:v>
                </c:pt>
                <c:pt idx="4">
                  <c:v>62.498139007076148</c:v>
                </c:pt>
                <c:pt idx="5">
                  <c:v>64.581575728905264</c:v>
                </c:pt>
                <c:pt idx="6">
                  <c:v>66.665012450734366</c:v>
                </c:pt>
                <c:pt idx="7">
                  <c:v>68.748449172563468</c:v>
                </c:pt>
                <c:pt idx="8">
                  <c:v>70.83188589439257</c:v>
                </c:pt>
                <c:pt idx="9">
                  <c:v>72.915322616221673</c:v>
                </c:pt>
                <c:pt idx="10">
                  <c:v>74.998759338050775</c:v>
                </c:pt>
                <c:pt idx="11">
                  <c:v>77.082196059879877</c:v>
                </c:pt>
                <c:pt idx="12">
                  <c:v>79.165632781708979</c:v>
                </c:pt>
                <c:pt idx="13">
                  <c:v>81.249069503538081</c:v>
                </c:pt>
                <c:pt idx="14">
                  <c:v>83.332506225367169</c:v>
                </c:pt>
                <c:pt idx="15">
                  <c:v>85.415942947196285</c:v>
                </c:pt>
                <c:pt idx="16">
                  <c:v>87.499379669025373</c:v>
                </c:pt>
                <c:pt idx="17">
                  <c:v>89.582816390854489</c:v>
                </c:pt>
                <c:pt idx="18">
                  <c:v>91.666253112683592</c:v>
                </c:pt>
                <c:pt idx="19">
                  <c:v>93.749689834512679</c:v>
                </c:pt>
                <c:pt idx="20">
                  <c:v>95.833126556341796</c:v>
                </c:pt>
                <c:pt idx="21">
                  <c:v>97.916563278170912</c:v>
                </c:pt>
                <c:pt idx="22">
                  <c:v>100</c:v>
                </c:pt>
              </c:numCache>
            </c:numRef>
          </c:xVal>
          <c:yVal>
            <c:numRef>
              <c:f>DATA!$D$19:$Z$19</c:f>
              <c:numCache>
                <c:formatCode>_(* #,##0.00_);_(* \(#,##0.00\);_(* "-"??_);_(@_)</c:formatCode>
                <c:ptCount val="23"/>
                <c:pt idx="0">
                  <c:v>0</c:v>
                </c:pt>
                <c:pt idx="1">
                  <c:v>40581885.019300394</c:v>
                </c:pt>
                <c:pt idx="2">
                  <c:v>49919239.946485095</c:v>
                </c:pt>
                <c:pt idx="3">
                  <c:v>61285041.174169354</c:v>
                </c:pt>
                <c:pt idx="4">
                  <c:v>74942972.750973806</c:v>
                </c:pt>
                <c:pt idx="5">
                  <c:v>84025162.229344264</c:v>
                </c:pt>
                <c:pt idx="6">
                  <c:v>90916300.522171363</c:v>
                </c:pt>
                <c:pt idx="7">
                  <c:v>96472142.499258056</c:v>
                </c:pt>
                <c:pt idx="8">
                  <c:v>101110549.98141524</c:v>
                </c:pt>
                <c:pt idx="9">
                  <c:v>105070992.89893441</c:v>
                </c:pt>
                <c:pt idx="10">
                  <c:v>108505218.11773701</c:v>
                </c:pt>
                <c:pt idx="11">
                  <c:v>111516318.77153368</c:v>
                </c:pt>
                <c:pt idx="12">
                  <c:v>114178026.24431455</c:v>
                </c:pt>
                <c:pt idx="13">
                  <c:v>116545204.70094799</c:v>
                </c:pt>
                <c:pt idx="14">
                  <c:v>118659990.97506398</c:v>
                </c:pt>
                <c:pt idx="15">
                  <c:v>120555597.13303955</c:v>
                </c:pt>
                <c:pt idx="16">
                  <c:v>122258775.91609086</c:v>
                </c:pt>
                <c:pt idx="17">
                  <c:v>123791480.72985376</c:v>
                </c:pt>
                <c:pt idx="18">
                  <c:v>125172019.27036007</c:v>
                </c:pt>
                <c:pt idx="19">
                  <c:v>126415877.14852348</c:v>
                </c:pt>
                <c:pt idx="20">
                  <c:v>127536319.72866431</c:v>
                </c:pt>
                <c:pt idx="21">
                  <c:v>128544840.88447447</c:v>
                </c:pt>
                <c:pt idx="22">
                  <c:v>129451503.59809071</c:v>
                </c:pt>
              </c:numCache>
            </c:numRef>
          </c:yVal>
          <c:smooth val="0"/>
          <c:extLst>
            <c:ext xmlns:c16="http://schemas.microsoft.com/office/drawing/2014/chart" uri="{C3380CC4-5D6E-409C-BE32-E72D297353CC}">
              <c16:uniqueId val="{00000000-2029-458A-B983-09A2A60AF1B0}"/>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67.698139007076151</c:v>
                </c:pt>
                <c:pt idx="1">
                  <c:v>68.101912269487713</c:v>
                </c:pt>
                <c:pt idx="2">
                  <c:v>68.505685531899246</c:v>
                </c:pt>
                <c:pt idx="3">
                  <c:v>69.313232056722356</c:v>
                </c:pt>
                <c:pt idx="4">
                  <c:v>70.928325106368533</c:v>
                </c:pt>
                <c:pt idx="5">
                  <c:v>72.543418156014724</c:v>
                </c:pt>
                <c:pt idx="6">
                  <c:v>74.158511205660929</c:v>
                </c:pt>
                <c:pt idx="7">
                  <c:v>75.77360425530712</c:v>
                </c:pt>
                <c:pt idx="8">
                  <c:v>77.388697304953297</c:v>
                </c:pt>
                <c:pt idx="9">
                  <c:v>79.003790354599502</c:v>
                </c:pt>
                <c:pt idx="10">
                  <c:v>80.618883404245693</c:v>
                </c:pt>
                <c:pt idx="11">
                  <c:v>82.233976453891898</c:v>
                </c:pt>
                <c:pt idx="12">
                  <c:v>83.84906950353809</c:v>
                </c:pt>
                <c:pt idx="13">
                  <c:v>85.464162553184266</c:v>
                </c:pt>
                <c:pt idx="14">
                  <c:v>87.079255602830457</c:v>
                </c:pt>
                <c:pt idx="15">
                  <c:v>88.694348652476663</c:v>
                </c:pt>
                <c:pt idx="16">
                  <c:v>90.309441702122854</c:v>
                </c:pt>
                <c:pt idx="17">
                  <c:v>91.924534751769045</c:v>
                </c:pt>
                <c:pt idx="18">
                  <c:v>93.539627801415236</c:v>
                </c:pt>
                <c:pt idx="19">
                  <c:v>95.154720851061427</c:v>
                </c:pt>
                <c:pt idx="20">
                  <c:v>96.769813900707618</c:v>
                </c:pt>
                <c:pt idx="21">
                  <c:v>98.384906950353795</c:v>
                </c:pt>
                <c:pt idx="22">
                  <c:v>100</c:v>
                </c:pt>
              </c:numCache>
            </c:numRef>
          </c:xVal>
          <c:yVal>
            <c:numRef>
              <c:f>DATA!$D$22:$Z$22</c:f>
              <c:numCache>
                <c:formatCode>_(* #,##0.00_);_(* \(#,##0.00\);_(* "-"??_);_(@_)</c:formatCode>
                <c:ptCount val="23"/>
                <c:pt idx="0">
                  <c:v>0</c:v>
                </c:pt>
                <c:pt idx="1">
                  <c:v>34925496.921645217</c:v>
                </c:pt>
                <c:pt idx="2">
                  <c:v>42973011.312679946</c:v>
                </c:pt>
                <c:pt idx="3">
                  <c:v>52785933.300803147</c:v>
                </c:pt>
                <c:pt idx="4">
                  <c:v>64620515.747802585</c:v>
                </c:pt>
                <c:pt idx="5">
                  <c:v>72532033.034127384</c:v>
                </c:pt>
                <c:pt idx="6">
                  <c:v>78568470.004944623</c:v>
                </c:pt>
                <c:pt idx="7">
                  <c:v>83464041.350195035</c:v>
                </c:pt>
                <c:pt idx="8">
                  <c:v>87576908.327568144</c:v>
                </c:pt>
                <c:pt idx="9">
                  <c:v>91112111.884508744</c:v>
                </c:pt>
                <c:pt idx="10">
                  <c:v>94199432.525687531</c:v>
                </c:pt>
                <c:pt idx="11">
                  <c:v>96926926.77706787</c:v>
                </c:pt>
                <c:pt idx="12">
                  <c:v>99357480.508525506</c:v>
                </c:pt>
                <c:pt idx="13">
                  <c:v>101537810.06979883</c:v>
                </c:pt>
                <c:pt idx="14">
                  <c:v>103503726.31126522</c:v>
                </c:pt>
                <c:pt idx="15">
                  <c:v>105283393.33743599</c:v>
                </c:pt>
                <c:pt idx="16">
                  <c:v>106899440.44391325</c:v>
                </c:pt>
                <c:pt idx="17">
                  <c:v>108370383.44732624</c:v>
                </c:pt>
                <c:pt idx="18">
                  <c:v>109711611.98751806</c:v>
                </c:pt>
                <c:pt idx="19">
                  <c:v>110936094.06421725</c:v>
                </c:pt>
                <c:pt idx="20">
                  <c:v>112054890.60377871</c:v>
                </c:pt>
                <c:pt idx="21">
                  <c:v>113077538.95963049</c:v>
                </c:pt>
                <c:pt idx="22">
                  <c:v>114012343.85931435</c:v>
                </c:pt>
              </c:numCache>
            </c:numRef>
          </c:yVal>
          <c:smooth val="0"/>
          <c:extLst>
            <c:ext xmlns:c16="http://schemas.microsoft.com/office/drawing/2014/chart" uri="{C3380CC4-5D6E-409C-BE32-E72D297353CC}">
              <c16:uniqueId val="{00000001-2029-458A-B983-09A2A60AF1B0}"/>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77.065012450734372</c:v>
                </c:pt>
                <c:pt idx="1">
                  <c:v>77.351699795100188</c:v>
                </c:pt>
                <c:pt idx="2">
                  <c:v>77.638387139466005</c:v>
                </c:pt>
                <c:pt idx="3">
                  <c:v>78.211761828197652</c:v>
                </c:pt>
                <c:pt idx="4">
                  <c:v>79.358511205660932</c:v>
                </c:pt>
                <c:pt idx="5">
                  <c:v>80.505260583124212</c:v>
                </c:pt>
                <c:pt idx="6">
                  <c:v>81.652009960587492</c:v>
                </c:pt>
                <c:pt idx="7">
                  <c:v>82.798759338050772</c:v>
                </c:pt>
                <c:pt idx="8">
                  <c:v>83.945508715514052</c:v>
                </c:pt>
                <c:pt idx="9">
                  <c:v>85.092258092977332</c:v>
                </c:pt>
                <c:pt idx="10">
                  <c:v>86.239007470440612</c:v>
                </c:pt>
                <c:pt idx="11">
                  <c:v>87.385756847903906</c:v>
                </c:pt>
                <c:pt idx="12">
                  <c:v>88.532506225367186</c:v>
                </c:pt>
                <c:pt idx="13">
                  <c:v>89.67925560283048</c:v>
                </c:pt>
                <c:pt idx="14">
                  <c:v>90.826004980293746</c:v>
                </c:pt>
                <c:pt idx="15">
                  <c:v>91.97275435775704</c:v>
                </c:pt>
                <c:pt idx="16">
                  <c:v>93.119503735220306</c:v>
                </c:pt>
                <c:pt idx="17">
                  <c:v>94.2662531126836</c:v>
                </c:pt>
                <c:pt idx="18">
                  <c:v>95.41300249014688</c:v>
                </c:pt>
                <c:pt idx="19">
                  <c:v>96.55975186761016</c:v>
                </c:pt>
                <c:pt idx="20">
                  <c:v>97.70650124507344</c:v>
                </c:pt>
                <c:pt idx="21">
                  <c:v>98.85325062253672</c:v>
                </c:pt>
                <c:pt idx="22">
                  <c:v>100</c:v>
                </c:pt>
              </c:numCache>
            </c:numRef>
          </c:xVal>
          <c:yVal>
            <c:numRef>
              <c:f>DATA!$D$25:$Z$25</c:f>
              <c:numCache>
                <c:formatCode>_(* #,##0.00_);_(* \(#,##0.00\);_(* "-"??_);_(@_)</c:formatCode>
                <c:ptCount val="23"/>
                <c:pt idx="0">
                  <c:v>0</c:v>
                </c:pt>
                <c:pt idx="1">
                  <c:v>29020871.574546967</c:v>
                </c:pt>
                <c:pt idx="2">
                  <c:v>35719909.165423065</c:v>
                </c:pt>
                <c:pt idx="3">
                  <c:v>43906337.879467413</c:v>
                </c:pt>
                <c:pt idx="4">
                  <c:v>53823569.62794327</c:v>
                </c:pt>
                <c:pt idx="5">
                  <c:v>60496528.900890142</c:v>
                </c:pt>
                <c:pt idx="6">
                  <c:v>65622500.66561611</c:v>
                </c:pt>
                <c:pt idx="7">
                  <c:v>69809250.428300247</c:v>
                </c:pt>
                <c:pt idx="8">
                  <c:v>73352905.732390866</c:v>
                </c:pt>
                <c:pt idx="9">
                  <c:v>76422786.400757626</c:v>
                </c:pt>
                <c:pt idx="10">
                  <c:v>79125923.547073439</c:v>
                </c:pt>
                <c:pt idx="11">
                  <c:v>81534835.868406996</c:v>
                </c:pt>
                <c:pt idx="12">
                  <c:v>83701233.044369549</c:v>
                </c:pt>
                <c:pt idx="13">
                  <c:v>85663463.525874585</c:v>
                </c:pt>
                <c:pt idx="14">
                  <c:v>87450867.98450236</c:v>
                </c:pt>
                <c:pt idx="15">
                  <c:v>89086473.021210432</c:v>
                </c:pt>
                <c:pt idx="16">
                  <c:v>90588736.020217448</c:v>
                </c:pt>
                <c:pt idx="17">
                  <c:v>91972718.819784701</c:v>
                </c:pt>
                <c:pt idx="18">
                  <c:v>93250902.543559641</c:v>
                </c:pt>
                <c:pt idx="19">
                  <c:v>94433768.738850966</c:v>
                </c:pt>
                <c:pt idx="20">
                  <c:v>95530223.573590115</c:v>
                </c:pt>
                <c:pt idx="21">
                  <c:v>96547913.797823682</c:v>
                </c:pt>
                <c:pt idx="22">
                  <c:v>97493466.30658263</c:v>
                </c:pt>
              </c:numCache>
            </c:numRef>
          </c:yVal>
          <c:smooth val="0"/>
          <c:extLst>
            <c:ext xmlns:c16="http://schemas.microsoft.com/office/drawing/2014/chart" uri="{C3380CC4-5D6E-409C-BE32-E72D297353CC}">
              <c16:uniqueId val="{00000002-2029-458A-B983-09A2A60AF1B0}"/>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86.431885894392565</c:v>
                </c:pt>
                <c:pt idx="1">
                  <c:v>86.60148732071265</c:v>
                </c:pt>
                <c:pt idx="2">
                  <c:v>86.771088747032749</c:v>
                </c:pt>
                <c:pt idx="3">
                  <c:v>87.110291599672934</c:v>
                </c:pt>
                <c:pt idx="4">
                  <c:v>87.788697304953317</c:v>
                </c:pt>
                <c:pt idx="5">
                  <c:v>88.467103010233672</c:v>
                </c:pt>
                <c:pt idx="6">
                  <c:v>89.145508715514055</c:v>
                </c:pt>
                <c:pt idx="7">
                  <c:v>89.823914420794424</c:v>
                </c:pt>
                <c:pt idx="8">
                  <c:v>90.502320126074792</c:v>
                </c:pt>
                <c:pt idx="9">
                  <c:v>91.180725831355176</c:v>
                </c:pt>
                <c:pt idx="10">
                  <c:v>91.85913153663553</c:v>
                </c:pt>
                <c:pt idx="11">
                  <c:v>92.537537241915913</c:v>
                </c:pt>
                <c:pt idx="12">
                  <c:v>93.215942947196282</c:v>
                </c:pt>
                <c:pt idx="13">
                  <c:v>93.894348652476651</c:v>
                </c:pt>
                <c:pt idx="14">
                  <c:v>94.572754357757034</c:v>
                </c:pt>
                <c:pt idx="15">
                  <c:v>95.251160063037389</c:v>
                </c:pt>
                <c:pt idx="16">
                  <c:v>95.929565768317772</c:v>
                </c:pt>
                <c:pt idx="17">
                  <c:v>96.607971473598141</c:v>
                </c:pt>
                <c:pt idx="18">
                  <c:v>97.28637717887851</c:v>
                </c:pt>
                <c:pt idx="19">
                  <c:v>97.964782884158893</c:v>
                </c:pt>
                <c:pt idx="20">
                  <c:v>98.643188589439248</c:v>
                </c:pt>
                <c:pt idx="21">
                  <c:v>99.321594294719631</c:v>
                </c:pt>
                <c:pt idx="22">
                  <c:v>100</c:v>
                </c:pt>
              </c:numCache>
            </c:numRef>
          </c:xVal>
          <c:yVal>
            <c:numRef>
              <c:f>DATA!$D$28:$Z$28</c:f>
              <c:numCache>
                <c:formatCode>_(* #,##0.00_);_(* \(#,##0.00\);_(* "-"??_);_(@_)</c:formatCode>
                <c:ptCount val="23"/>
                <c:pt idx="0">
                  <c:v>0</c:v>
                </c:pt>
                <c:pt idx="1">
                  <c:v>22575840.109396238</c:v>
                </c:pt>
                <c:pt idx="2">
                  <c:v>27799197.367482048</c:v>
                </c:pt>
                <c:pt idx="3">
                  <c:v>34200071.811516635</c:v>
                </c:pt>
                <c:pt idx="4">
                  <c:v>41998336.262922317</c:v>
                </c:pt>
                <c:pt idx="5">
                  <c:v>47288453.453481756</c:v>
                </c:pt>
                <c:pt idx="6">
                  <c:v>51386341.044491358</c:v>
                </c:pt>
                <c:pt idx="7">
                  <c:v>54762500.898296222</c:v>
                </c:pt>
                <c:pt idx="8">
                  <c:v>57645846.414978877</c:v>
                </c:pt>
                <c:pt idx="9">
                  <c:v>60167072.733524062</c:v>
                </c:pt>
                <c:pt idx="10">
                  <c:v>62408669.934071027</c:v>
                </c:pt>
                <c:pt idx="11">
                  <c:v>64426440.564089753</c:v>
                </c:pt>
                <c:pt idx="12">
                  <c:v>66260108.593179435</c:v>
                </c:pt>
                <c:pt idx="13">
                  <c:v>67939081.776099905</c:v>
                </c:pt>
                <c:pt idx="14">
                  <c:v>69485817.83002618</c:v>
                </c:pt>
                <c:pt idx="15">
                  <c:v>70917905.972922191</c:v>
                </c:pt>
                <c:pt idx="16">
                  <c:v>72249414.403220654</c:v>
                </c:pt>
                <c:pt idx="17">
                  <c:v>73491796.109360427</c:v>
                </c:pt>
                <c:pt idx="18">
                  <c:v>74654517.33728905</c:v>
                </c:pt>
                <c:pt idx="19">
                  <c:v>75745505.525609285</c:v>
                </c:pt>
                <c:pt idx="20">
                  <c:v>76771476.058015615</c:v>
                </c:pt>
                <c:pt idx="21">
                  <c:v>77738175.480994999</c:v>
                </c:pt>
                <c:pt idx="22">
                  <c:v>78650565.786105275</c:v>
                </c:pt>
              </c:numCache>
            </c:numRef>
          </c:yVal>
          <c:smooth val="0"/>
          <c:extLst>
            <c:ext xmlns:c16="http://schemas.microsoft.com/office/drawing/2014/chart" uri="{C3380CC4-5D6E-409C-BE32-E72D297353CC}">
              <c16:uniqueId val="{00000003-2029-458A-B983-09A2A60AF1B0}"/>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220000000.00000006</c:v>
                </c:pt>
              </c:numCache>
            </c:numRef>
          </c:yVal>
          <c:smooth val="0"/>
          <c:extLst>
            <c:ext xmlns:c16="http://schemas.microsoft.com/office/drawing/2014/chart" uri="{C3380CC4-5D6E-409C-BE32-E72D297353CC}">
              <c16:uniqueId val="{00000004-2029-458A-B983-09A2A60AF1B0}"/>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220000000.00000006</c:v>
                </c:pt>
              </c:numCache>
            </c:numRef>
          </c:yVal>
          <c:smooth val="0"/>
          <c:extLst>
            <c:ext xmlns:c16="http://schemas.microsoft.com/office/drawing/2014/chart" uri="{C3380CC4-5D6E-409C-BE32-E72D297353CC}">
              <c16:uniqueId val="{00000005-2029-458A-B983-09A2A60AF1B0}"/>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029-458A-B983-09A2A60AF1B0}"/>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76</c:v>
                </c:pt>
              </c:numCache>
            </c:numRef>
          </c:xVal>
          <c:yVal>
            <c:numRef>
              <c:f>DATA!$C$38</c:f>
              <c:numCache>
                <c:formatCode>_ "€"\ * #,##0_ ;_ "€"\ * \-#,##0_ ;_ "€"\ * "-"??_ ;_ @_ </c:formatCode>
                <c:ptCount val="1"/>
                <c:pt idx="0">
                  <c:v>110000000</c:v>
                </c:pt>
              </c:numCache>
            </c:numRef>
          </c:yVal>
          <c:smooth val="0"/>
          <c:extLst>
            <c:ext xmlns:c16="http://schemas.microsoft.com/office/drawing/2014/chart" uri="{C3380CC4-5D6E-409C-BE32-E72D297353CC}">
              <c16:uniqueId val="{00000007-2029-458A-B983-09A2A60AF1B0}"/>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2029-458A-B983-09A2A60AF1B0}"/>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129452631.57894737</c:v>
                </c:pt>
              </c:numCache>
            </c:numRef>
          </c:yVal>
          <c:smooth val="0"/>
          <c:extLst>
            <c:ext xmlns:c16="http://schemas.microsoft.com/office/drawing/2014/chart" uri="{C3380CC4-5D6E-409C-BE32-E72D297353CC}">
              <c16:uniqueId val="{00000009-2029-458A-B983-09A2A60AF1B0}"/>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2029-458A-B983-09A2A60AF1B0}"/>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2029-458A-B983-09A2A60AF1B0}"/>
            </c:ext>
          </c:extLst>
        </c:ser>
        <c:ser>
          <c:idx val="3"/>
          <c:order val="9"/>
          <c:tx>
            <c:strRef>
              <c:f>DATA!$G$41</c:f>
              <c:strCache>
                <c:ptCount val="1"/>
                <c:pt idx="0">
                  <c:v>225</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2029-458A-B983-09A2A60AF1B0}"/>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2029-458A-B983-09A2A60AF1B0}"/>
            </c:ext>
          </c:extLst>
        </c:ser>
        <c:ser>
          <c:idx val="5"/>
          <c:order val="10"/>
          <c:tx>
            <c:strRef>
              <c:f>DATA!$G$40</c:f>
              <c:strCache>
                <c:ptCount val="1"/>
                <c:pt idx="0">
                  <c:v>375</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2029-458A-B983-09A2A60AF1B0}"/>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2029-458A-B983-09A2A60AF1B0}"/>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220000000.00000006</c:v>
                </c:pt>
              </c:numCache>
            </c:numRef>
          </c:yVal>
          <c:smooth val="0"/>
          <c:extLst>
            <c:ext xmlns:c16="http://schemas.microsoft.com/office/drawing/2014/chart" uri="{C3380CC4-5D6E-409C-BE32-E72D297353CC}">
              <c16:uniqueId val="{00000010-2029-458A-B983-09A2A60AF1B0}"/>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-2.666666666666667</c:v>
                </c:pt>
                <c:pt idx="1">
                  <c:v>-2.666666666666667</c:v>
                </c:pt>
              </c:numCache>
            </c:numRef>
          </c:xVal>
          <c:yVal>
            <c:numRef>
              <c:f>DATA!$C$43:$D$43</c:f>
              <c:numCache>
                <c:formatCode>_ "€"\ * #,##0_ ;_ "€"\ * \-#,##0_ ;_ "€"\ * "-"??_ ;_ @_ </c:formatCode>
                <c:ptCount val="2"/>
                <c:pt idx="0" formatCode="_(&quot;€&quot;* #,##0.00_);_(&quot;€&quot;* \(#,##0.00\);_(&quot;€&quot;* &quot;-&quot;??_);_(@_)">
                  <c:v>0</c:v>
                </c:pt>
                <c:pt idx="1">
                  <c:v>220000000.00000006</c:v>
                </c:pt>
              </c:numCache>
            </c:numRef>
          </c:yVal>
          <c:smooth val="0"/>
          <c:extLst>
            <c:ext xmlns:c16="http://schemas.microsoft.com/office/drawing/2014/chart" uri="{C3380CC4-5D6E-409C-BE32-E72D297353CC}">
              <c16:uniqueId val="{00000011-2029-458A-B983-09A2A60AF1B0}"/>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2029-458A-B983-09A2A60AF1B0}"/>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2029-458A-B983-09A2A60AF1B0}"/>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2029-458A-B983-09A2A60AF1B0}"/>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180000000.00000003"/>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90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304800</xdr:colOff>
      <xdr:row>4</xdr:row>
      <xdr:rowOff>76200</xdr:rowOff>
    </xdr:from>
    <xdr:to>
      <xdr:col>7</xdr:col>
      <xdr:colOff>897255</xdr:colOff>
      <xdr:row>6</xdr:row>
      <xdr:rowOff>132434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486650" y="1009650"/>
          <a:ext cx="1762125" cy="433424"/>
        </a:xfrm>
        <a:prstGeom prst="rect">
          <a:avLst/>
        </a:prstGeom>
      </xdr:spPr>
    </xdr:pic>
    <xdr:clientData/>
  </xdr:twoCellAnchor>
  <xdr:twoCellAnchor editAs="oneCell">
    <xdr:from>
      <xdr:col>14</xdr:col>
      <xdr:colOff>85725</xdr:colOff>
      <xdr:row>1</xdr:row>
      <xdr:rowOff>70485</xdr:rowOff>
    </xdr:from>
    <xdr:to>
      <xdr:col>14</xdr:col>
      <xdr:colOff>1162050</xdr:colOff>
      <xdr:row>4</xdr:row>
      <xdr:rowOff>93242</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9321165" y="260985"/>
          <a:ext cx="1066800" cy="769517"/>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drawings/drawing2.xml><?xml version="1.0" encoding="utf-8"?>
<xdr:wsDr xmlns:xdr="http://schemas.openxmlformats.org/drawingml/2006/spreadsheetDrawing" xmlns:a="http://schemas.openxmlformats.org/drawingml/2006/main">
  <xdr:oneCellAnchor>
    <xdr:from>
      <xdr:col>2</xdr:col>
      <xdr:colOff>2129415</xdr:colOff>
      <xdr:row>3</xdr:row>
      <xdr:rowOff>0</xdr:rowOff>
    </xdr:from>
    <xdr:ext cx="1379221" cy="407244"/>
    <xdr:pic>
      <xdr:nvPicPr>
        <xdr:cNvPr id="6" name="Afbeelding 5">
          <a:extLst>
            <a:ext uri="{FF2B5EF4-FFF2-40B4-BE49-F238E27FC236}">
              <a16:creationId xmlns:a16="http://schemas.microsoft.com/office/drawing/2014/main" id="{8223E4AC-B249-4A67-9EA9-A58412107157}"/>
            </a:ext>
          </a:extLst>
        </xdr:cNvPr>
        <xdr:cNvPicPr>
          <a:picLocks noChangeAspect="1"/>
        </xdr:cNvPicPr>
      </xdr:nvPicPr>
      <xdr:blipFill>
        <a:blip xmlns:r="http://schemas.openxmlformats.org/officeDocument/2006/relationships" r:embed="rId1"/>
        <a:stretch>
          <a:fillRect/>
        </a:stretch>
      </xdr:blipFill>
      <xdr:spPr>
        <a:xfrm>
          <a:off x="2297055" y="773012"/>
          <a:ext cx="1379221" cy="407244"/>
        </a:xfrm>
        <a:prstGeom prst="rect">
          <a:avLst/>
        </a:prstGeom>
      </xdr:spPr>
    </xdr:pic>
    <xdr:clientData/>
  </xdr:oneCellAnchor>
  <xdr:twoCellAnchor editAs="oneCell">
    <xdr:from>
      <xdr:col>2</xdr:col>
      <xdr:colOff>4953000</xdr:colOff>
      <xdr:row>1</xdr:row>
      <xdr:rowOff>182880</xdr:rowOff>
    </xdr:from>
    <xdr:to>
      <xdr:col>3</xdr:col>
      <xdr:colOff>552450</xdr:colOff>
      <xdr:row>5</xdr:row>
      <xdr:rowOff>27626</xdr:rowOff>
    </xdr:to>
    <xdr:pic>
      <xdr:nvPicPr>
        <xdr:cNvPr id="9" name="Afbeelding 8">
          <a:extLst>
            <a:ext uri="{FF2B5EF4-FFF2-40B4-BE49-F238E27FC236}">
              <a16:creationId xmlns:a16="http://schemas.microsoft.com/office/drawing/2014/main" id="{2AA79E58-44D6-4DFF-B860-F1D2F7968C14}"/>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5181600" y="365760"/>
          <a:ext cx="1066800" cy="7686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53228</xdr:colOff>
      <xdr:row>2</xdr:row>
      <xdr:rowOff>41462</xdr:rowOff>
    </xdr:from>
    <xdr:to>
      <xdr:col>6</xdr:col>
      <xdr:colOff>1218912</xdr:colOff>
      <xdr:row>5</xdr:row>
      <xdr:rowOff>9863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01553" y="508187"/>
          <a:ext cx="2308684" cy="597051"/>
        </a:xfrm>
        <a:prstGeom prst="rect">
          <a:avLst/>
        </a:prstGeom>
      </xdr:spPr>
    </xdr:pic>
    <xdr:clientData/>
  </xdr:twoCellAnchor>
  <xdr:twoCellAnchor editAs="oneCell">
    <xdr:from>
      <xdr:col>15</xdr:col>
      <xdr:colOff>157843</xdr:colOff>
      <xdr:row>1</xdr:row>
      <xdr:rowOff>96611</xdr:rowOff>
    </xdr:from>
    <xdr:to>
      <xdr:col>15</xdr:col>
      <xdr:colOff>1227818</xdr:colOff>
      <xdr:row>4</xdr:row>
      <xdr:rowOff>172708</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7923329" y="281668"/>
          <a:ext cx="1076325" cy="816326"/>
        </a:xfrm>
        <a:prstGeom prst="rect">
          <a:avLst/>
        </a:prstGeom>
      </xdr:spPr>
    </xdr:pic>
    <xdr:clientData/>
  </xdr:twoCellAnchor>
  <xdr:twoCellAnchor>
    <xdr:from>
      <xdr:col>5</xdr:col>
      <xdr:colOff>66675</xdr:colOff>
      <xdr:row>53</xdr:row>
      <xdr:rowOff>87084</xdr:rowOff>
    </xdr:from>
    <xdr:to>
      <xdr:col>9</xdr:col>
      <xdr:colOff>0</xdr:colOff>
      <xdr:row>53</xdr:row>
      <xdr:rowOff>104775</xdr:rowOff>
    </xdr:to>
    <xdr:cxnSp macro="">
      <xdr:nvCxnSpPr>
        <xdr:cNvPr id="3" name="Rechte verbindingslijn met pijl 2">
          <a:extLst>
            <a:ext uri="{FF2B5EF4-FFF2-40B4-BE49-F238E27FC236}">
              <a16:creationId xmlns:a16="http://schemas.microsoft.com/office/drawing/2014/main" id="{D7F94095-184D-452C-BBCC-A5542E698F46}"/>
            </a:ext>
          </a:extLst>
        </xdr:cNvPr>
        <xdr:cNvCxnSpPr/>
      </xdr:nvCxnSpPr>
      <xdr:spPr>
        <a:xfrm flipV="1">
          <a:off x="5956935" y="5984964"/>
          <a:ext cx="5053965" cy="1769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66675</xdr:colOff>
      <xdr:row>72</xdr:row>
      <xdr:rowOff>87084</xdr:rowOff>
    </xdr:from>
    <xdr:to>
      <xdr:col>9</xdr:col>
      <xdr:colOff>0</xdr:colOff>
      <xdr:row>72</xdr:row>
      <xdr:rowOff>104775</xdr:rowOff>
    </xdr:to>
    <xdr:cxnSp macro="">
      <xdr:nvCxnSpPr>
        <xdr:cNvPr id="4" name="Rechte verbindingslijn met pijl 3">
          <a:extLst>
            <a:ext uri="{FF2B5EF4-FFF2-40B4-BE49-F238E27FC236}">
              <a16:creationId xmlns:a16="http://schemas.microsoft.com/office/drawing/2014/main" id="{B1EFE7FC-C0FE-4829-8426-087EF19D703A}"/>
            </a:ext>
          </a:extLst>
        </xdr:cNvPr>
        <xdr:cNvCxnSpPr/>
      </xdr:nvCxnSpPr>
      <xdr:spPr>
        <a:xfrm flipV="1">
          <a:off x="6248400" y="11450409"/>
          <a:ext cx="5038725" cy="1769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160357</xdr:colOff>
      <xdr:row>1</xdr:row>
      <xdr:rowOff>47625</xdr:rowOff>
    </xdr:from>
    <xdr:ext cx="1076325" cy="801902"/>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885882" y="257175"/>
          <a:ext cx="1076325" cy="801902"/>
        </a:xfrm>
        <a:prstGeom prst="rect">
          <a:avLst/>
        </a:prstGeom>
      </xdr:spPr>
    </xdr:pic>
    <xdr:clientData/>
  </xdr:oneCellAnchor>
  <xdr:oneCellAnchor>
    <xdr:from>
      <xdr:col>2</xdr:col>
      <xdr:colOff>657374</xdr:colOff>
      <xdr:row>3</xdr:row>
      <xdr:rowOff>98937</xdr:rowOff>
    </xdr:from>
    <xdr:ext cx="1743075" cy="520125"/>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3981599" y="860937"/>
          <a:ext cx="1743075" cy="520125"/>
        </a:xfrm>
        <a:prstGeom prst="rect">
          <a:avLst/>
        </a:prstGeom>
      </xdr:spPr>
    </xdr:pic>
    <xdr:clientData/>
  </xdr:oneCellAnchor>
  <xdr:twoCellAnchor>
    <xdr:from>
      <xdr:col>4</xdr:col>
      <xdr:colOff>66675</xdr:colOff>
      <xdr:row>33</xdr:row>
      <xdr:rowOff>87084</xdr:rowOff>
    </xdr:from>
    <xdr:to>
      <xdr:col>8</xdr:col>
      <xdr:colOff>0</xdr:colOff>
      <xdr:row>33</xdr:row>
      <xdr:rowOff>104775</xdr:rowOff>
    </xdr:to>
    <xdr:cxnSp macro="">
      <xdr:nvCxnSpPr>
        <xdr:cNvPr id="4" name="Rechte verbindingslijn met pijl 3">
          <a:extLst>
            <a:ext uri="{FF2B5EF4-FFF2-40B4-BE49-F238E27FC236}">
              <a16:creationId xmlns:a16="http://schemas.microsoft.com/office/drawing/2014/main" id="{00000000-0008-0000-0400-000004000000}"/>
            </a:ext>
          </a:extLst>
        </xdr:cNvPr>
        <xdr:cNvCxnSpPr/>
      </xdr:nvCxnSpPr>
      <xdr:spPr>
        <a:xfrm flipV="1">
          <a:off x="6343650" y="6440259"/>
          <a:ext cx="5267325" cy="1769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66675</xdr:colOff>
      <xdr:row>52</xdr:row>
      <xdr:rowOff>87084</xdr:rowOff>
    </xdr:from>
    <xdr:to>
      <xdr:col>8</xdr:col>
      <xdr:colOff>0</xdr:colOff>
      <xdr:row>52</xdr:row>
      <xdr:rowOff>104775</xdr:rowOff>
    </xdr:to>
    <xdr:cxnSp macro="">
      <xdr:nvCxnSpPr>
        <xdr:cNvPr id="5" name="Rechte verbindingslijn met pijl 4">
          <a:extLst>
            <a:ext uri="{FF2B5EF4-FFF2-40B4-BE49-F238E27FC236}">
              <a16:creationId xmlns:a16="http://schemas.microsoft.com/office/drawing/2014/main" id="{2B2E76C7-A901-4ABE-AF81-7237D7844619}"/>
            </a:ext>
          </a:extLst>
        </xdr:cNvPr>
        <xdr:cNvCxnSpPr/>
      </xdr:nvCxnSpPr>
      <xdr:spPr>
        <a:xfrm flipV="1">
          <a:off x="5943600" y="6773634"/>
          <a:ext cx="5038725" cy="1769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115906</xdr:colOff>
      <xdr:row>1</xdr:row>
      <xdr:rowOff>51858</xdr:rowOff>
    </xdr:from>
    <xdr:ext cx="1076325" cy="801902"/>
    <xdr:pic>
      <xdr:nvPicPr>
        <xdr:cNvPr id="2" name="Afbeelding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48906" y="263525"/>
          <a:ext cx="1076325" cy="801902"/>
        </a:xfrm>
        <a:prstGeom prst="rect">
          <a:avLst/>
        </a:prstGeom>
      </xdr:spPr>
    </xdr:pic>
    <xdr:clientData/>
  </xdr:oneCellAnchor>
  <xdr:oneCellAnchor>
    <xdr:from>
      <xdr:col>5</xdr:col>
      <xdr:colOff>753683</xdr:colOff>
      <xdr:row>2</xdr:row>
      <xdr:rowOff>157145</xdr:rowOff>
    </xdr:from>
    <xdr:ext cx="1743075" cy="520125"/>
    <xdr:pic>
      <xdr:nvPicPr>
        <xdr:cNvPr id="3" name="Afbeelding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8111216" y="656678"/>
          <a:ext cx="1743075" cy="5201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4</xdr:col>
      <xdr:colOff>862691</xdr:colOff>
      <xdr:row>2</xdr:row>
      <xdr:rowOff>79888</xdr:rowOff>
    </xdr:from>
    <xdr:ext cx="1743075" cy="520125"/>
    <xdr:pic>
      <xdr:nvPicPr>
        <xdr:cNvPr id="3" name="Afbeelding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7331224" y="579421"/>
          <a:ext cx="1743075" cy="520125"/>
        </a:xfrm>
        <a:prstGeom prst="rect">
          <a:avLst/>
        </a:prstGeom>
      </xdr:spPr>
    </xdr:pic>
    <xdr:clientData/>
  </xdr:oneCellAnchor>
  <xdr:oneCellAnchor>
    <xdr:from>
      <xdr:col>10</xdr:col>
      <xdr:colOff>437641</xdr:colOff>
      <xdr:row>1</xdr:row>
      <xdr:rowOff>160866</xdr:rowOff>
    </xdr:from>
    <xdr:ext cx="1076325" cy="801902"/>
    <xdr:pic>
      <xdr:nvPicPr>
        <xdr:cNvPr id="8" name="Afbeelding 7">
          <a:extLst>
            <a:ext uri="{FF2B5EF4-FFF2-40B4-BE49-F238E27FC236}">
              <a16:creationId xmlns:a16="http://schemas.microsoft.com/office/drawing/2014/main" id="{0BFD4872-150A-4668-8D8B-35D78AC0EBEA}"/>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3696441" y="370416"/>
          <a:ext cx="1076325" cy="80190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2400300</xdr:colOff>
      <xdr:row>3</xdr:row>
      <xdr:rowOff>69745</xdr:rowOff>
    </xdr:from>
    <xdr:to>
      <xdr:col>3</xdr:col>
      <xdr:colOff>434975</xdr:colOff>
      <xdr:row>5</xdr:row>
      <xdr:rowOff>136451</xdr:rowOff>
    </xdr:to>
    <xdr:pic>
      <xdr:nvPicPr>
        <xdr:cNvPr id="2" name="Afbeelding 1">
          <a:extLst>
            <a:ext uri="{FF2B5EF4-FFF2-40B4-BE49-F238E27FC236}">
              <a16:creationId xmlns:a16="http://schemas.microsoft.com/office/drawing/2014/main" id="{20A73E19-E26B-4E8D-A0D6-398C4BB4707E}"/>
            </a:ext>
          </a:extLst>
        </xdr:cNvPr>
        <xdr:cNvPicPr>
          <a:picLocks noChangeAspect="1"/>
        </xdr:cNvPicPr>
      </xdr:nvPicPr>
      <xdr:blipFill>
        <a:blip xmlns:r="http://schemas.openxmlformats.org/officeDocument/2006/relationships" r:embed="rId1"/>
        <a:stretch>
          <a:fillRect/>
        </a:stretch>
      </xdr:blipFill>
      <xdr:spPr>
        <a:xfrm>
          <a:off x="2651760" y="816505"/>
          <a:ext cx="1972310" cy="457231"/>
        </a:xfrm>
        <a:prstGeom prst="rect">
          <a:avLst/>
        </a:prstGeom>
      </xdr:spPr>
    </xdr:pic>
    <xdr:clientData/>
  </xdr:twoCellAnchor>
  <xdr:twoCellAnchor editAs="oneCell">
    <xdr:from>
      <xdr:col>6</xdr:col>
      <xdr:colOff>142875</xdr:colOff>
      <xdr:row>1</xdr:row>
      <xdr:rowOff>66675</xdr:rowOff>
    </xdr:from>
    <xdr:to>
      <xdr:col>6</xdr:col>
      <xdr:colOff>1219200</xdr:colOff>
      <xdr:row>4</xdr:row>
      <xdr:rowOff>97052</xdr:rowOff>
    </xdr:to>
    <xdr:pic>
      <xdr:nvPicPr>
        <xdr:cNvPr id="3" name="Afbeelding 2">
          <a:extLst>
            <a:ext uri="{FF2B5EF4-FFF2-40B4-BE49-F238E27FC236}">
              <a16:creationId xmlns:a16="http://schemas.microsoft.com/office/drawing/2014/main" id="{6A46D638-12F7-494E-86D8-63E693012952}"/>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6391275" y="257175"/>
          <a:ext cx="1076325" cy="7657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2400300</xdr:colOff>
      <xdr:row>3</xdr:row>
      <xdr:rowOff>69745</xdr:rowOff>
    </xdr:from>
    <xdr:to>
      <xdr:col>3</xdr:col>
      <xdr:colOff>577850</xdr:colOff>
      <xdr:row>5</xdr:row>
      <xdr:rowOff>145976</xdr:rowOff>
    </xdr:to>
    <xdr:pic>
      <xdr:nvPicPr>
        <xdr:cNvPr id="2" name="Afbeelding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662767" y="823278"/>
          <a:ext cx="1968500" cy="459348"/>
        </a:xfrm>
        <a:prstGeom prst="rect">
          <a:avLst/>
        </a:prstGeom>
      </xdr:spPr>
    </xdr:pic>
    <xdr:clientData/>
  </xdr:twoCellAnchor>
  <xdr:twoCellAnchor editAs="oneCell">
    <xdr:from>
      <xdr:col>6</xdr:col>
      <xdr:colOff>142875</xdr:colOff>
      <xdr:row>1</xdr:row>
      <xdr:rowOff>66675</xdr:rowOff>
    </xdr:from>
    <xdr:to>
      <xdr:col>6</xdr:col>
      <xdr:colOff>1219200</xdr:colOff>
      <xdr:row>4</xdr:row>
      <xdr:rowOff>85622</xdr:rowOff>
    </xdr:to>
    <xdr:pic>
      <xdr:nvPicPr>
        <xdr:cNvPr id="3" name="Afbeelding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8991600" y="257175"/>
          <a:ext cx="1076325" cy="7618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1AF08E95-7B05-4742-A85D-60B00048B5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2B3B71C3-505F-4EB6-9048-8695D12B8EED}"/>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21933" y="2548666"/>
          <a:ext cx="1501589" cy="1864658"/>
        </a:xfrm>
        <a:prstGeom prst="rect">
          <a:avLst/>
        </a:prstGeom>
      </xdr:spPr>
    </xdr:pic>
    <xdr:clientData/>
  </xdr:twoCellAnchor>
  <xdr:oneCellAnchor>
    <xdr:from>
      <xdr:col>4</xdr:col>
      <xdr:colOff>3384610</xdr:colOff>
      <xdr:row>4</xdr:row>
      <xdr:rowOff>134471</xdr:rowOff>
    </xdr:from>
    <xdr:ext cx="2529854" cy="365934"/>
    <xdr:pic>
      <xdr:nvPicPr>
        <xdr:cNvPr id="4" name="Afbeelding 3">
          <a:extLst>
            <a:ext uri="{FF2B5EF4-FFF2-40B4-BE49-F238E27FC236}">
              <a16:creationId xmlns:a16="http://schemas.microsoft.com/office/drawing/2014/main" id="{9DD4A869-F382-4822-95C8-527CE3EA1F5C}"/>
            </a:ext>
          </a:extLst>
        </xdr:cNvPr>
        <xdr:cNvPicPr>
          <a:picLocks noChangeAspect="1"/>
        </xdr:cNvPicPr>
      </xdr:nvPicPr>
      <xdr:blipFill rotWithShape="1">
        <a:blip xmlns:r="http://schemas.openxmlformats.org/officeDocument/2006/relationships" r:embed="rId3"/>
        <a:srcRect t="19675" b="22940"/>
        <a:stretch/>
      </xdr:blipFill>
      <xdr:spPr>
        <a:xfrm>
          <a:off x="10608370" y="1246991"/>
          <a:ext cx="2529854" cy="36593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Q:\SSO-CFD\UG_HKT_Inkoop-UNIT\80-INKOOPDOSSIERS-ICT\IUC23-047%20Data%20Storage%20Platform%20(DSP)\04%20-%20BESCHRIJVENDE%20DOCUMENTEN\UITGANGSPUNTEN%20-%20IUC23-047%20-%20Data%20Storage%20Platform.xlsm" TargetMode="External"/><Relationship Id="rId1" Type="http://schemas.openxmlformats.org/officeDocument/2006/relationships/externalLinkPath" Target="/SSO-CFD/UG_HKT_Inkoop-UNIT/80-INKOOPDOSSIERS-ICT/IUC23-047%20Data%20Storage%20Platform%20(DSP)/04%20-%20BESCHRIJVENDE%20DOCUMENTEN/UITGANGSPUNTEN%20-%20IUC23-047%20-%20Data%20Storage%20Platfor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sheetData sheetId="7">
        <row r="7">
          <cell r="B7" t="str">
            <v>Uw inschrijving</v>
          </cell>
        </row>
      </sheetData>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WYP195"/>
  <sheetViews>
    <sheetView showGridLines="0" showZeros="0" tabSelected="1" topLeftCell="B43" zoomScale="80" zoomScaleNormal="80" workbookViewId="0">
      <selection activeCell="C54" sqref="C54"/>
    </sheetView>
  </sheetViews>
  <sheetFormatPr defaultColWidth="0" defaultRowHeight="0" customHeight="1" zeroHeight="1" x14ac:dyDescent="0.3"/>
  <cols>
    <col min="1" max="1" width="3.6640625" style="22" customWidth="1"/>
    <col min="2" max="2" width="8.33203125" style="36" customWidth="1"/>
    <col min="3" max="3" width="43.6640625" style="36" customWidth="1"/>
    <col min="4" max="5" width="15.6640625" style="36" customWidth="1"/>
    <col min="6" max="6" width="15.6640625" style="22" customWidth="1"/>
    <col min="7" max="8" width="16.6640625" style="22" bestFit="1" customWidth="1"/>
    <col min="9" max="13" width="18.44140625" style="22" bestFit="1" customWidth="1"/>
    <col min="14" max="14" width="1.6640625" style="22" customWidth="1"/>
    <col min="15" max="15" width="22.44140625" style="22" bestFit="1" customWidth="1"/>
    <col min="16" max="16" width="4.6640625" style="22" customWidth="1"/>
    <col min="17" max="17" width="12.77734375" style="22" hidden="1"/>
    <col min="18" max="18" width="9.109375" style="22" hidden="1"/>
    <col min="19" max="19" width="17.44140625" style="22" hidden="1"/>
    <col min="20" max="16214" width="23.109375" style="22" hidden="1"/>
    <col min="16215" max="16384" width="9.109375" style="22" hidden="1"/>
  </cols>
  <sheetData>
    <row r="1" spans="1:15" s="15" customFormat="1" ht="15" customHeight="1" x14ac:dyDescent="0.25">
      <c r="A1" s="14"/>
      <c r="B1" s="14"/>
      <c r="C1" s="14"/>
      <c r="D1" s="14"/>
      <c r="E1" s="14"/>
    </row>
    <row r="2" spans="1:15" s="16" customFormat="1" ht="22.8" x14ac:dyDescent="0.4">
      <c r="B2" s="17" t="s">
        <v>141</v>
      </c>
      <c r="C2" s="18"/>
      <c r="D2" s="18"/>
      <c r="E2" s="18"/>
      <c r="F2" s="18"/>
      <c r="G2" s="18"/>
      <c r="H2" s="18"/>
      <c r="I2" s="18"/>
      <c r="J2" s="18"/>
      <c r="K2" s="18"/>
      <c r="L2" s="18"/>
      <c r="M2" s="18"/>
      <c r="N2" s="18"/>
      <c r="O2" s="18"/>
    </row>
    <row r="3" spans="1:15" s="16" customFormat="1" ht="21" x14ac:dyDescent="0.4">
      <c r="B3" s="19" t="s">
        <v>53</v>
      </c>
      <c r="C3" s="18"/>
      <c r="D3" s="18"/>
      <c r="E3" s="18"/>
      <c r="F3" s="18"/>
      <c r="G3" s="18"/>
      <c r="H3" s="18"/>
      <c r="I3" s="18"/>
      <c r="J3" s="18"/>
      <c r="K3" s="18"/>
      <c r="L3" s="18"/>
      <c r="M3" s="18"/>
      <c r="N3" s="18"/>
      <c r="O3" s="18"/>
    </row>
    <row r="4" spans="1:15" s="16" customFormat="1" ht="15.6" x14ac:dyDescent="0.3">
      <c r="B4" s="20" t="s">
        <v>140</v>
      </c>
      <c r="C4" s="18"/>
      <c r="D4" s="18"/>
      <c r="E4" s="18"/>
      <c r="F4" s="18"/>
      <c r="G4" s="18"/>
      <c r="H4" s="18"/>
      <c r="I4" s="18"/>
      <c r="J4" s="18"/>
      <c r="K4" s="18"/>
      <c r="L4" s="18"/>
      <c r="M4" s="18"/>
      <c r="N4" s="18"/>
      <c r="O4" s="18"/>
    </row>
    <row r="5" spans="1:15" s="16" customFormat="1" ht="15" customHeight="1" x14ac:dyDescent="0.3">
      <c r="B5" s="21" t="s">
        <v>73</v>
      </c>
      <c r="C5" s="18"/>
      <c r="D5" s="18"/>
      <c r="E5" s="18"/>
      <c r="F5" s="18"/>
      <c r="G5" s="18"/>
      <c r="H5" s="18"/>
      <c r="I5" s="18"/>
      <c r="J5" s="18"/>
      <c r="K5" s="18"/>
      <c r="L5" s="18"/>
      <c r="M5" s="18"/>
      <c r="N5" s="18"/>
      <c r="O5" s="18"/>
    </row>
    <row r="6" spans="1:15" ht="15" customHeight="1" x14ac:dyDescent="0.3">
      <c r="B6" s="23" t="s">
        <v>0</v>
      </c>
      <c r="C6" s="23" t="s">
        <v>150</v>
      </c>
      <c r="D6" s="457"/>
      <c r="E6" s="458"/>
      <c r="F6" s="459"/>
      <c r="G6" s="24"/>
      <c r="H6" s="24"/>
      <c r="I6" s="24"/>
      <c r="J6" s="24"/>
      <c r="K6" s="24"/>
      <c r="L6" s="24"/>
      <c r="M6" s="24"/>
      <c r="N6" s="24"/>
      <c r="O6" s="24"/>
    </row>
    <row r="7" spans="1:15" ht="15" customHeight="1" x14ac:dyDescent="0.3">
      <c r="B7" s="25"/>
      <c r="C7" s="24"/>
      <c r="D7" s="24"/>
      <c r="E7" s="24"/>
      <c r="F7" s="24"/>
      <c r="G7" s="24"/>
      <c r="H7" s="24"/>
      <c r="I7" s="24"/>
      <c r="J7" s="24"/>
      <c r="K7" s="24"/>
      <c r="L7" s="24"/>
      <c r="M7" s="24"/>
      <c r="N7" s="24"/>
      <c r="O7" s="24"/>
    </row>
    <row r="8" spans="1:15" ht="15" customHeight="1" thickBot="1" x14ac:dyDescent="0.35">
      <c r="B8" s="26"/>
      <c r="C8" s="26"/>
      <c r="D8" s="26"/>
      <c r="E8" s="26"/>
      <c r="F8" s="26"/>
      <c r="G8" s="26"/>
      <c r="H8" s="26"/>
      <c r="I8" s="26"/>
      <c r="J8" s="26"/>
      <c r="K8" s="26"/>
      <c r="L8" s="26"/>
      <c r="M8" s="26"/>
      <c r="N8" s="26"/>
      <c r="O8" s="26"/>
    </row>
    <row r="9" spans="1:15" ht="15" customHeight="1" x14ac:dyDescent="0.3">
      <c r="B9" s="27"/>
      <c r="C9" s="27"/>
      <c r="D9" s="27"/>
      <c r="E9" s="27"/>
      <c r="F9" s="27"/>
      <c r="G9" s="27"/>
      <c r="H9" s="27"/>
      <c r="I9" s="27"/>
      <c r="J9" s="27"/>
      <c r="K9" s="27"/>
      <c r="L9" s="27"/>
      <c r="M9" s="27"/>
      <c r="N9" s="27"/>
      <c r="O9" s="27"/>
    </row>
    <row r="10" spans="1:15" ht="22.8" x14ac:dyDescent="0.3">
      <c r="B10" s="28" t="s">
        <v>191</v>
      </c>
      <c r="C10" s="29"/>
      <c r="D10" s="30" t="s">
        <v>2</v>
      </c>
      <c r="E10" s="30" t="s">
        <v>3</v>
      </c>
      <c r="F10" s="30" t="s">
        <v>4</v>
      </c>
      <c r="G10" s="30" t="s">
        <v>5</v>
      </c>
      <c r="H10" s="30" t="s">
        <v>14</v>
      </c>
      <c r="I10" s="30" t="s">
        <v>166</v>
      </c>
      <c r="J10" s="30" t="s">
        <v>167</v>
      </c>
      <c r="K10" s="30" t="s">
        <v>168</v>
      </c>
      <c r="L10" s="30" t="s">
        <v>169</v>
      </c>
      <c r="M10" s="30" t="s">
        <v>170</v>
      </c>
      <c r="N10" s="30"/>
      <c r="O10" s="31" t="s">
        <v>29</v>
      </c>
    </row>
    <row r="11" spans="1:15" ht="15" customHeight="1" x14ac:dyDescent="0.3">
      <c r="B11" s="32"/>
      <c r="C11" s="3"/>
      <c r="D11" s="3"/>
      <c r="E11" s="3"/>
      <c r="F11" s="3"/>
      <c r="G11" s="3"/>
      <c r="H11" s="3"/>
      <c r="I11" s="3"/>
      <c r="J11" s="3"/>
      <c r="K11" s="3"/>
      <c r="L11" s="3"/>
      <c r="M11" s="3"/>
      <c r="N11" s="3"/>
      <c r="O11" s="3"/>
    </row>
    <row r="12" spans="1:15" ht="15" customHeight="1" x14ac:dyDescent="0.3">
      <c r="B12" s="455" t="str">
        <f>'1. Implementatie'!C3</f>
        <v>1. Implementatie</v>
      </c>
      <c r="C12" s="456"/>
      <c r="D12" s="47"/>
      <c r="E12" s="47"/>
      <c r="F12" s="47"/>
      <c r="G12" s="47"/>
      <c r="H12" s="47"/>
      <c r="I12" s="47"/>
      <c r="J12" s="47"/>
      <c r="K12" s="47"/>
      <c r="L12" s="47"/>
      <c r="M12" s="47"/>
      <c r="N12" s="47"/>
      <c r="O12" s="3"/>
    </row>
    <row r="13" spans="1:15" ht="15" customHeight="1" x14ac:dyDescent="0.3">
      <c r="B13" s="32"/>
      <c r="C13" s="40" t="s">
        <v>190</v>
      </c>
      <c r="D13" s="152">
        <f>'1. Implementatie'!D14</f>
        <v>0</v>
      </c>
      <c r="E13" s="47"/>
      <c r="F13" s="47"/>
      <c r="G13" s="47"/>
      <c r="H13" s="47"/>
      <c r="I13" s="47"/>
      <c r="J13" s="47"/>
      <c r="K13" s="47"/>
      <c r="L13" s="47"/>
      <c r="M13" s="47"/>
      <c r="N13" s="47"/>
      <c r="O13" s="3"/>
    </row>
    <row r="14" spans="1:15" ht="15" customHeight="1" thickBot="1" x14ac:dyDescent="0.35">
      <c r="B14" s="32"/>
      <c r="C14" s="41"/>
      <c r="D14" s="43">
        <f>D13</f>
        <v>0</v>
      </c>
      <c r="E14" s="153"/>
      <c r="F14" s="154"/>
      <c r="G14" s="154"/>
      <c r="H14" s="154"/>
      <c r="I14" s="154"/>
      <c r="J14" s="154"/>
      <c r="K14" s="154"/>
      <c r="L14" s="155"/>
      <c r="M14" s="67" t="s">
        <v>175</v>
      </c>
      <c r="N14" s="47"/>
      <c r="O14" s="45">
        <f>D14</f>
        <v>0</v>
      </c>
    </row>
    <row r="15" spans="1:15" ht="15" customHeight="1" thickTop="1" x14ac:dyDescent="0.3">
      <c r="B15" s="32"/>
      <c r="C15" s="3"/>
      <c r="D15" s="3"/>
      <c r="E15" s="3"/>
      <c r="F15" s="3"/>
      <c r="G15" s="3"/>
      <c r="H15" s="3"/>
      <c r="I15" s="3"/>
      <c r="J15" s="3"/>
      <c r="K15" s="3"/>
      <c r="L15" s="47"/>
      <c r="M15" s="47"/>
      <c r="N15" s="47"/>
      <c r="O15" s="3"/>
    </row>
    <row r="16" spans="1:15" ht="15.6" x14ac:dyDescent="0.3">
      <c r="B16" s="33" t="str">
        <f>+'2. Apparatuur'!C3</f>
        <v>2. Apparatuur (fysieke Configuratie)</v>
      </c>
      <c r="C16" s="34"/>
      <c r="D16" s="35"/>
      <c r="E16" s="3"/>
      <c r="F16" s="3"/>
      <c r="G16" s="3"/>
      <c r="H16" s="3"/>
      <c r="I16" s="3"/>
      <c r="J16" s="3"/>
      <c r="K16" s="3"/>
      <c r="L16" s="3"/>
      <c r="M16" s="3"/>
      <c r="N16" s="3"/>
      <c r="O16" s="3"/>
    </row>
    <row r="17" spans="2:15" ht="15" customHeight="1" x14ac:dyDescent="0.3">
      <c r="B17" s="3"/>
      <c r="C17" s="3"/>
      <c r="D17" s="3"/>
      <c r="E17" s="3"/>
      <c r="F17" s="3"/>
      <c r="G17" s="3"/>
      <c r="H17" s="3"/>
      <c r="I17" s="3"/>
      <c r="J17" s="3"/>
      <c r="K17" s="3"/>
      <c r="L17" s="3"/>
      <c r="M17" s="3"/>
      <c r="N17" s="3"/>
      <c r="O17" s="3"/>
    </row>
    <row r="18" spans="2:15" ht="15" customHeight="1" x14ac:dyDescent="0.3">
      <c r="C18" s="37" t="str" cm="1">
        <f t="array" ref="C18:D18">'2. Apparatuur'!D10:E10</f>
        <v>Datacenter Apeldoorn, locatie Quintax</v>
      </c>
      <c r="D18" s="22">
        <v>0</v>
      </c>
      <c r="E18" s="22"/>
      <c r="O18" s="38"/>
    </row>
    <row r="19" spans="2:15" ht="15" customHeight="1" x14ac:dyDescent="0.3">
      <c r="C19" s="39" t="s">
        <v>6</v>
      </c>
      <c r="D19" s="40">
        <f>'2. Apparatuur'!E26</f>
        <v>0</v>
      </c>
      <c r="E19" s="22"/>
      <c r="G19" s="40">
        <f>'2. Apparatuur'!H26+'2. Apparatuur'!H34</f>
        <v>0</v>
      </c>
      <c r="H19" s="40">
        <f>'2. Apparatuur'!I26+'2. Apparatuur'!I34</f>
        <v>0</v>
      </c>
      <c r="I19" s="40">
        <f>'2. Apparatuur'!J26+'2. Apparatuur'!J34</f>
        <v>0</v>
      </c>
      <c r="J19" s="40">
        <f>'2. Apparatuur'!K26+'2. Apparatuur'!K34</f>
        <v>0</v>
      </c>
      <c r="K19" s="40">
        <f>'2. Apparatuur'!L26+'2. Apparatuur'!L34</f>
        <v>0</v>
      </c>
      <c r="L19" s="40">
        <f>'2. Apparatuur'!M26+'2. Apparatuur'!M34</f>
        <v>0</v>
      </c>
      <c r="M19" s="40">
        <f>'2. Apparatuur'!N26+'2. Apparatuur'!N34</f>
        <v>0</v>
      </c>
    </row>
    <row r="20" spans="2:15" ht="13.8" x14ac:dyDescent="0.3">
      <c r="C20" s="39" t="s">
        <v>236</v>
      </c>
      <c r="D20" s="40">
        <f>'2. Apparatuur'!E42</f>
        <v>0</v>
      </c>
      <c r="E20" s="40">
        <f>'2. Apparatuur'!E42</f>
        <v>0</v>
      </c>
      <c r="F20" s="40">
        <f>'2. Apparatuur'!E42</f>
        <v>0</v>
      </c>
      <c r="G20" s="40">
        <f>'2. Apparatuur'!H43</f>
        <v>0</v>
      </c>
      <c r="H20" s="40">
        <f>'2. Apparatuur'!I43</f>
        <v>0</v>
      </c>
      <c r="I20" s="40">
        <f>'2. Apparatuur'!J43</f>
        <v>0</v>
      </c>
      <c r="J20" s="40">
        <f>'2. Apparatuur'!K43</f>
        <v>0</v>
      </c>
      <c r="K20" s="40">
        <f>'2. Apparatuur'!L43</f>
        <v>0</v>
      </c>
      <c r="L20" s="40">
        <f>'2. Apparatuur'!M43</f>
        <v>0</v>
      </c>
      <c r="M20" s="40">
        <f>'2. Apparatuur'!N43</f>
        <v>0</v>
      </c>
      <c r="N20" s="41"/>
      <c r="O20" s="41"/>
    </row>
    <row r="21" spans="2:15" ht="15" thickBot="1" x14ac:dyDescent="0.35">
      <c r="C21" s="42" t="s">
        <v>30</v>
      </c>
      <c r="D21" s="43">
        <f>SUM(D19:D20)</f>
        <v>0</v>
      </c>
      <c r="E21" s="43">
        <f>SUM(E19:E20)</f>
        <v>0</v>
      </c>
      <c r="F21" s="43">
        <f>SUM(F19:F20)</f>
        <v>0</v>
      </c>
      <c r="G21" s="43">
        <f>SUM(G19:G20)</f>
        <v>0</v>
      </c>
      <c r="H21" s="43">
        <f>SUM(H19:H20)</f>
        <v>0</v>
      </c>
      <c r="I21" s="43">
        <f t="shared" ref="I21:M21" si="0">SUM(I19:I20)</f>
        <v>0</v>
      </c>
      <c r="J21" s="43">
        <f t="shared" si="0"/>
        <v>0</v>
      </c>
      <c r="K21" s="43">
        <f t="shared" si="0"/>
        <v>0</v>
      </c>
      <c r="L21" s="43">
        <f t="shared" si="0"/>
        <v>0</v>
      </c>
      <c r="M21" s="43">
        <f t="shared" si="0"/>
        <v>0</v>
      </c>
      <c r="N21" s="44"/>
      <c r="O21" s="66">
        <f>SUM(D21:M21)</f>
        <v>0</v>
      </c>
    </row>
    <row r="22" spans="2:15" ht="14.4" thickTop="1" x14ac:dyDescent="0.3">
      <c r="C22" s="32"/>
      <c r="D22" s="3"/>
      <c r="E22" s="3"/>
      <c r="F22" s="3"/>
      <c r="G22" s="3"/>
      <c r="H22" s="3"/>
      <c r="I22" s="3"/>
      <c r="J22" s="3"/>
      <c r="K22" s="3"/>
      <c r="L22" s="3"/>
      <c r="M22" s="3"/>
      <c r="N22" s="3"/>
      <c r="O22" s="3"/>
    </row>
    <row r="23" spans="2:15" ht="13.8" x14ac:dyDescent="0.3">
      <c r="C23" s="37" t="str" cm="1">
        <f t="array" ref="C23:D23">'2. Apparatuur'!D11:E11</f>
        <v>Datacenter Apeldoorn, locatie Walterbos</v>
      </c>
      <c r="D23" s="22">
        <v>0</v>
      </c>
      <c r="E23" s="22"/>
      <c r="O23" s="38"/>
    </row>
    <row r="24" spans="2:15" ht="13.8" x14ac:dyDescent="0.3">
      <c r="C24" s="39" t="s">
        <v>6</v>
      </c>
      <c r="D24" s="40">
        <f>D19</f>
        <v>0</v>
      </c>
      <c r="E24" s="22"/>
      <c r="G24" s="40">
        <f t="shared" ref="G24:M24" si="1">G19</f>
        <v>0</v>
      </c>
      <c r="H24" s="40">
        <f t="shared" si="1"/>
        <v>0</v>
      </c>
      <c r="I24" s="40">
        <f t="shared" si="1"/>
        <v>0</v>
      </c>
      <c r="J24" s="40">
        <f t="shared" si="1"/>
        <v>0</v>
      </c>
      <c r="K24" s="40">
        <f t="shared" si="1"/>
        <v>0</v>
      </c>
      <c r="L24" s="40">
        <f t="shared" si="1"/>
        <v>0</v>
      </c>
      <c r="M24" s="40">
        <f t="shared" si="1"/>
        <v>0</v>
      </c>
    </row>
    <row r="25" spans="2:15" ht="13.8" x14ac:dyDescent="0.3">
      <c r="C25" s="39" t="s">
        <v>236</v>
      </c>
      <c r="D25" s="40">
        <f>D20</f>
        <v>0</v>
      </c>
      <c r="E25" s="40">
        <f>E20</f>
        <v>0</v>
      </c>
      <c r="F25" s="40">
        <f>F20</f>
        <v>0</v>
      </c>
      <c r="G25" s="40">
        <f>G20</f>
        <v>0</v>
      </c>
      <c r="H25" s="40">
        <f t="shared" ref="H25:M25" si="2">H20</f>
        <v>0</v>
      </c>
      <c r="I25" s="40">
        <f t="shared" si="2"/>
        <v>0</v>
      </c>
      <c r="J25" s="40">
        <f t="shared" si="2"/>
        <v>0</v>
      </c>
      <c r="K25" s="40">
        <f t="shared" si="2"/>
        <v>0</v>
      </c>
      <c r="L25" s="40">
        <f t="shared" si="2"/>
        <v>0</v>
      </c>
      <c r="M25" s="40">
        <f t="shared" si="2"/>
        <v>0</v>
      </c>
      <c r="N25" s="41"/>
      <c r="O25" s="41"/>
    </row>
    <row r="26" spans="2:15" ht="15" thickBot="1" x14ac:dyDescent="0.35">
      <c r="C26" s="42" t="s">
        <v>30</v>
      </c>
      <c r="D26" s="43">
        <f>SUM(D24:D25)</f>
        <v>0</v>
      </c>
      <c r="E26" s="43">
        <f>SUM(E24:E25)</f>
        <v>0</v>
      </c>
      <c r="F26" s="43">
        <f>SUM(F24:F25)</f>
        <v>0</v>
      </c>
      <c r="G26" s="43">
        <f>SUM(G24:G25)</f>
        <v>0</v>
      </c>
      <c r="H26" s="43">
        <f>SUM(H24:H25)</f>
        <v>0</v>
      </c>
      <c r="I26" s="43">
        <f t="shared" ref="I26:M26" si="3">SUM(I24:I25)</f>
        <v>0</v>
      </c>
      <c r="J26" s="43">
        <f t="shared" si="3"/>
        <v>0</v>
      </c>
      <c r="K26" s="43">
        <f t="shared" si="3"/>
        <v>0</v>
      </c>
      <c r="L26" s="43">
        <f t="shared" si="3"/>
        <v>0</v>
      </c>
      <c r="M26" s="43">
        <f t="shared" si="3"/>
        <v>0</v>
      </c>
      <c r="N26" s="44"/>
      <c r="O26" s="66">
        <f>SUM(D26:M26)</f>
        <v>0</v>
      </c>
    </row>
    <row r="27" spans="2:15" ht="14.4" thickTop="1" x14ac:dyDescent="0.3">
      <c r="C27" s="63"/>
      <c r="D27" s="44"/>
      <c r="E27" s="44"/>
      <c r="F27" s="44"/>
      <c r="G27" s="44"/>
      <c r="H27" s="44"/>
      <c r="I27" s="44"/>
      <c r="J27" s="44"/>
      <c r="K27" s="44"/>
      <c r="L27" s="44"/>
      <c r="M27" s="44"/>
      <c r="N27" s="44"/>
      <c r="O27" s="44"/>
    </row>
    <row r="28" spans="2:15" ht="15" thickBot="1" x14ac:dyDescent="0.35">
      <c r="C28" s="63"/>
      <c r="D28" s="44"/>
      <c r="E28" s="44"/>
      <c r="F28" s="44"/>
      <c r="G28" s="44"/>
      <c r="H28" s="44"/>
      <c r="I28" s="44"/>
      <c r="J28" s="44"/>
      <c r="K28" s="44"/>
      <c r="L28" s="44"/>
      <c r="M28" s="67" t="s">
        <v>175</v>
      </c>
      <c r="N28" s="44"/>
      <c r="O28" s="45">
        <f>O21+O26</f>
        <v>0</v>
      </c>
    </row>
    <row r="29" spans="2:15" ht="14.4" thickTop="1" x14ac:dyDescent="0.3">
      <c r="C29" s="32"/>
      <c r="D29" s="3"/>
      <c r="E29" s="3"/>
      <c r="F29" s="3"/>
      <c r="G29" s="3"/>
      <c r="H29" s="3"/>
      <c r="I29" s="3"/>
      <c r="J29" s="3"/>
      <c r="K29" s="3"/>
      <c r="L29" s="3"/>
      <c r="M29" s="3"/>
      <c r="N29" s="3"/>
      <c r="O29" s="3"/>
    </row>
    <row r="30" spans="2:15" ht="15.6" x14ac:dyDescent="0.3">
      <c r="B30" s="33" t="s">
        <v>192</v>
      </c>
      <c r="C30" s="34"/>
      <c r="D30" s="3"/>
      <c r="E30" s="3"/>
      <c r="F30" s="3"/>
      <c r="G30" s="3"/>
      <c r="H30" s="3"/>
      <c r="I30" s="3"/>
      <c r="J30" s="3"/>
      <c r="K30" s="3"/>
      <c r="L30" s="3"/>
      <c r="M30" s="3"/>
      <c r="N30" s="3"/>
      <c r="O30" s="3"/>
    </row>
    <row r="31" spans="2:15" ht="13.8" x14ac:dyDescent="0.3">
      <c r="B31" s="32"/>
      <c r="C31" s="3"/>
      <c r="D31" s="3"/>
      <c r="E31" s="3"/>
      <c r="F31" s="3"/>
      <c r="G31" s="3"/>
      <c r="H31" s="3"/>
      <c r="I31" s="3"/>
      <c r="J31" s="3"/>
      <c r="K31" s="3"/>
      <c r="L31" s="3"/>
      <c r="M31" s="3"/>
      <c r="N31" s="3"/>
      <c r="O31" s="3"/>
    </row>
    <row r="32" spans="2:15" ht="13.8" x14ac:dyDescent="0.3">
      <c r="B32" s="46" t="s">
        <v>58</v>
      </c>
      <c r="C32" s="37" t="str">
        <f>'3a Gebruiksrecht - Aanschaf'!B3</f>
        <v>3a. Gebruiksrecht DSP Oplossing (Aanschaf)</v>
      </c>
      <c r="D32" s="3"/>
      <c r="E32" s="3"/>
      <c r="F32" s="3"/>
      <c r="G32" s="3"/>
      <c r="H32" s="3"/>
      <c r="I32" s="3"/>
      <c r="J32" s="3"/>
      <c r="K32" s="3"/>
      <c r="L32" s="3"/>
      <c r="M32" s="3"/>
      <c r="N32" s="3"/>
      <c r="O32" s="3"/>
    </row>
    <row r="33" spans="2:19" ht="13.8" x14ac:dyDescent="0.3">
      <c r="B33" s="46"/>
      <c r="C33" s="3"/>
      <c r="D33" s="3"/>
      <c r="E33" s="3"/>
      <c r="F33" s="3"/>
      <c r="G33" s="3"/>
      <c r="H33" s="3"/>
      <c r="I33" s="3"/>
      <c r="J33" s="3"/>
      <c r="K33" s="3"/>
      <c r="L33" s="3"/>
      <c r="M33" s="3"/>
      <c r="N33" s="3"/>
      <c r="O33" s="3"/>
    </row>
    <row r="34" spans="2:19" ht="13.8" x14ac:dyDescent="0.3">
      <c r="B34" s="46"/>
      <c r="C34" s="37" t="str">
        <f>C18</f>
        <v>Datacenter Apeldoorn, locatie Quintax</v>
      </c>
      <c r="D34" s="3"/>
      <c r="E34" s="3"/>
      <c r="F34" s="3"/>
      <c r="G34" s="3"/>
      <c r="H34" s="3"/>
      <c r="I34" s="3"/>
      <c r="J34" s="3"/>
      <c r="K34" s="3"/>
      <c r="L34" s="3"/>
      <c r="M34" s="3"/>
      <c r="N34" s="3"/>
      <c r="O34" s="3"/>
    </row>
    <row r="35" spans="2:19" ht="13.8" x14ac:dyDescent="0.3">
      <c r="B35" s="32"/>
      <c r="C35" s="39" t="str">
        <f>+'3a Gebruiksrecht - Aanschaf'!B71</f>
        <v>Gebruiksrecht o.b.v. Aanschaf</v>
      </c>
      <c r="D35" s="40">
        <f>'3a Gebruiksrecht - Aanschaf'!C80</f>
        <v>0</v>
      </c>
      <c r="E35" s="3"/>
      <c r="F35" s="3"/>
      <c r="G35" s="40">
        <f>'3a Gebruiksrecht - Aanschaf'!F80</f>
        <v>0</v>
      </c>
      <c r="H35" s="40">
        <f>'3a Gebruiksrecht - Aanschaf'!G80</f>
        <v>0</v>
      </c>
      <c r="I35" s="40">
        <f>'3a Gebruiksrecht - Aanschaf'!H80</f>
        <v>0</v>
      </c>
      <c r="J35" s="40">
        <f>'3a Gebruiksrecht - Aanschaf'!I80</f>
        <v>0</v>
      </c>
      <c r="K35" s="40">
        <f>'3a Gebruiksrecht - Aanschaf'!J80</f>
        <v>0</v>
      </c>
      <c r="L35" s="40">
        <f>'3a Gebruiksrecht - Aanschaf'!K80</f>
        <v>0</v>
      </c>
      <c r="M35" s="40">
        <f>'3a Gebruiksrecht - Aanschaf'!L80</f>
        <v>0</v>
      </c>
      <c r="N35" s="3"/>
      <c r="O35" s="3"/>
    </row>
    <row r="36" spans="2:19" ht="13.8" x14ac:dyDescent="0.3">
      <c r="B36" s="32"/>
      <c r="C36" s="39" t="str">
        <f>+'3a Gebruiksrecht - Aanschaf'!B82</f>
        <v>Beheer &amp; Onderhoud</v>
      </c>
      <c r="D36" s="40">
        <f>'3a Gebruiksrecht - Aanschaf'!C89</f>
        <v>0</v>
      </c>
      <c r="E36" s="40">
        <f>'3a Gebruiksrecht - Aanschaf'!D89</f>
        <v>0</v>
      </c>
      <c r="F36" s="40">
        <f>'3a Gebruiksrecht - Aanschaf'!E89</f>
        <v>0</v>
      </c>
      <c r="G36" s="40">
        <f>'3a Gebruiksrecht - Aanschaf'!F89</f>
        <v>0</v>
      </c>
      <c r="H36" s="40">
        <f>'3a Gebruiksrecht - Aanschaf'!G89</f>
        <v>0</v>
      </c>
      <c r="I36" s="40">
        <f>'3a Gebruiksrecht - Aanschaf'!H89</f>
        <v>0</v>
      </c>
      <c r="J36" s="40">
        <f>'3a Gebruiksrecht - Aanschaf'!I89</f>
        <v>0</v>
      </c>
      <c r="K36" s="40">
        <f>'3a Gebruiksrecht - Aanschaf'!J89</f>
        <v>0</v>
      </c>
      <c r="L36" s="40">
        <f>'3a Gebruiksrecht - Aanschaf'!K89</f>
        <v>0</v>
      </c>
      <c r="M36" s="40">
        <f>'3a Gebruiksrecht - Aanschaf'!L89</f>
        <v>0</v>
      </c>
      <c r="N36" s="3"/>
      <c r="O36" s="3"/>
    </row>
    <row r="37" spans="2:19" ht="15" thickBot="1" x14ac:dyDescent="0.35">
      <c r="B37" s="32"/>
      <c r="C37" s="3"/>
      <c r="D37" s="43">
        <f>SUM(D35:D36)</f>
        <v>0</v>
      </c>
      <c r="E37" s="43">
        <f>SUM(E35:E36)</f>
        <v>0</v>
      </c>
      <c r="F37" s="43">
        <f>SUM(F35:F36)</f>
        <v>0</v>
      </c>
      <c r="G37" s="43">
        <f>SUM(G35:G36)</f>
        <v>0</v>
      </c>
      <c r="H37" s="43">
        <f>SUM(H35:H36)</f>
        <v>0</v>
      </c>
      <c r="I37" s="43">
        <f t="shared" ref="I37:M37" si="4">SUM(I35:I36)</f>
        <v>0</v>
      </c>
      <c r="J37" s="43">
        <f t="shared" si="4"/>
        <v>0</v>
      </c>
      <c r="K37" s="43">
        <f t="shared" si="4"/>
        <v>0</v>
      </c>
      <c r="L37" s="43">
        <f t="shared" si="4"/>
        <v>0</v>
      </c>
      <c r="M37" s="43">
        <f t="shared" si="4"/>
        <v>0</v>
      </c>
      <c r="N37" s="3"/>
      <c r="O37" s="66">
        <f>SUM(D37:M37)</f>
        <v>0</v>
      </c>
    </row>
    <row r="38" spans="2:19" ht="14.4" thickTop="1" x14ac:dyDescent="0.3">
      <c r="B38" s="32"/>
      <c r="C38" s="3"/>
      <c r="D38" s="3"/>
      <c r="E38" s="3"/>
      <c r="F38" s="3"/>
      <c r="G38" s="3"/>
      <c r="H38" s="3"/>
      <c r="I38" s="3"/>
      <c r="J38" s="3"/>
      <c r="K38" s="3"/>
      <c r="L38" s="3"/>
      <c r="M38" s="3"/>
      <c r="N38" s="3"/>
      <c r="O38" s="3"/>
    </row>
    <row r="39" spans="2:19" ht="13.8" x14ac:dyDescent="0.3">
      <c r="B39" s="32"/>
      <c r="C39" s="37" t="str">
        <f>C23</f>
        <v>Datacenter Apeldoorn, locatie Walterbos</v>
      </c>
      <c r="D39" s="3"/>
      <c r="E39" s="3"/>
      <c r="F39" s="3"/>
      <c r="G39" s="3"/>
      <c r="H39" s="3"/>
      <c r="I39" s="3"/>
      <c r="J39" s="3"/>
      <c r="K39" s="3"/>
      <c r="L39" s="3"/>
      <c r="M39" s="3"/>
      <c r="N39" s="3"/>
      <c r="O39" s="3"/>
    </row>
    <row r="40" spans="2:19" ht="13.8" x14ac:dyDescent="0.3">
      <c r="B40" s="32"/>
      <c r="C40" s="62" t="str">
        <f>C35</f>
        <v>Gebruiksrecht o.b.v. Aanschaf</v>
      </c>
      <c r="D40" s="40">
        <f>D35</f>
        <v>0</v>
      </c>
      <c r="E40" s="3"/>
      <c r="F40" s="3"/>
      <c r="G40" s="40">
        <f>G35</f>
        <v>0</v>
      </c>
      <c r="H40" s="40">
        <f t="shared" ref="H40:M40" si="5">H35</f>
        <v>0</v>
      </c>
      <c r="I40" s="40">
        <f t="shared" si="5"/>
        <v>0</v>
      </c>
      <c r="J40" s="40">
        <f t="shared" si="5"/>
        <v>0</v>
      </c>
      <c r="K40" s="40">
        <f t="shared" si="5"/>
        <v>0</v>
      </c>
      <c r="L40" s="40">
        <f t="shared" si="5"/>
        <v>0</v>
      </c>
      <c r="M40" s="40">
        <f t="shared" si="5"/>
        <v>0</v>
      </c>
      <c r="N40" s="3"/>
      <c r="O40" s="3"/>
    </row>
    <row r="41" spans="2:19" ht="13.8" x14ac:dyDescent="0.3">
      <c r="B41" s="32"/>
      <c r="C41" s="62" t="str">
        <f>C36</f>
        <v>Beheer &amp; Onderhoud</v>
      </c>
      <c r="D41" s="40">
        <f>D36</f>
        <v>0</v>
      </c>
      <c r="E41" s="40">
        <f>E36</f>
        <v>0</v>
      </c>
      <c r="F41" s="40">
        <f>F36</f>
        <v>0</v>
      </c>
      <c r="G41" s="40">
        <f>G36</f>
        <v>0</v>
      </c>
      <c r="H41" s="40">
        <f t="shared" ref="H41:M41" si="6">H36</f>
        <v>0</v>
      </c>
      <c r="I41" s="40">
        <f t="shared" si="6"/>
        <v>0</v>
      </c>
      <c r="J41" s="40">
        <f t="shared" si="6"/>
        <v>0</v>
      </c>
      <c r="K41" s="40">
        <f t="shared" si="6"/>
        <v>0</v>
      </c>
      <c r="L41" s="40">
        <f t="shared" si="6"/>
        <v>0</v>
      </c>
      <c r="M41" s="40">
        <f t="shared" si="6"/>
        <v>0</v>
      </c>
      <c r="N41" s="3"/>
      <c r="O41" s="3"/>
    </row>
    <row r="42" spans="2:19" ht="15" thickBot="1" x14ac:dyDescent="0.35">
      <c r="B42" s="32"/>
      <c r="C42" s="3"/>
      <c r="D42" s="43">
        <f>SUM(D40:D41)</f>
        <v>0</v>
      </c>
      <c r="E42" s="43">
        <f>SUM(E40:E41)</f>
        <v>0</v>
      </c>
      <c r="F42" s="43">
        <f>SUM(F40:F41)</f>
        <v>0</v>
      </c>
      <c r="G42" s="43">
        <f>SUM(G40:G41)</f>
        <v>0</v>
      </c>
      <c r="H42" s="43">
        <f>SUM(H40:H41)</f>
        <v>0</v>
      </c>
      <c r="I42" s="43">
        <f t="shared" ref="I42" si="7">SUM(I40:I41)</f>
        <v>0</v>
      </c>
      <c r="J42" s="43">
        <f t="shared" ref="J42" si="8">SUM(J40:J41)</f>
        <v>0</v>
      </c>
      <c r="K42" s="43">
        <f t="shared" ref="K42" si="9">SUM(K40:K41)</f>
        <v>0</v>
      </c>
      <c r="L42" s="43">
        <f t="shared" ref="L42" si="10">SUM(L40:L41)</f>
        <v>0</v>
      </c>
      <c r="M42" s="43">
        <f t="shared" ref="M42" si="11">SUM(M40:M41)</f>
        <v>0</v>
      </c>
      <c r="N42" s="3"/>
      <c r="O42" s="66">
        <f>SUM(D42:M42)</f>
        <v>0</v>
      </c>
      <c r="Q42" s="22" t="s">
        <v>178</v>
      </c>
    </row>
    <row r="43" spans="2:19" ht="14.4" thickTop="1" x14ac:dyDescent="0.3">
      <c r="B43" s="32"/>
      <c r="C43" s="3"/>
      <c r="D43" s="44"/>
      <c r="E43" s="44"/>
      <c r="F43" s="44"/>
      <c r="G43" s="44"/>
      <c r="H43" s="44"/>
      <c r="I43" s="44"/>
      <c r="J43" s="44"/>
      <c r="K43" s="44"/>
      <c r="L43" s="44"/>
      <c r="M43" s="44"/>
      <c r="N43" s="44"/>
      <c r="O43" s="44"/>
      <c r="Q43" s="64">
        <f>O44</f>
        <v>0</v>
      </c>
      <c r="S43" s="22">
        <f>IF(Q43=29,99999999999,Q43)</f>
        <v>0</v>
      </c>
    </row>
    <row r="44" spans="2:19" ht="15" thickBot="1" x14ac:dyDescent="0.35">
      <c r="B44" s="32"/>
      <c r="C44" s="3"/>
      <c r="D44" s="3"/>
      <c r="E44" s="3"/>
      <c r="F44" s="3"/>
      <c r="G44" s="3"/>
      <c r="H44" s="3"/>
      <c r="I44" s="3"/>
      <c r="J44" s="3"/>
      <c r="K44" s="3"/>
      <c r="L44" s="3"/>
      <c r="M44" s="68" t="s">
        <v>176</v>
      </c>
      <c r="N44" s="69"/>
      <c r="O44" s="66">
        <f>O37+O42</f>
        <v>0</v>
      </c>
      <c r="Q44" s="64">
        <f>O55</f>
        <v>0</v>
      </c>
      <c r="S44" s="22">
        <f>IF(Q44=201,99999999999,Q44)</f>
        <v>0</v>
      </c>
    </row>
    <row r="45" spans="2:19" ht="14.4" thickTop="1" x14ac:dyDescent="0.3">
      <c r="B45" s="46" t="s">
        <v>58</v>
      </c>
      <c r="C45" s="37" t="str">
        <f>+'3b Gebruiksrecht - Subscription'!B3</f>
        <v>3b. Gebruiksrecht DSP Oplossing (Subscription)</v>
      </c>
      <c r="D45" s="3"/>
      <c r="E45" s="3"/>
      <c r="F45" s="3"/>
      <c r="G45" s="3"/>
      <c r="H45" s="3"/>
      <c r="I45" s="3"/>
      <c r="J45" s="3"/>
      <c r="K45" s="3"/>
      <c r="L45" s="3"/>
      <c r="M45" s="3"/>
      <c r="N45" s="3"/>
      <c r="O45" s="3"/>
      <c r="Q45" s="64">
        <f>O59</f>
        <v>0</v>
      </c>
      <c r="S45" s="22">
        <f>IF(Q45=0.1,99999999999,Q45)</f>
        <v>0</v>
      </c>
    </row>
    <row r="46" spans="2:19" ht="13.8" x14ac:dyDescent="0.3">
      <c r="B46" s="46"/>
      <c r="C46" s="3"/>
      <c r="D46" s="3"/>
      <c r="E46" s="3"/>
      <c r="F46" s="3"/>
      <c r="G46" s="3"/>
      <c r="H46" s="3"/>
      <c r="I46" s="3"/>
      <c r="J46" s="3"/>
      <c r="K46" s="3"/>
      <c r="L46" s="3"/>
      <c r="M46" s="3"/>
      <c r="N46" s="3"/>
      <c r="O46" s="3"/>
      <c r="Q46" s="64">
        <f t="array" ref="Q46">MIN(IF(Q43:Q45&lt;&gt;" ",Q43:Q45) )</f>
        <v>0</v>
      </c>
      <c r="S46" s="64">
        <f t="array" ref="S46">MIN(IF(S43:S45&lt;&gt;" ",S43:S45) )</f>
        <v>0</v>
      </c>
    </row>
    <row r="47" spans="2:19" ht="13.8" x14ac:dyDescent="0.3">
      <c r="B47" s="46"/>
      <c r="C47" s="37" t="str">
        <f>C18</f>
        <v>Datacenter Apeldoorn, locatie Quintax</v>
      </c>
      <c r="D47" s="3"/>
      <c r="E47" s="3"/>
      <c r="F47" s="3"/>
      <c r="G47" s="3"/>
      <c r="H47" s="3"/>
      <c r="I47" s="3"/>
      <c r="J47" s="3"/>
      <c r="K47" s="3"/>
      <c r="L47" s="3"/>
      <c r="M47" s="3"/>
      <c r="N47" s="3"/>
      <c r="O47" s="3"/>
    </row>
    <row r="48" spans="2:19" ht="13.8" x14ac:dyDescent="0.3">
      <c r="B48" s="32"/>
      <c r="C48" s="39" t="str">
        <f>+'3b Gebruiksrecht - Subscription'!B73</f>
        <v>Gebruiksrecht o.b.v. Subscription</v>
      </c>
      <c r="D48" s="40">
        <f>'3b Gebruiksrecht - Subscription'!C80</f>
        <v>0</v>
      </c>
      <c r="E48" s="40">
        <f>'3b Gebruiksrecht - Subscription'!D80</f>
        <v>0</v>
      </c>
      <c r="F48" s="40">
        <f>'3b Gebruiksrecht - Subscription'!E80</f>
        <v>0</v>
      </c>
      <c r="G48" s="40">
        <f>+'3b Gebruiksrecht - Subscription'!F80</f>
        <v>0</v>
      </c>
      <c r="H48" s="40">
        <f>+'3b Gebruiksrecht - Subscription'!G80</f>
        <v>0</v>
      </c>
      <c r="I48" s="40">
        <f>+'3b Gebruiksrecht - Subscription'!H80</f>
        <v>0</v>
      </c>
      <c r="J48" s="40">
        <f>+'3b Gebruiksrecht - Subscription'!I80</f>
        <v>0</v>
      </c>
      <c r="K48" s="40">
        <f>+'3b Gebruiksrecht - Subscription'!J80</f>
        <v>0</v>
      </c>
      <c r="L48" s="40">
        <f>+'3b Gebruiksrecht - Subscription'!K80</f>
        <v>0</v>
      </c>
      <c r="M48" s="40">
        <f>+'3b Gebruiksrecht - Subscription'!L80</f>
        <v>0</v>
      </c>
      <c r="N48" s="3"/>
      <c r="O48" s="3"/>
    </row>
    <row r="49" spans="2:15" ht="15" thickBot="1" x14ac:dyDescent="0.35">
      <c r="B49" s="32"/>
      <c r="C49" s="3"/>
      <c r="D49" s="43">
        <f>SUM(D48:D48)</f>
        <v>0</v>
      </c>
      <c r="E49" s="43">
        <f>SUM(E48:E48)</f>
        <v>0</v>
      </c>
      <c r="F49" s="43">
        <f>SUM(F48:F48)</f>
        <v>0</v>
      </c>
      <c r="G49" s="43">
        <f>SUM(G48:G48)</f>
        <v>0</v>
      </c>
      <c r="H49" s="43">
        <f>SUM(H48:H48)</f>
        <v>0</v>
      </c>
      <c r="I49" s="43">
        <f t="shared" ref="I49:M49" si="12">SUM(I48:I48)</f>
        <v>0</v>
      </c>
      <c r="J49" s="43">
        <f t="shared" si="12"/>
        <v>0</v>
      </c>
      <c r="K49" s="43">
        <f t="shared" si="12"/>
        <v>0</v>
      </c>
      <c r="L49" s="43">
        <f t="shared" si="12"/>
        <v>0</v>
      </c>
      <c r="M49" s="43">
        <f t="shared" si="12"/>
        <v>0</v>
      </c>
      <c r="N49" s="3"/>
      <c r="O49" s="66">
        <f>SUM(D49:M49)</f>
        <v>0</v>
      </c>
    </row>
    <row r="50" spans="2:15" ht="14.4" thickTop="1" x14ac:dyDescent="0.3">
      <c r="B50" s="32"/>
      <c r="C50" s="3"/>
      <c r="D50" s="3"/>
      <c r="E50" s="3"/>
      <c r="F50" s="3"/>
      <c r="G50" s="3"/>
      <c r="H50" s="3"/>
      <c r="I50" s="3"/>
      <c r="J50" s="3"/>
      <c r="K50" s="3"/>
      <c r="L50" s="3"/>
      <c r="M50" s="3"/>
      <c r="N50" s="3"/>
      <c r="O50" s="3"/>
    </row>
    <row r="51" spans="2:15" ht="13.8" x14ac:dyDescent="0.3">
      <c r="B51" s="32"/>
      <c r="C51" s="37" t="str">
        <f>C23</f>
        <v>Datacenter Apeldoorn, locatie Walterbos</v>
      </c>
      <c r="D51" s="3"/>
      <c r="E51" s="3"/>
      <c r="F51" s="3"/>
      <c r="G51" s="3"/>
      <c r="H51" s="3"/>
      <c r="I51" s="3"/>
      <c r="J51" s="3"/>
      <c r="K51" s="3"/>
      <c r="L51" s="3"/>
      <c r="M51" s="3"/>
      <c r="N51" s="3"/>
      <c r="O51" s="3"/>
    </row>
    <row r="52" spans="2:15" ht="13.8" x14ac:dyDescent="0.3">
      <c r="B52" s="32"/>
      <c r="C52" s="62" t="str">
        <f>C48</f>
        <v>Gebruiksrecht o.b.v. Subscription</v>
      </c>
      <c r="D52" s="40">
        <f>D48</f>
        <v>0</v>
      </c>
      <c r="E52" s="40">
        <f>E48</f>
        <v>0</v>
      </c>
      <c r="F52" s="40">
        <f t="shared" ref="F52:M52" si="13">F48</f>
        <v>0</v>
      </c>
      <c r="G52" s="40">
        <f t="shared" si="13"/>
        <v>0</v>
      </c>
      <c r="H52" s="40">
        <f t="shared" si="13"/>
        <v>0</v>
      </c>
      <c r="I52" s="40">
        <f t="shared" si="13"/>
        <v>0</v>
      </c>
      <c r="J52" s="40">
        <f t="shared" si="13"/>
        <v>0</v>
      </c>
      <c r="K52" s="40">
        <f t="shared" si="13"/>
        <v>0</v>
      </c>
      <c r="L52" s="40">
        <f t="shared" si="13"/>
        <v>0</v>
      </c>
      <c r="M52" s="40">
        <f t="shared" si="13"/>
        <v>0</v>
      </c>
      <c r="N52" s="3"/>
      <c r="O52" s="3"/>
    </row>
    <row r="53" spans="2:15" ht="15" thickBot="1" x14ac:dyDescent="0.35">
      <c r="B53" s="32"/>
      <c r="C53" s="3"/>
      <c r="D53" s="43">
        <f>SUM(D52:D52)</f>
        <v>0</v>
      </c>
      <c r="E53" s="43">
        <f>SUM(E52:E52)</f>
        <v>0</v>
      </c>
      <c r="F53" s="43">
        <f>SUM(F52:F52)</f>
        <v>0</v>
      </c>
      <c r="G53" s="43">
        <f>SUM(G52:G52)</f>
        <v>0</v>
      </c>
      <c r="H53" s="43">
        <f>SUM(H52:H52)</f>
        <v>0</v>
      </c>
      <c r="I53" s="43">
        <f t="shared" ref="I53" si="14">SUM(I52:I52)</f>
        <v>0</v>
      </c>
      <c r="J53" s="43">
        <f t="shared" ref="J53" si="15">SUM(J52:J52)</f>
        <v>0</v>
      </c>
      <c r="K53" s="43">
        <f t="shared" ref="K53" si="16">SUM(K52:K52)</f>
        <v>0</v>
      </c>
      <c r="L53" s="43">
        <f t="shared" ref="L53" si="17">SUM(L52:L52)</f>
        <v>0</v>
      </c>
      <c r="M53" s="43">
        <f t="shared" ref="M53" si="18">SUM(M52:M52)</f>
        <v>0</v>
      </c>
      <c r="N53" s="3"/>
      <c r="O53" s="66">
        <f>SUM(D53:M53)</f>
        <v>0</v>
      </c>
    </row>
    <row r="54" spans="2:15" ht="14.4" thickTop="1" x14ac:dyDescent="0.3">
      <c r="B54" s="32"/>
      <c r="C54" s="3"/>
      <c r="D54" s="44"/>
      <c r="E54" s="44"/>
      <c r="F54" s="44"/>
      <c r="G54" s="44"/>
      <c r="H54" s="44"/>
      <c r="I54" s="44"/>
      <c r="J54" s="44"/>
      <c r="K54" s="44"/>
      <c r="L54" s="44"/>
      <c r="M54" s="44"/>
      <c r="N54" s="44"/>
      <c r="O54" s="44"/>
    </row>
    <row r="55" spans="2:15" ht="15" thickBot="1" x14ac:dyDescent="0.35">
      <c r="B55" s="32"/>
      <c r="C55" s="3"/>
      <c r="D55" s="3"/>
      <c r="E55" s="3"/>
      <c r="F55" s="3"/>
      <c r="G55" s="3"/>
      <c r="H55" s="3"/>
      <c r="I55" s="3"/>
      <c r="J55" s="3"/>
      <c r="K55" s="3"/>
      <c r="L55" s="3"/>
      <c r="M55" s="68" t="s">
        <v>176</v>
      </c>
      <c r="N55" s="69"/>
      <c r="O55" s="66">
        <f>O49+O53</f>
        <v>0</v>
      </c>
    </row>
    <row r="56" spans="2:15" ht="14.4" thickTop="1" x14ac:dyDescent="0.3">
      <c r="B56" s="32"/>
      <c r="C56" s="3"/>
      <c r="D56" s="3"/>
      <c r="E56" s="3"/>
      <c r="F56" s="3"/>
      <c r="G56" s="3"/>
      <c r="H56" s="3"/>
      <c r="I56" s="3"/>
      <c r="J56" s="3"/>
      <c r="K56" s="3"/>
      <c r="L56" s="3"/>
      <c r="M56" s="3"/>
      <c r="N56" s="3"/>
      <c r="O56" s="3"/>
    </row>
    <row r="57" spans="2:15" ht="13.8" x14ac:dyDescent="0.3">
      <c r="B57" s="46" t="s">
        <v>58</v>
      </c>
      <c r="C57" s="37" t="str">
        <f>+'3c Gebruiksrecht - Enterprise'!B3</f>
        <v>3c. Gebruiksrecht DSP Oplossing (Enterprise)</v>
      </c>
      <c r="D57" s="3"/>
      <c r="E57" s="3"/>
      <c r="F57" s="3"/>
      <c r="G57" s="3"/>
      <c r="H57" s="3"/>
      <c r="I57" s="3"/>
      <c r="J57" s="3"/>
      <c r="K57" s="3"/>
      <c r="L57" s="3"/>
      <c r="M57" s="3"/>
      <c r="N57" s="3"/>
      <c r="O57" s="3"/>
    </row>
    <row r="58" spans="2:15" ht="13.8" x14ac:dyDescent="0.3">
      <c r="B58" s="32"/>
      <c r="C58" s="39" t="str">
        <f>+'3c Gebruiksrecht - Enterprise'!B35</f>
        <v>Gebruiksrecht o.b.v. Enterprise licentie</v>
      </c>
      <c r="D58" s="40">
        <f>+'3c Gebruiksrecht - Enterprise'!C37</f>
        <v>0</v>
      </c>
      <c r="E58" s="40">
        <f>+'3c Gebruiksrecht - Enterprise'!D37</f>
        <v>0</v>
      </c>
      <c r="F58" s="40">
        <f>+'3c Gebruiksrecht - Enterprise'!E37</f>
        <v>0</v>
      </c>
      <c r="G58" s="40">
        <f>+'3c Gebruiksrecht - Enterprise'!F37</f>
        <v>0</v>
      </c>
      <c r="H58" s="40">
        <f>+'3c Gebruiksrecht - Enterprise'!G37</f>
        <v>0</v>
      </c>
      <c r="I58" s="40">
        <f>+'3c Gebruiksrecht - Enterprise'!H37</f>
        <v>0</v>
      </c>
      <c r="J58" s="40">
        <f>+'3c Gebruiksrecht - Enterprise'!I37</f>
        <v>0</v>
      </c>
      <c r="K58" s="40">
        <f>+'3c Gebruiksrecht - Enterprise'!J37</f>
        <v>0</v>
      </c>
      <c r="L58" s="40">
        <f>+'3c Gebruiksrecht - Enterprise'!K37</f>
        <v>0</v>
      </c>
      <c r="M58" s="40">
        <f>+'3c Gebruiksrecht - Enterprise'!L37</f>
        <v>0</v>
      </c>
      <c r="N58" s="3"/>
      <c r="O58" s="3"/>
    </row>
    <row r="59" spans="2:15" ht="15" thickBot="1" x14ac:dyDescent="0.35">
      <c r="B59" s="32"/>
      <c r="C59" s="3"/>
      <c r="D59" s="43">
        <f>SUM(D58:D58)</f>
        <v>0</v>
      </c>
      <c r="E59" s="43">
        <f>SUM(E58:E58)</f>
        <v>0</v>
      </c>
      <c r="F59" s="43">
        <f>SUM(F58:F58)</f>
        <v>0</v>
      </c>
      <c r="G59" s="43">
        <f>SUM(G58:G58)</f>
        <v>0</v>
      </c>
      <c r="H59" s="43">
        <f>SUM(H58:H58)</f>
        <v>0</v>
      </c>
      <c r="I59" s="43">
        <f t="shared" ref="I59:M59" si="19">SUM(I58:I58)</f>
        <v>0</v>
      </c>
      <c r="J59" s="43">
        <f t="shared" si="19"/>
        <v>0</v>
      </c>
      <c r="K59" s="43">
        <f t="shared" si="19"/>
        <v>0</v>
      </c>
      <c r="L59" s="43">
        <f t="shared" si="19"/>
        <v>0</v>
      </c>
      <c r="M59" s="43">
        <f t="shared" si="19"/>
        <v>0</v>
      </c>
      <c r="N59" s="3"/>
      <c r="O59" s="66">
        <f>SUM(D59:M59)</f>
        <v>0</v>
      </c>
    </row>
    <row r="60" spans="2:15" ht="14.4" thickTop="1" x14ac:dyDescent="0.3">
      <c r="B60" s="32"/>
      <c r="C60" s="3"/>
      <c r="D60" s="44"/>
      <c r="E60" s="44"/>
      <c r="F60" s="44"/>
      <c r="G60" s="44"/>
      <c r="H60" s="44"/>
      <c r="I60" s="44"/>
      <c r="J60" s="44"/>
      <c r="K60" s="44"/>
      <c r="L60" s="44"/>
      <c r="M60" s="44"/>
      <c r="N60" s="44"/>
      <c r="O60" s="44"/>
    </row>
    <row r="61" spans="2:15" ht="15" thickBot="1" x14ac:dyDescent="0.35">
      <c r="B61" s="32"/>
      <c r="C61" s="3"/>
      <c r="D61" s="3"/>
      <c r="E61" s="3"/>
      <c r="F61" s="3"/>
      <c r="G61" s="3"/>
      <c r="H61" s="3"/>
      <c r="I61" s="3"/>
      <c r="J61" s="3"/>
      <c r="K61" s="3"/>
      <c r="L61" s="3"/>
      <c r="M61" s="67" t="s">
        <v>175</v>
      </c>
      <c r="N61" s="44"/>
      <c r="O61" s="45">
        <f>S46</f>
        <v>0</v>
      </c>
    </row>
    <row r="62" spans="2:15" ht="15" customHeight="1" thickTop="1" x14ac:dyDescent="0.3">
      <c r="B62" s="27"/>
      <c r="C62" s="27"/>
      <c r="D62" s="27"/>
      <c r="E62" s="27"/>
      <c r="F62" s="27"/>
      <c r="G62" s="27"/>
      <c r="H62" s="27"/>
      <c r="I62" s="27"/>
      <c r="J62" s="27"/>
      <c r="K62" s="27"/>
      <c r="L62" s="27"/>
      <c r="M62" s="27"/>
      <c r="N62" s="27"/>
      <c r="O62" s="27"/>
    </row>
    <row r="63" spans="2:15" ht="15" customHeight="1" x14ac:dyDescent="0.3">
      <c r="B63" s="33" t="str">
        <f>'4. Diensten '!B3</f>
        <v>4. Diensten</v>
      </c>
      <c r="C63" s="34"/>
      <c r="D63" s="27"/>
      <c r="E63" s="27"/>
      <c r="F63" s="27"/>
      <c r="G63" s="27"/>
      <c r="H63" s="27"/>
      <c r="I63" s="27"/>
      <c r="J63" s="27"/>
      <c r="K63" s="27"/>
      <c r="L63" s="27"/>
      <c r="M63" s="27"/>
      <c r="N63" s="27"/>
      <c r="O63" s="27"/>
    </row>
    <row r="64" spans="2:15" ht="15" customHeight="1" x14ac:dyDescent="0.3">
      <c r="B64" s="27"/>
      <c r="C64" s="39" t="str">
        <f>'4. Diensten '!B9</f>
        <v>Ondersteunende technische werkzaamheden</v>
      </c>
      <c r="D64" s="40">
        <f>'4. Diensten '!G11</f>
        <v>0</v>
      </c>
      <c r="E64" s="40">
        <f>'4. Diensten '!G12</f>
        <v>0</v>
      </c>
      <c r="F64" s="27"/>
      <c r="G64" s="27"/>
      <c r="H64" s="27"/>
      <c r="I64" s="27"/>
      <c r="J64" s="27"/>
      <c r="K64" s="27"/>
      <c r="L64" s="27"/>
      <c r="M64" s="27"/>
      <c r="N64" s="27"/>
      <c r="O64" s="27"/>
    </row>
    <row r="65" spans="2:15" ht="15" customHeight="1" x14ac:dyDescent="0.3">
      <c r="B65" s="27"/>
      <c r="C65" s="62" t="str">
        <f>'4. Diensten '!B15</f>
        <v>Ondersteuning Migratie</v>
      </c>
      <c r="D65" s="159">
        <f>('4. Diensten '!G18+'4. Diensten '!G19)/2</f>
        <v>0</v>
      </c>
      <c r="E65" s="40">
        <f>D65</f>
        <v>0</v>
      </c>
      <c r="F65" s="27"/>
      <c r="G65" s="27"/>
      <c r="H65" s="27"/>
      <c r="I65" s="27"/>
      <c r="J65" s="27"/>
      <c r="K65" s="27"/>
      <c r="L65" s="27"/>
      <c r="M65" s="27"/>
      <c r="N65" s="27"/>
      <c r="O65" s="27"/>
    </row>
    <row r="66" spans="2:15" ht="15" customHeight="1" x14ac:dyDescent="0.3">
      <c r="B66" s="27"/>
      <c r="C66" s="62" t="str">
        <f>'4. Diensten '!B23</f>
        <v>Beschikbaar stellen conversie/migratietool (GUE 71)</v>
      </c>
      <c r="D66" s="159">
        <f>'4. Diensten '!G23</f>
        <v>0</v>
      </c>
      <c r="E66" s="27"/>
      <c r="F66" s="27"/>
      <c r="G66" s="27"/>
      <c r="H66" s="27"/>
      <c r="I66" s="27"/>
      <c r="J66" s="27"/>
      <c r="K66" s="27"/>
      <c r="L66" s="27"/>
      <c r="M66" s="27"/>
      <c r="N66" s="27"/>
      <c r="O66" s="27"/>
    </row>
    <row r="67" spans="2:15" ht="15" customHeight="1" thickBot="1" x14ac:dyDescent="0.35">
      <c r="B67" s="27"/>
      <c r="C67" s="3"/>
      <c r="D67" s="43">
        <f>D64+D65+D66</f>
        <v>0</v>
      </c>
      <c r="E67" s="43">
        <f>E64+E65</f>
        <v>0</v>
      </c>
      <c r="F67" s="156"/>
      <c r="G67" s="157"/>
      <c r="H67" s="157"/>
      <c r="I67" s="157"/>
      <c r="J67" s="157"/>
      <c r="K67" s="157"/>
      <c r="L67" s="157"/>
      <c r="M67" s="157"/>
      <c r="N67" s="27"/>
      <c r="O67" s="45">
        <f>SUM(D67:M67)</f>
        <v>0</v>
      </c>
    </row>
    <row r="68" spans="2:15" ht="15" customHeight="1" thickTop="1" x14ac:dyDescent="0.3">
      <c r="B68" s="27"/>
      <c r="C68" s="3"/>
      <c r="D68" s="44"/>
      <c r="E68" s="44"/>
      <c r="F68" s="27"/>
      <c r="G68" s="27"/>
      <c r="H68" s="27"/>
      <c r="I68" s="27"/>
      <c r="J68" s="27"/>
      <c r="K68" s="27"/>
      <c r="L68" s="27"/>
      <c r="M68" s="27"/>
      <c r="N68" s="27"/>
      <c r="O68" s="27"/>
    </row>
    <row r="69" spans="2:15" ht="15" customHeight="1" x14ac:dyDescent="0.3">
      <c r="B69" s="455" t="str">
        <f>'5. Additionele diensten'!B3</f>
        <v>5. Additionele diensten</v>
      </c>
      <c r="C69" s="456"/>
      <c r="D69" s="44"/>
      <c r="E69" s="44"/>
      <c r="F69" s="27"/>
      <c r="G69" s="27"/>
      <c r="H69" s="27"/>
      <c r="I69" s="27"/>
      <c r="J69" s="27"/>
      <c r="K69" s="27"/>
      <c r="L69" s="27"/>
      <c r="M69" s="27"/>
      <c r="N69" s="27"/>
      <c r="O69" s="27"/>
    </row>
    <row r="70" spans="2:15" ht="15" customHeight="1" x14ac:dyDescent="0.3">
      <c r="B70" s="27"/>
      <c r="C70" s="40" t="str">
        <f>'5. Additionele diensten'!B9</f>
        <v>Consultancy</v>
      </c>
      <c r="D70" s="44"/>
      <c r="E70" s="44"/>
      <c r="F70" s="40">
        <f>400*'5. Additionele diensten'!C11</f>
        <v>0</v>
      </c>
      <c r="G70" s="40">
        <f>320*'5. Additionele diensten'!C11</f>
        <v>0</v>
      </c>
      <c r="H70" s="40">
        <f>240*'5. Additionele diensten'!C11</f>
        <v>0</v>
      </c>
      <c r="I70" s="40">
        <f>200*'5. Additionele diensten'!C11</f>
        <v>0</v>
      </c>
      <c r="J70" s="40">
        <f>160*'5. Additionele diensten'!C11</f>
        <v>0</v>
      </c>
      <c r="K70" s="40">
        <f>120*'5. Additionele diensten'!C11</f>
        <v>0</v>
      </c>
      <c r="L70" s="40">
        <f>80*'5. Additionele diensten'!C11</f>
        <v>0</v>
      </c>
      <c r="M70" s="40">
        <f>40*'5. Additionele diensten'!C11</f>
        <v>0</v>
      </c>
      <c r="N70" s="27"/>
      <c r="O70" s="27"/>
    </row>
    <row r="71" spans="2:15" ht="15" customHeight="1" x14ac:dyDescent="0.3">
      <c r="B71" s="27"/>
      <c r="C71" s="40" t="str">
        <f>'5. Additionele diensten'!B14</f>
        <v>Opleiding</v>
      </c>
      <c r="D71" s="44"/>
      <c r="E71" s="40">
        <f>('5. Additionele diensten'!G17+'5. Additionele diensten'!G18+'5. Additionele diensten'!G19)/9</f>
        <v>0</v>
      </c>
      <c r="F71" s="40">
        <f>('5. Additionele diensten'!G17+'5. Additionele diensten'!G18+'5. Additionele diensten'!G19)/9</f>
        <v>0</v>
      </c>
      <c r="G71" s="40">
        <f>('5. Additionele diensten'!G17+'5. Additionele diensten'!G18+'5. Additionele diensten'!G19)/9</f>
        <v>0</v>
      </c>
      <c r="H71" s="40">
        <f>('5. Additionele diensten'!G17+'5. Additionele diensten'!G18+'5. Additionele diensten'!G19)/9</f>
        <v>0</v>
      </c>
      <c r="I71" s="40">
        <f>('5. Additionele diensten'!G17+'5. Additionele diensten'!G18+'5. Additionele diensten'!G19)/9</f>
        <v>0</v>
      </c>
      <c r="J71" s="40">
        <f>('5. Additionele diensten'!G17+'5. Additionele diensten'!G18+'5. Additionele diensten'!G19)/9</f>
        <v>0</v>
      </c>
      <c r="K71" s="40">
        <f>('5. Additionele diensten'!G17+'5. Additionele diensten'!G18+'5. Additionele diensten'!G19)/9</f>
        <v>0</v>
      </c>
      <c r="L71" s="40">
        <f>('5. Additionele diensten'!G17+'5. Additionele diensten'!G18+'5. Additionele diensten'!G19)/9</f>
        <v>0</v>
      </c>
      <c r="M71" s="40">
        <f>('5. Additionele diensten'!G17+'5. Additionele diensten'!G18+'5. Additionele diensten'!G19)/9</f>
        <v>0</v>
      </c>
      <c r="N71" s="27"/>
      <c r="O71" s="27"/>
    </row>
    <row r="72" spans="2:15" ht="15" customHeight="1" x14ac:dyDescent="0.3">
      <c r="B72" s="27"/>
      <c r="C72" s="40" t="str">
        <f>'5. Additionele diensten'!B22</f>
        <v>Verruimde Openstelling</v>
      </c>
      <c r="D72" s="40">
        <f>'5. Additionele diensten'!G24/10</f>
        <v>0</v>
      </c>
      <c r="E72" s="40">
        <f>'5. Additionele diensten'!G24/10</f>
        <v>0</v>
      </c>
      <c r="F72" s="40">
        <f>'5. Additionele diensten'!G24/10</f>
        <v>0</v>
      </c>
      <c r="G72" s="40">
        <f>'5. Additionele diensten'!G24/10</f>
        <v>0</v>
      </c>
      <c r="H72" s="40">
        <f>'5. Additionele diensten'!G24/10</f>
        <v>0</v>
      </c>
      <c r="I72" s="40">
        <f>'5. Additionele diensten'!G24/10</f>
        <v>0</v>
      </c>
      <c r="J72" s="40">
        <f>'5. Additionele diensten'!G24/10</f>
        <v>0</v>
      </c>
      <c r="K72" s="40">
        <f>'5. Additionele diensten'!G24/10</f>
        <v>0</v>
      </c>
      <c r="L72" s="40">
        <f>'5. Additionele diensten'!G24/10</f>
        <v>0</v>
      </c>
      <c r="M72" s="40">
        <f>'5. Additionele diensten'!G24/10</f>
        <v>0</v>
      </c>
      <c r="N72" s="27"/>
      <c r="O72" s="27"/>
    </row>
    <row r="73" spans="2:15" ht="15" customHeight="1" thickBot="1" x14ac:dyDescent="0.35">
      <c r="B73" s="27"/>
      <c r="C73" s="41"/>
      <c r="D73" s="43">
        <f>D72</f>
        <v>0</v>
      </c>
      <c r="E73" s="43">
        <f>E71+E72</f>
        <v>0</v>
      </c>
      <c r="F73" s="43">
        <f>SUM(F70:F72)</f>
        <v>0</v>
      </c>
      <c r="G73" s="43">
        <f t="shared" ref="G73:M73" si="20">SUM(G70:G72)</f>
        <v>0</v>
      </c>
      <c r="H73" s="43">
        <f t="shared" si="20"/>
        <v>0</v>
      </c>
      <c r="I73" s="43">
        <f t="shared" si="20"/>
        <v>0</v>
      </c>
      <c r="J73" s="43">
        <f t="shared" si="20"/>
        <v>0</v>
      </c>
      <c r="K73" s="43">
        <f t="shared" si="20"/>
        <v>0</v>
      </c>
      <c r="L73" s="43">
        <f t="shared" si="20"/>
        <v>0</v>
      </c>
      <c r="M73" s="43">
        <f t="shared" si="20"/>
        <v>0</v>
      </c>
      <c r="N73" s="27"/>
      <c r="O73" s="45">
        <f>SUM(D73:M73)</f>
        <v>0</v>
      </c>
    </row>
    <row r="74" spans="2:15" ht="15" customHeight="1" thickTop="1" thickBot="1" x14ac:dyDescent="0.35">
      <c r="B74" s="26"/>
      <c r="C74" s="26"/>
      <c r="D74" s="26"/>
      <c r="E74" s="26"/>
      <c r="F74" s="26"/>
      <c r="G74" s="26"/>
      <c r="H74" s="26"/>
      <c r="I74" s="26"/>
      <c r="J74" s="26"/>
      <c r="K74" s="26"/>
      <c r="L74" s="26"/>
      <c r="M74" s="26"/>
      <c r="N74" s="26"/>
      <c r="O74" s="26"/>
    </row>
    <row r="75" spans="2:15" ht="15" customHeight="1" x14ac:dyDescent="0.3">
      <c r="B75" s="27"/>
      <c r="C75" s="27"/>
      <c r="D75" s="27"/>
      <c r="E75" s="27"/>
      <c r="F75" s="27"/>
      <c r="G75" s="27"/>
      <c r="H75" s="27"/>
      <c r="I75" s="27"/>
      <c r="J75" s="27"/>
      <c r="K75" s="27"/>
      <c r="L75" s="27"/>
      <c r="M75" s="27"/>
    </row>
    <row r="76" spans="2:15" ht="23.4" thickBot="1" x14ac:dyDescent="0.45">
      <c r="B76" s="460" t="s">
        <v>29</v>
      </c>
      <c r="C76" s="460"/>
      <c r="D76" s="460"/>
      <c r="E76" s="460"/>
      <c r="F76" s="460"/>
      <c r="G76" s="460"/>
      <c r="H76" s="460"/>
      <c r="I76" s="460"/>
      <c r="J76" s="460"/>
      <c r="K76" s="460"/>
      <c r="L76" s="460"/>
      <c r="M76" s="460"/>
      <c r="O76" s="65">
        <f>O14+O28+O61+O67+O73</f>
        <v>0</v>
      </c>
    </row>
    <row r="77" spans="2:15" ht="15" customHeight="1" thickTop="1" thickBot="1" x14ac:dyDescent="0.35">
      <c r="B77" s="26"/>
      <c r="C77" s="26"/>
      <c r="D77" s="26"/>
      <c r="E77" s="26"/>
      <c r="F77" s="26"/>
      <c r="G77" s="26"/>
      <c r="H77" s="26"/>
      <c r="I77" s="26"/>
      <c r="J77" s="26"/>
      <c r="K77" s="26"/>
      <c r="L77" s="26"/>
      <c r="M77" s="26"/>
      <c r="N77" s="26"/>
      <c r="O77" s="26"/>
    </row>
    <row r="78" spans="2:15" ht="15" customHeight="1" x14ac:dyDescent="0.3">
      <c r="B78" s="47"/>
      <c r="C78" s="47"/>
      <c r="D78" s="47"/>
      <c r="E78" s="47"/>
      <c r="F78" s="47"/>
      <c r="G78" s="47"/>
      <c r="H78" s="47"/>
      <c r="I78" s="47"/>
      <c r="J78" s="47"/>
      <c r="K78" s="47"/>
      <c r="L78" s="47"/>
      <c r="M78" s="47"/>
      <c r="N78" s="47"/>
      <c r="O78" s="47"/>
    </row>
    <row r="79" spans="2:15" ht="15" hidden="1" customHeight="1" x14ac:dyDescent="0.3">
      <c r="B79" s="47"/>
      <c r="C79" s="47"/>
      <c r="D79" s="47"/>
      <c r="E79" s="47"/>
      <c r="F79" s="47"/>
      <c r="G79" s="47"/>
      <c r="H79" s="47"/>
      <c r="I79" s="47"/>
      <c r="J79" s="47"/>
      <c r="K79" s="47"/>
      <c r="L79" s="47"/>
      <c r="M79" s="47"/>
      <c r="N79" s="47"/>
      <c r="O79" s="47"/>
    </row>
    <row r="80" spans="2:15" ht="15" hidden="1" customHeight="1" x14ac:dyDescent="0.3">
      <c r="B80" s="47"/>
      <c r="C80" s="47"/>
      <c r="D80" s="47"/>
      <c r="E80" s="47"/>
      <c r="F80" s="47"/>
      <c r="G80" s="47"/>
      <c r="H80" s="47"/>
      <c r="I80" s="47"/>
      <c r="J80" s="47"/>
      <c r="K80" s="47"/>
      <c r="L80" s="47"/>
      <c r="M80" s="47"/>
      <c r="N80" s="47"/>
      <c r="O80" s="47"/>
    </row>
    <row r="81" spans="2:15" ht="15" hidden="1" customHeight="1" x14ac:dyDescent="0.3">
      <c r="B81" s="47"/>
      <c r="C81" s="47"/>
      <c r="D81" s="47"/>
      <c r="E81" s="47"/>
      <c r="F81" s="47"/>
      <c r="G81" s="47"/>
      <c r="H81" s="47"/>
      <c r="I81" s="47"/>
      <c r="J81" s="47"/>
      <c r="K81" s="47"/>
      <c r="L81" s="47"/>
      <c r="M81" s="47"/>
      <c r="N81" s="47"/>
      <c r="O81" s="47"/>
    </row>
    <row r="82" spans="2:15" ht="15" hidden="1" customHeight="1" x14ac:dyDescent="0.3">
      <c r="B82" s="47"/>
      <c r="C82" s="47"/>
      <c r="D82" s="47"/>
      <c r="E82" s="47"/>
      <c r="F82" s="47"/>
      <c r="G82" s="47"/>
      <c r="H82" s="47"/>
      <c r="I82" s="47"/>
      <c r="J82" s="47"/>
      <c r="K82" s="47"/>
      <c r="L82" s="47"/>
      <c r="M82" s="47"/>
      <c r="N82" s="47"/>
      <c r="O82" s="47"/>
    </row>
    <row r="83" spans="2:15" ht="15" hidden="1" customHeight="1" x14ac:dyDescent="0.3">
      <c r="B83" s="47"/>
      <c r="C83" s="47"/>
      <c r="D83" s="47"/>
      <c r="E83" s="47"/>
      <c r="F83" s="47"/>
      <c r="G83" s="47"/>
      <c r="H83" s="47"/>
      <c r="I83" s="47"/>
      <c r="J83" s="47"/>
      <c r="K83" s="47"/>
      <c r="L83" s="47"/>
      <c r="M83" s="47"/>
      <c r="N83" s="47"/>
      <c r="O83" s="47"/>
    </row>
    <row r="84" spans="2:15" ht="15" hidden="1" customHeight="1" x14ac:dyDescent="0.3">
      <c r="B84" s="47"/>
      <c r="C84" s="47"/>
      <c r="D84" s="47"/>
      <c r="E84" s="47"/>
      <c r="F84" s="47"/>
      <c r="G84" s="47"/>
      <c r="H84" s="47"/>
      <c r="I84" s="47"/>
      <c r="J84" s="47"/>
      <c r="K84" s="47"/>
      <c r="L84" s="47"/>
      <c r="M84" s="47"/>
      <c r="N84" s="47"/>
      <c r="O84" s="47"/>
    </row>
    <row r="85" spans="2:15" ht="15" hidden="1" customHeight="1" x14ac:dyDescent="0.3">
      <c r="B85" s="47"/>
      <c r="C85" s="47"/>
      <c r="D85" s="47"/>
      <c r="E85" s="47"/>
      <c r="F85" s="47"/>
      <c r="G85" s="47"/>
      <c r="H85" s="47"/>
      <c r="I85" s="47"/>
      <c r="J85" s="47"/>
      <c r="K85" s="47"/>
      <c r="L85" s="47"/>
      <c r="M85" s="47"/>
      <c r="N85" s="47"/>
      <c r="O85" s="47"/>
    </row>
    <row r="86" spans="2:15" ht="15" hidden="1" customHeight="1" x14ac:dyDescent="0.3">
      <c r="B86" s="47"/>
      <c r="C86" s="47"/>
      <c r="D86" s="47"/>
      <c r="E86" s="47"/>
      <c r="F86" s="47"/>
      <c r="G86" s="47"/>
      <c r="H86" s="47"/>
      <c r="I86" s="47"/>
      <c r="J86" s="47"/>
      <c r="K86" s="47"/>
      <c r="L86" s="47"/>
      <c r="M86" s="47"/>
      <c r="N86" s="47"/>
      <c r="O86" s="47"/>
    </row>
    <row r="87" spans="2:15" ht="15" hidden="1" customHeight="1" x14ac:dyDescent="0.3">
      <c r="B87" s="47"/>
      <c r="C87" s="47"/>
      <c r="D87" s="47"/>
      <c r="E87" s="47"/>
      <c r="F87" s="47"/>
      <c r="G87" s="47"/>
      <c r="H87" s="47"/>
      <c r="I87" s="47"/>
      <c r="J87" s="47"/>
      <c r="K87" s="47"/>
      <c r="L87" s="47"/>
      <c r="M87" s="47"/>
      <c r="N87" s="47"/>
      <c r="O87" s="47"/>
    </row>
    <row r="88" spans="2:15" ht="15" hidden="1" customHeight="1" x14ac:dyDescent="0.3">
      <c r="B88" s="47"/>
      <c r="C88" s="47"/>
      <c r="D88" s="47"/>
      <c r="E88" s="47"/>
      <c r="F88" s="47"/>
      <c r="G88" s="47"/>
      <c r="H88" s="47"/>
      <c r="I88" s="47"/>
      <c r="J88" s="47"/>
      <c r="K88" s="47"/>
      <c r="L88" s="47"/>
      <c r="M88" s="47"/>
      <c r="N88" s="47"/>
      <c r="O88" s="47"/>
    </row>
    <row r="89" spans="2:15" ht="15" hidden="1" customHeight="1" x14ac:dyDescent="0.3">
      <c r="B89" s="47"/>
      <c r="C89" s="47"/>
      <c r="D89" s="47"/>
      <c r="E89" s="47"/>
      <c r="F89" s="47"/>
      <c r="G89" s="47"/>
      <c r="H89" s="47"/>
      <c r="I89" s="47"/>
      <c r="J89" s="47"/>
      <c r="K89" s="47"/>
      <c r="L89" s="47"/>
      <c r="M89" s="47"/>
      <c r="N89" s="47"/>
      <c r="O89" s="47"/>
    </row>
    <row r="90" spans="2:15" ht="15" hidden="1" customHeight="1" x14ac:dyDescent="0.3">
      <c r="B90" s="47"/>
      <c r="C90" s="47"/>
      <c r="D90" s="47"/>
      <c r="E90" s="47"/>
      <c r="F90" s="47"/>
      <c r="G90" s="47"/>
      <c r="H90" s="47"/>
      <c r="I90" s="47"/>
      <c r="J90" s="47"/>
      <c r="K90" s="47"/>
      <c r="L90" s="47"/>
      <c r="M90" s="47"/>
      <c r="N90" s="47"/>
      <c r="O90" s="47"/>
    </row>
    <row r="91" spans="2:15" ht="15" hidden="1" customHeight="1" x14ac:dyDescent="0.3">
      <c r="B91" s="47"/>
      <c r="C91" s="47"/>
      <c r="D91" s="47"/>
      <c r="E91" s="47"/>
      <c r="F91" s="47"/>
      <c r="G91" s="47"/>
      <c r="H91" s="47"/>
      <c r="I91" s="47"/>
      <c r="J91" s="47"/>
      <c r="K91" s="47"/>
      <c r="L91" s="47"/>
      <c r="M91" s="47"/>
      <c r="N91" s="47"/>
      <c r="O91" s="47"/>
    </row>
    <row r="92" spans="2:15" ht="15" hidden="1" customHeight="1" x14ac:dyDescent="0.3">
      <c r="B92" s="47"/>
      <c r="C92" s="47"/>
      <c r="D92" s="47"/>
      <c r="E92" s="47"/>
      <c r="F92" s="47"/>
      <c r="G92" s="47"/>
      <c r="H92" s="47"/>
      <c r="I92" s="47"/>
      <c r="J92" s="47"/>
      <c r="K92" s="47"/>
      <c r="L92" s="47"/>
      <c r="M92" s="47"/>
      <c r="N92" s="47"/>
      <c r="O92" s="47"/>
    </row>
    <row r="93" spans="2:15" ht="15" hidden="1" customHeight="1" x14ac:dyDescent="0.3">
      <c r="B93" s="27"/>
      <c r="C93" s="27"/>
      <c r="D93" s="27"/>
      <c r="E93" s="27"/>
      <c r="F93" s="27"/>
      <c r="G93" s="27"/>
      <c r="H93" s="27"/>
      <c r="I93" s="27"/>
      <c r="J93" s="27"/>
      <c r="K93" s="27"/>
      <c r="L93" s="27"/>
      <c r="M93" s="27"/>
      <c r="N93" s="27"/>
      <c r="O93" s="27"/>
    </row>
    <row r="94" spans="2:15" ht="15" hidden="1" customHeight="1" x14ac:dyDescent="0.3">
      <c r="B94" s="48"/>
      <c r="C94" s="48"/>
      <c r="D94" s="48"/>
      <c r="E94" s="48"/>
    </row>
    <row r="95" spans="2:15" ht="15" hidden="1" customHeight="1" x14ac:dyDescent="0.3">
      <c r="B95" s="48"/>
      <c r="C95" s="48"/>
      <c r="D95" s="48"/>
      <c r="E95" s="48"/>
    </row>
    <row r="96" spans="2:15" ht="15" hidden="1" customHeight="1" x14ac:dyDescent="0.3">
      <c r="B96" s="48"/>
      <c r="C96" s="48"/>
      <c r="D96" s="48"/>
      <c r="E96" s="48"/>
    </row>
    <row r="97" spans="2:5" ht="15" hidden="1" customHeight="1" x14ac:dyDescent="0.3">
      <c r="B97" s="48"/>
      <c r="C97" s="48"/>
      <c r="D97" s="48"/>
      <c r="E97" s="48"/>
    </row>
    <row r="98" spans="2:5" ht="15" hidden="1" customHeight="1" x14ac:dyDescent="0.3">
      <c r="B98" s="48"/>
      <c r="C98" s="48"/>
      <c r="D98" s="48"/>
      <c r="E98" s="48"/>
    </row>
    <row r="99" spans="2:5" ht="15" hidden="1" customHeight="1" x14ac:dyDescent="0.3">
      <c r="B99" s="48"/>
      <c r="C99" s="48"/>
      <c r="D99" s="48"/>
      <c r="E99" s="48"/>
    </row>
    <row r="100" spans="2:5" ht="15" hidden="1" customHeight="1" x14ac:dyDescent="0.3">
      <c r="B100" s="48"/>
      <c r="C100" s="48"/>
      <c r="D100" s="48"/>
      <c r="E100" s="48"/>
    </row>
    <row r="101" spans="2:5" ht="15" hidden="1" customHeight="1" x14ac:dyDescent="0.3">
      <c r="B101" s="48"/>
      <c r="C101" s="48"/>
      <c r="D101" s="48"/>
      <c r="E101" s="48"/>
    </row>
    <row r="102" spans="2:5" ht="15" hidden="1" customHeight="1" x14ac:dyDescent="0.3">
      <c r="B102" s="48"/>
      <c r="C102" s="48"/>
      <c r="D102" s="48"/>
      <c r="E102" s="48"/>
    </row>
    <row r="103" spans="2:5" ht="15" hidden="1" customHeight="1" x14ac:dyDescent="0.3">
      <c r="B103" s="48"/>
      <c r="C103" s="48"/>
      <c r="D103" s="48"/>
      <c r="E103" s="48"/>
    </row>
    <row r="104" spans="2:5" ht="15" hidden="1" customHeight="1" x14ac:dyDescent="0.3">
      <c r="B104" s="48"/>
      <c r="C104" s="48"/>
      <c r="D104" s="48"/>
      <c r="E104" s="48"/>
    </row>
    <row r="105" spans="2:5" ht="15" hidden="1" customHeight="1" x14ac:dyDescent="0.3">
      <c r="B105" s="48"/>
      <c r="C105" s="48"/>
      <c r="D105" s="48"/>
      <c r="E105" s="48"/>
    </row>
    <row r="106" spans="2:5" ht="15" hidden="1" customHeight="1" x14ac:dyDescent="0.3">
      <c r="B106" s="48"/>
      <c r="C106" s="48"/>
      <c r="D106" s="48"/>
      <c r="E106" s="48"/>
    </row>
    <row r="107" spans="2:5" ht="15" hidden="1" customHeight="1" x14ac:dyDescent="0.3">
      <c r="B107" s="48"/>
      <c r="C107" s="48"/>
      <c r="D107" s="48"/>
      <c r="E107" s="48"/>
    </row>
    <row r="108" spans="2:5" ht="15" hidden="1" customHeight="1" x14ac:dyDescent="0.3">
      <c r="B108" s="48"/>
      <c r="C108" s="48"/>
      <c r="D108" s="48"/>
      <c r="E108" s="48"/>
    </row>
    <row r="109" spans="2:5" ht="15" hidden="1" customHeight="1" x14ac:dyDescent="0.3">
      <c r="B109" s="48"/>
      <c r="C109" s="48"/>
      <c r="D109" s="48"/>
      <c r="E109" s="48"/>
    </row>
    <row r="110" spans="2:5" ht="15" hidden="1" customHeight="1" x14ac:dyDescent="0.3">
      <c r="B110" s="48"/>
      <c r="C110" s="48"/>
      <c r="D110" s="48"/>
      <c r="E110" s="48"/>
    </row>
    <row r="111" spans="2:5" ht="15" hidden="1" customHeight="1" x14ac:dyDescent="0.3">
      <c r="B111" s="48"/>
      <c r="C111" s="48"/>
      <c r="D111" s="48"/>
      <c r="E111" s="48"/>
    </row>
    <row r="112" spans="2:5" ht="15" hidden="1" customHeight="1" x14ac:dyDescent="0.3">
      <c r="B112" s="48"/>
      <c r="C112" s="48"/>
      <c r="D112" s="48"/>
      <c r="E112" s="48"/>
    </row>
    <row r="113" spans="2:5" ht="15" hidden="1" customHeight="1" x14ac:dyDescent="0.3">
      <c r="B113" s="48"/>
      <c r="C113" s="48"/>
      <c r="D113" s="48"/>
      <c r="E113" s="48"/>
    </row>
    <row r="114" spans="2:5" ht="15" hidden="1" customHeight="1" x14ac:dyDescent="0.3">
      <c r="B114" s="48"/>
      <c r="C114" s="48"/>
      <c r="D114" s="48"/>
      <c r="E114" s="48"/>
    </row>
    <row r="115" spans="2:5" ht="15" hidden="1" customHeight="1" x14ac:dyDescent="0.3">
      <c r="B115" s="48"/>
      <c r="C115" s="48"/>
      <c r="D115" s="48"/>
      <c r="E115" s="48"/>
    </row>
    <row r="116" spans="2:5" ht="15" hidden="1" customHeight="1" x14ac:dyDescent="0.3">
      <c r="B116" s="48"/>
      <c r="C116" s="48"/>
      <c r="D116" s="48"/>
      <c r="E116" s="48"/>
    </row>
    <row r="117" spans="2:5" ht="15" hidden="1" customHeight="1" x14ac:dyDescent="0.3">
      <c r="B117" s="48"/>
      <c r="C117" s="48"/>
      <c r="D117" s="48"/>
      <c r="E117" s="48"/>
    </row>
    <row r="118" spans="2:5" ht="15" hidden="1" customHeight="1" x14ac:dyDescent="0.3">
      <c r="B118" s="48"/>
      <c r="C118" s="48"/>
      <c r="D118" s="48"/>
      <c r="E118" s="48"/>
    </row>
    <row r="119" spans="2:5" ht="15" hidden="1" customHeight="1" x14ac:dyDescent="0.3">
      <c r="B119" s="48"/>
      <c r="C119" s="48"/>
      <c r="D119" s="48"/>
      <c r="E119" s="48"/>
    </row>
    <row r="120" spans="2:5" ht="15" hidden="1" customHeight="1" x14ac:dyDescent="0.3">
      <c r="B120" s="48"/>
      <c r="C120" s="48"/>
      <c r="D120" s="48"/>
      <c r="E120" s="48"/>
    </row>
    <row r="121" spans="2:5" ht="15" hidden="1" customHeight="1" x14ac:dyDescent="0.3">
      <c r="B121" s="48"/>
      <c r="C121" s="48"/>
      <c r="D121" s="48"/>
      <c r="E121" s="48"/>
    </row>
    <row r="122" spans="2:5" ht="15" hidden="1" customHeight="1" x14ac:dyDescent="0.3">
      <c r="B122" s="48"/>
      <c r="C122" s="48"/>
      <c r="D122" s="48"/>
      <c r="E122" s="48"/>
    </row>
    <row r="123" spans="2:5" ht="15" hidden="1" customHeight="1" x14ac:dyDescent="0.3">
      <c r="B123" s="48"/>
      <c r="C123" s="48"/>
      <c r="D123" s="48"/>
      <c r="E123" s="48"/>
    </row>
    <row r="124" spans="2:5" ht="15" hidden="1" customHeight="1" x14ac:dyDescent="0.3">
      <c r="B124" s="48"/>
      <c r="C124" s="48"/>
      <c r="D124" s="48"/>
      <c r="E124" s="48"/>
    </row>
    <row r="125" spans="2:5" ht="15" hidden="1" customHeight="1" x14ac:dyDescent="0.3">
      <c r="B125" s="48"/>
      <c r="C125" s="48"/>
      <c r="D125" s="48"/>
      <c r="E125" s="48"/>
    </row>
    <row r="126" spans="2:5" ht="15" hidden="1" customHeight="1" x14ac:dyDescent="0.3">
      <c r="B126" s="48"/>
      <c r="C126" s="48"/>
      <c r="D126" s="48"/>
      <c r="E126" s="48"/>
    </row>
    <row r="127" spans="2:5" ht="15" hidden="1" customHeight="1" x14ac:dyDescent="0.3">
      <c r="B127" s="48"/>
      <c r="C127" s="48"/>
      <c r="D127" s="48"/>
      <c r="E127" s="48"/>
    </row>
    <row r="128" spans="2:5" ht="15" hidden="1" customHeight="1" x14ac:dyDescent="0.3">
      <c r="B128" s="48"/>
      <c r="C128" s="48"/>
      <c r="D128" s="48"/>
      <c r="E128" s="48"/>
    </row>
    <row r="129" spans="2:5" ht="15" hidden="1" customHeight="1" x14ac:dyDescent="0.3">
      <c r="B129" s="48"/>
      <c r="C129" s="48"/>
      <c r="D129" s="48"/>
      <c r="E129" s="48"/>
    </row>
    <row r="130" spans="2:5" ht="15" hidden="1" customHeight="1" x14ac:dyDescent="0.3">
      <c r="B130" s="48"/>
      <c r="C130" s="48"/>
      <c r="D130" s="48"/>
      <c r="E130" s="48"/>
    </row>
    <row r="131" spans="2:5" ht="15" hidden="1" customHeight="1" x14ac:dyDescent="0.3">
      <c r="B131" s="48"/>
      <c r="C131" s="48"/>
      <c r="D131" s="48"/>
      <c r="E131" s="48"/>
    </row>
    <row r="132" spans="2:5" ht="15" hidden="1" customHeight="1" x14ac:dyDescent="0.3">
      <c r="B132" s="48"/>
      <c r="C132" s="48"/>
      <c r="D132" s="48"/>
      <c r="E132" s="48"/>
    </row>
    <row r="133" spans="2:5" ht="15" hidden="1" customHeight="1" x14ac:dyDescent="0.3">
      <c r="B133" s="48"/>
      <c r="C133" s="48"/>
      <c r="D133" s="48"/>
      <c r="E133" s="48"/>
    </row>
    <row r="134" spans="2:5" ht="15" hidden="1" customHeight="1" x14ac:dyDescent="0.3">
      <c r="B134" s="48"/>
      <c r="C134" s="48"/>
      <c r="D134" s="48"/>
      <c r="E134" s="48"/>
    </row>
    <row r="135" spans="2:5" ht="15" hidden="1" customHeight="1" x14ac:dyDescent="0.3">
      <c r="B135" s="48"/>
      <c r="C135" s="48"/>
      <c r="D135" s="48"/>
      <c r="E135" s="48"/>
    </row>
    <row r="136" spans="2:5" ht="15" hidden="1" customHeight="1" x14ac:dyDescent="0.3">
      <c r="B136" s="48"/>
      <c r="C136" s="48"/>
      <c r="D136" s="48"/>
      <c r="E136" s="48"/>
    </row>
    <row r="137" spans="2:5" ht="15" hidden="1" customHeight="1" x14ac:dyDescent="0.3">
      <c r="B137" s="48"/>
      <c r="C137" s="48"/>
      <c r="D137" s="48"/>
      <c r="E137" s="48"/>
    </row>
    <row r="138" spans="2:5" ht="15" hidden="1" customHeight="1" x14ac:dyDescent="0.3">
      <c r="B138" s="48"/>
      <c r="C138" s="48"/>
      <c r="D138" s="48"/>
      <c r="E138" s="48"/>
    </row>
    <row r="139" spans="2:5" ht="15" hidden="1" customHeight="1" x14ac:dyDescent="0.3">
      <c r="B139" s="48"/>
      <c r="C139" s="48"/>
      <c r="D139" s="48"/>
      <c r="E139" s="48"/>
    </row>
    <row r="140" spans="2:5" ht="15" hidden="1" customHeight="1" x14ac:dyDescent="0.3">
      <c r="B140" s="48"/>
      <c r="C140" s="48"/>
      <c r="D140" s="48"/>
      <c r="E140" s="48"/>
    </row>
    <row r="141" spans="2:5" ht="15" hidden="1" customHeight="1" x14ac:dyDescent="0.3">
      <c r="B141" s="48"/>
      <c r="C141" s="48"/>
      <c r="D141" s="48"/>
      <c r="E141" s="48"/>
    </row>
    <row r="142" spans="2:5" ht="15" hidden="1" customHeight="1" x14ac:dyDescent="0.3">
      <c r="B142" s="48"/>
      <c r="C142" s="48"/>
      <c r="D142" s="48"/>
      <c r="E142" s="48"/>
    </row>
    <row r="143" spans="2:5" ht="15" hidden="1" customHeight="1" x14ac:dyDescent="0.3">
      <c r="B143" s="48"/>
      <c r="C143" s="48"/>
      <c r="D143" s="48"/>
      <c r="E143" s="48"/>
    </row>
    <row r="144" spans="2:5" ht="15" hidden="1" customHeight="1" x14ac:dyDescent="0.3">
      <c r="B144" s="48"/>
      <c r="C144" s="48"/>
      <c r="D144" s="48"/>
      <c r="E144" s="48"/>
    </row>
    <row r="145" spans="2:5" ht="15" hidden="1" customHeight="1" x14ac:dyDescent="0.3">
      <c r="B145" s="48"/>
      <c r="C145" s="48"/>
      <c r="D145" s="48"/>
      <c r="E145" s="48"/>
    </row>
    <row r="146" spans="2:5" ht="15" hidden="1" customHeight="1" x14ac:dyDescent="0.3">
      <c r="B146" s="48"/>
      <c r="C146" s="48"/>
      <c r="D146" s="48"/>
      <c r="E146" s="48"/>
    </row>
    <row r="147" spans="2:5" ht="15" hidden="1" customHeight="1" x14ac:dyDescent="0.3">
      <c r="B147" s="48"/>
      <c r="C147" s="48"/>
      <c r="D147" s="48"/>
      <c r="E147" s="48"/>
    </row>
    <row r="148" spans="2:5" ht="15" hidden="1" customHeight="1" x14ac:dyDescent="0.3">
      <c r="B148" s="48"/>
      <c r="C148" s="48"/>
      <c r="D148" s="48"/>
      <c r="E148" s="48"/>
    </row>
    <row r="149" spans="2:5" ht="15" hidden="1" customHeight="1" x14ac:dyDescent="0.3">
      <c r="B149" s="48"/>
      <c r="C149" s="48"/>
      <c r="D149" s="48"/>
      <c r="E149" s="48"/>
    </row>
    <row r="150" spans="2:5" ht="15" hidden="1" customHeight="1" x14ac:dyDescent="0.3">
      <c r="B150" s="48"/>
      <c r="C150" s="48"/>
      <c r="D150" s="48"/>
      <c r="E150" s="48"/>
    </row>
    <row r="151" spans="2:5" ht="15" hidden="1" customHeight="1" x14ac:dyDescent="0.3">
      <c r="B151" s="48"/>
      <c r="C151" s="48"/>
      <c r="D151" s="48"/>
      <c r="E151" s="48"/>
    </row>
    <row r="152" spans="2:5" ht="15" hidden="1" customHeight="1" x14ac:dyDescent="0.3">
      <c r="B152" s="48"/>
      <c r="C152" s="48"/>
      <c r="D152" s="48"/>
      <c r="E152" s="48"/>
    </row>
    <row r="153" spans="2:5" ht="15" hidden="1" customHeight="1" x14ac:dyDescent="0.3">
      <c r="B153" s="48"/>
      <c r="C153" s="48"/>
      <c r="D153" s="48"/>
      <c r="E153" s="48"/>
    </row>
    <row r="154" spans="2:5" ht="15" hidden="1" customHeight="1" x14ac:dyDescent="0.3">
      <c r="B154" s="48"/>
      <c r="C154" s="48"/>
      <c r="D154" s="48"/>
      <c r="E154" s="48"/>
    </row>
    <row r="155" spans="2:5" ht="15" hidden="1" customHeight="1" x14ac:dyDescent="0.3">
      <c r="B155" s="48"/>
      <c r="C155" s="48"/>
      <c r="D155" s="48"/>
      <c r="E155" s="48"/>
    </row>
    <row r="156" spans="2:5" ht="15" hidden="1" customHeight="1" x14ac:dyDescent="0.3">
      <c r="B156" s="48"/>
      <c r="C156" s="48"/>
      <c r="D156" s="48"/>
      <c r="E156" s="48"/>
    </row>
    <row r="157" spans="2:5" ht="15" hidden="1" customHeight="1" x14ac:dyDescent="0.3">
      <c r="B157" s="48"/>
      <c r="C157" s="48"/>
      <c r="D157" s="48"/>
      <c r="E157" s="48"/>
    </row>
    <row r="158" spans="2:5" ht="15" hidden="1" customHeight="1" x14ac:dyDescent="0.3">
      <c r="B158" s="48"/>
      <c r="C158" s="48"/>
      <c r="D158" s="48"/>
      <c r="E158" s="48"/>
    </row>
    <row r="159" spans="2:5" ht="15" hidden="1" customHeight="1" x14ac:dyDescent="0.3">
      <c r="B159" s="48"/>
      <c r="C159" s="48"/>
      <c r="D159" s="48"/>
      <c r="E159" s="48"/>
    </row>
    <row r="160" spans="2:5" ht="15" hidden="1" customHeight="1" x14ac:dyDescent="0.3">
      <c r="B160" s="48"/>
      <c r="C160" s="48"/>
      <c r="D160" s="48"/>
      <c r="E160" s="48"/>
    </row>
    <row r="161" spans="2:5" ht="15" hidden="1" customHeight="1" x14ac:dyDescent="0.3">
      <c r="B161" s="48"/>
      <c r="C161" s="48"/>
      <c r="D161" s="48"/>
      <c r="E161" s="48"/>
    </row>
    <row r="162" spans="2:5" ht="15" hidden="1" customHeight="1" x14ac:dyDescent="0.3">
      <c r="B162" s="48"/>
      <c r="C162" s="48"/>
      <c r="D162" s="48"/>
      <c r="E162" s="48"/>
    </row>
    <row r="163" spans="2:5" ht="15" hidden="1" customHeight="1" x14ac:dyDescent="0.3">
      <c r="B163" s="48"/>
      <c r="C163" s="48"/>
      <c r="D163" s="48"/>
      <c r="E163" s="48"/>
    </row>
    <row r="164" spans="2:5" ht="15" hidden="1" customHeight="1" x14ac:dyDescent="0.3">
      <c r="B164" s="48"/>
      <c r="C164" s="48"/>
      <c r="D164" s="48"/>
      <c r="E164" s="48"/>
    </row>
    <row r="165" spans="2:5" ht="15" hidden="1" customHeight="1" x14ac:dyDescent="0.3">
      <c r="B165" s="48"/>
      <c r="C165" s="48"/>
      <c r="D165" s="48"/>
      <c r="E165" s="48"/>
    </row>
    <row r="166" spans="2:5" ht="15" hidden="1" customHeight="1" x14ac:dyDescent="0.3">
      <c r="B166" s="48"/>
      <c r="C166" s="48"/>
      <c r="D166" s="48"/>
      <c r="E166" s="48"/>
    </row>
    <row r="167" spans="2:5" ht="15" hidden="1" customHeight="1" x14ac:dyDescent="0.3">
      <c r="B167" s="48"/>
      <c r="C167" s="48"/>
      <c r="D167" s="48"/>
      <c r="E167" s="48"/>
    </row>
    <row r="168" spans="2:5" ht="15" hidden="1" customHeight="1" x14ac:dyDescent="0.3">
      <c r="B168" s="48"/>
      <c r="C168" s="48"/>
      <c r="D168" s="48"/>
      <c r="E168" s="48"/>
    </row>
    <row r="169" spans="2:5" ht="15" hidden="1" customHeight="1" x14ac:dyDescent="0.3">
      <c r="B169" s="48"/>
      <c r="C169" s="48"/>
      <c r="D169" s="48"/>
      <c r="E169" s="48"/>
    </row>
    <row r="170" spans="2:5" ht="15" hidden="1" customHeight="1" x14ac:dyDescent="0.3">
      <c r="B170" s="48"/>
      <c r="C170" s="48"/>
      <c r="D170" s="48"/>
      <c r="E170" s="48"/>
    </row>
    <row r="171" spans="2:5" ht="15" hidden="1" customHeight="1" x14ac:dyDescent="0.3">
      <c r="B171" s="48"/>
      <c r="C171" s="48"/>
      <c r="D171" s="48"/>
      <c r="E171" s="48"/>
    </row>
    <row r="172" spans="2:5" ht="15" hidden="1" customHeight="1" x14ac:dyDescent="0.3">
      <c r="B172" s="48"/>
      <c r="C172" s="48"/>
      <c r="D172" s="48"/>
      <c r="E172" s="48"/>
    </row>
    <row r="173" spans="2:5" ht="15" hidden="1" customHeight="1" x14ac:dyDescent="0.3">
      <c r="B173" s="48"/>
      <c r="C173" s="48"/>
      <c r="D173" s="48"/>
      <c r="E173" s="48"/>
    </row>
    <row r="174" spans="2:5" ht="15" hidden="1" customHeight="1" x14ac:dyDescent="0.3">
      <c r="B174" s="48"/>
      <c r="C174" s="48"/>
      <c r="D174" s="48"/>
      <c r="E174" s="48"/>
    </row>
    <row r="175" spans="2:5" ht="15" hidden="1" customHeight="1" x14ac:dyDescent="0.3">
      <c r="B175" s="48"/>
      <c r="C175" s="48"/>
      <c r="D175" s="48"/>
      <c r="E175" s="48"/>
    </row>
    <row r="176" spans="2:5" ht="15" hidden="1" customHeight="1" x14ac:dyDescent="0.3">
      <c r="B176" s="48"/>
      <c r="C176" s="48"/>
      <c r="D176" s="48"/>
      <c r="E176" s="48"/>
    </row>
    <row r="177" spans="2:5" ht="15" hidden="1" customHeight="1" x14ac:dyDescent="0.3">
      <c r="B177" s="48"/>
      <c r="C177" s="48"/>
      <c r="D177" s="48"/>
      <c r="E177" s="48"/>
    </row>
    <row r="178" spans="2:5" ht="15" hidden="1" customHeight="1" x14ac:dyDescent="0.3">
      <c r="B178" s="48"/>
      <c r="C178" s="48"/>
      <c r="D178" s="48"/>
      <c r="E178" s="48"/>
    </row>
    <row r="179" spans="2:5" ht="15" hidden="1" customHeight="1" x14ac:dyDescent="0.3">
      <c r="B179" s="48"/>
      <c r="C179" s="48"/>
      <c r="D179" s="48"/>
      <c r="E179" s="48"/>
    </row>
    <row r="180" spans="2:5" ht="15" hidden="1" customHeight="1" x14ac:dyDescent="0.3">
      <c r="B180" s="48"/>
      <c r="C180" s="48"/>
      <c r="D180" s="48"/>
      <c r="E180" s="48"/>
    </row>
    <row r="181" spans="2:5" ht="15" hidden="1" customHeight="1" x14ac:dyDescent="0.3">
      <c r="B181" s="48"/>
      <c r="C181" s="48"/>
      <c r="D181" s="48"/>
      <c r="E181" s="48"/>
    </row>
    <row r="182" spans="2:5" ht="15" hidden="1" customHeight="1" x14ac:dyDescent="0.3">
      <c r="B182" s="48"/>
      <c r="C182" s="48"/>
      <c r="D182" s="48"/>
      <c r="E182" s="48"/>
    </row>
    <row r="183" spans="2:5" ht="15" hidden="1" customHeight="1" x14ac:dyDescent="0.3">
      <c r="B183" s="48"/>
      <c r="C183" s="48"/>
      <c r="D183" s="48"/>
      <c r="E183" s="48"/>
    </row>
    <row r="184" spans="2:5" ht="15" hidden="1" customHeight="1" x14ac:dyDescent="0.3">
      <c r="B184" s="48"/>
      <c r="C184" s="48"/>
      <c r="D184" s="48"/>
      <c r="E184" s="48"/>
    </row>
    <row r="185" spans="2:5" ht="15" hidden="1" customHeight="1" x14ac:dyDescent="0.3">
      <c r="B185" s="48"/>
      <c r="C185" s="48"/>
      <c r="D185" s="48"/>
      <c r="E185" s="48"/>
    </row>
    <row r="186" spans="2:5" ht="15" hidden="1" customHeight="1" x14ac:dyDescent="0.3">
      <c r="B186" s="48"/>
      <c r="C186" s="48"/>
      <c r="D186" s="48"/>
      <c r="E186" s="48"/>
    </row>
    <row r="187" spans="2:5" ht="15" hidden="1" customHeight="1" x14ac:dyDescent="0.3">
      <c r="B187" s="48"/>
      <c r="C187" s="48"/>
      <c r="D187" s="48"/>
      <c r="E187" s="48"/>
    </row>
    <row r="188" spans="2:5" ht="15" hidden="1" customHeight="1" x14ac:dyDescent="0.3">
      <c r="B188" s="48"/>
      <c r="C188" s="48"/>
      <c r="D188" s="48"/>
      <c r="E188" s="48"/>
    </row>
    <row r="189" spans="2:5" ht="15" hidden="1" customHeight="1" x14ac:dyDescent="0.3">
      <c r="B189" s="48"/>
      <c r="C189" s="48"/>
      <c r="D189" s="48"/>
      <c r="E189" s="48"/>
    </row>
    <row r="190" spans="2:5" ht="15" hidden="1" customHeight="1" x14ac:dyDescent="0.3">
      <c r="B190" s="48"/>
      <c r="C190" s="48"/>
      <c r="D190" s="48"/>
      <c r="E190" s="48"/>
    </row>
    <row r="191" spans="2:5" ht="15" hidden="1" customHeight="1" x14ac:dyDescent="0.3">
      <c r="B191" s="48"/>
      <c r="C191" s="48"/>
      <c r="D191" s="48"/>
      <c r="E191" s="48"/>
    </row>
    <row r="192" spans="2:5" ht="15" hidden="1" customHeight="1" x14ac:dyDescent="0.3">
      <c r="B192" s="48"/>
      <c r="C192" s="48"/>
      <c r="D192" s="48"/>
      <c r="E192" s="48"/>
    </row>
    <row r="193" spans="2:5" ht="15" hidden="1" customHeight="1" x14ac:dyDescent="0.3">
      <c r="B193" s="48"/>
      <c r="C193" s="48"/>
      <c r="D193" s="48"/>
      <c r="E193" s="48"/>
    </row>
    <row r="194" spans="2:5" ht="15" hidden="1" customHeight="1" x14ac:dyDescent="0.3">
      <c r="B194" s="49"/>
      <c r="C194" s="49"/>
      <c r="D194" s="49"/>
      <c r="E194" s="49"/>
    </row>
    <row r="195" spans="2:5" ht="15" hidden="1" customHeight="1" x14ac:dyDescent="0.3">
      <c r="B195" s="22"/>
      <c r="C195" s="22"/>
      <c r="D195" s="22"/>
      <c r="E195" s="22"/>
    </row>
  </sheetData>
  <sheetProtection algorithmName="SHA-512" hashValue="IZEuTmvIiySMMyn1PTrsnWlVacX+A9SFaF7ZVt7J0n03CGbHad1IT58E4X11q55p/NnETODbopn22yl3ABXqKA==" saltValue="c3s01flf5GDLY+GrPtbOIQ==" spinCount="100000" sheet="1" objects="1" scenarios="1"/>
  <mergeCells count="4">
    <mergeCell ref="B69:C69"/>
    <mergeCell ref="D6:F6"/>
    <mergeCell ref="B76:M76"/>
    <mergeCell ref="B12:C12"/>
  </mergeCells>
  <phoneticPr fontId="37" type="noConversion"/>
  <pageMargins left="0.75" right="0.75" top="0.51" bottom="0.46" header="0.5" footer="0.5"/>
  <pageSetup paperSize="9" scale="4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70AB7-8FCD-4EEC-B3B4-E8E8B32E81F7}">
  <dimension ref="A1:AE80"/>
  <sheetViews>
    <sheetView showGridLines="0" topLeftCell="A15" zoomScaleNormal="100" workbookViewId="0">
      <selection activeCell="F13" sqref="F13"/>
    </sheetView>
  </sheetViews>
  <sheetFormatPr defaultColWidth="0" defaultRowHeight="14.4" zeroHeight="1" x14ac:dyDescent="0.3"/>
  <cols>
    <col min="1" max="1" width="3.6640625" style="109" customWidth="1"/>
    <col min="2" max="27" width="21.6640625" style="109" customWidth="1"/>
    <col min="28" max="28" width="3.6640625" style="109" customWidth="1"/>
    <col min="29" max="31" width="21.6640625" style="109" hidden="1" customWidth="1"/>
    <col min="32" max="16384" width="9.33203125" style="109" hidden="1"/>
  </cols>
  <sheetData>
    <row r="1" spans="2:28" ht="21" customHeight="1" x14ac:dyDescent="0.3">
      <c r="AB1" s="110"/>
    </row>
    <row r="2" spans="2:28" s="110" customFormat="1" ht="21" customHeight="1" x14ac:dyDescent="0.25">
      <c r="B2" s="518" t="s">
        <v>138</v>
      </c>
      <c r="C2" s="518"/>
      <c r="D2" s="518"/>
      <c r="E2" s="518"/>
    </row>
    <row r="3" spans="2:28" s="110" customFormat="1" ht="21" customHeight="1" x14ac:dyDescent="0.25">
      <c r="B3" s="518"/>
      <c r="C3" s="518"/>
      <c r="D3" s="518"/>
      <c r="E3" s="518"/>
    </row>
    <row r="4" spans="2:28" s="110" customFormat="1" ht="21" customHeight="1" x14ac:dyDescent="0.25">
      <c r="B4" s="518"/>
      <c r="C4" s="518"/>
      <c r="D4" s="518"/>
      <c r="E4" s="518"/>
    </row>
    <row r="5" spans="2:28" s="110" customFormat="1" ht="21" customHeight="1" x14ac:dyDescent="0.25">
      <c r="B5" s="111"/>
    </row>
    <row r="6" spans="2:28" s="110" customFormat="1" ht="28.2" customHeight="1" x14ac:dyDescent="0.25">
      <c r="B6" s="112" t="s">
        <v>42</v>
      </c>
    </row>
    <row r="7" spans="2:28" s="110" customFormat="1" ht="28.2" customHeight="1" x14ac:dyDescent="0.25">
      <c r="B7" s="113" t="s">
        <v>137</v>
      </c>
      <c r="C7" s="114">
        <f>+'BPK-Grafiek'!$F$9</f>
        <v>0</v>
      </c>
      <c r="D7" s="115">
        <f>+'BPK-Grafiek'!$F$14</f>
        <v>225</v>
      </c>
      <c r="E7" s="116">
        <f>IFERROR((0.5*($C$7/$G$38)^$F$38+0.5*(2-$D$7/$H$38)^$F$38)^(1/$F$38),0)</f>
        <v>0.98218472314567384</v>
      </c>
      <c r="F7" s="117">
        <f>+D7/G40*100</f>
        <v>60</v>
      </c>
    </row>
    <row r="8" spans="2:28" s="110" customFormat="1" ht="28.2" customHeight="1" x14ac:dyDescent="0.25"/>
    <row r="9" spans="2:28" s="120" customFormat="1" ht="28.2" customHeight="1" x14ac:dyDescent="0.3">
      <c r="B9" s="118" t="s">
        <v>136</v>
      </c>
      <c r="C9" s="519" t="s">
        <v>135</v>
      </c>
      <c r="D9" s="519"/>
      <c r="E9" s="519"/>
      <c r="F9" s="519"/>
      <c r="G9" s="519"/>
      <c r="H9" s="519"/>
      <c r="I9" s="519"/>
      <c r="J9" s="519"/>
      <c r="K9" s="119"/>
      <c r="L9" s="119"/>
    </row>
    <row r="10" spans="2:28" s="120" customFormat="1" ht="28.2" customHeight="1" x14ac:dyDescent="0.3">
      <c r="C10" s="519"/>
      <c r="D10" s="519"/>
      <c r="E10" s="519"/>
      <c r="F10" s="519"/>
      <c r="G10" s="519"/>
      <c r="H10" s="519"/>
      <c r="I10" s="519"/>
      <c r="J10" s="519"/>
    </row>
    <row r="11" spans="2:28" s="110" customFormat="1" ht="28.2" customHeight="1" x14ac:dyDescent="0.25">
      <c r="B11" s="121" t="s">
        <v>134</v>
      </c>
      <c r="C11" s="122" t="s">
        <v>133</v>
      </c>
      <c r="D11" s="122" t="s">
        <v>132</v>
      </c>
      <c r="E11" s="122" t="s">
        <v>115</v>
      </c>
      <c r="F11" s="123"/>
      <c r="G11" s="123"/>
      <c r="H11" s="123"/>
      <c r="I11" s="123"/>
      <c r="J11" s="123"/>
      <c r="K11" s="123"/>
      <c r="L11" s="123"/>
      <c r="M11" s="123"/>
      <c r="N11" s="123"/>
      <c r="O11" s="123"/>
      <c r="P11" s="123"/>
      <c r="Q11" s="123"/>
      <c r="R11" s="123"/>
      <c r="S11" s="123"/>
      <c r="T11" s="123"/>
      <c r="U11" s="123"/>
      <c r="V11" s="123"/>
      <c r="W11" s="123"/>
      <c r="X11" s="123"/>
      <c r="Y11" s="123"/>
      <c r="Z11" s="123"/>
      <c r="AA11" s="123"/>
    </row>
    <row r="12" spans="2:28" s="110" customFormat="1" ht="28.2" customHeight="1" x14ac:dyDescent="0.25">
      <c r="B12" s="124" t="s">
        <v>131</v>
      </c>
      <c r="C12" s="53">
        <v>110000000</v>
      </c>
      <c r="D12" s="125">
        <v>285</v>
      </c>
      <c r="E12" s="126">
        <v>1</v>
      </c>
      <c r="F12" s="123"/>
      <c r="G12" s="123"/>
      <c r="H12" s="123"/>
      <c r="I12" s="123"/>
      <c r="J12" s="123"/>
      <c r="K12" s="123"/>
      <c r="L12" s="123"/>
      <c r="M12" s="123"/>
      <c r="N12" s="123"/>
      <c r="O12" s="123"/>
      <c r="P12" s="123"/>
      <c r="Q12" s="123"/>
      <c r="R12" s="123"/>
      <c r="S12" s="123"/>
      <c r="T12" s="123"/>
      <c r="U12" s="123"/>
      <c r="V12" s="123"/>
      <c r="W12" s="123"/>
      <c r="X12" s="123"/>
      <c r="Y12" s="123"/>
      <c r="Z12" s="123"/>
      <c r="AA12" s="123"/>
    </row>
    <row r="13" spans="2:28" s="110" customFormat="1" ht="28.2" customHeight="1" x14ac:dyDescent="0.25">
      <c r="B13" s="124" t="s">
        <v>130</v>
      </c>
      <c r="C13" s="53">
        <v>129452631.57894737</v>
      </c>
      <c r="D13" s="125">
        <v>375</v>
      </c>
      <c r="E13" s="126">
        <v>1.0000074757411219</v>
      </c>
      <c r="F13" s="123"/>
      <c r="G13" s="123"/>
      <c r="H13" s="123"/>
      <c r="I13" s="123"/>
      <c r="J13" s="123"/>
      <c r="K13" s="123"/>
      <c r="L13" s="123"/>
      <c r="M13" s="123"/>
      <c r="N13" s="123"/>
      <c r="O13" s="123"/>
      <c r="P13" s="123"/>
      <c r="Q13" s="123"/>
      <c r="R13" s="123"/>
      <c r="S13" s="123"/>
      <c r="T13" s="123"/>
      <c r="U13" s="123"/>
      <c r="V13" s="123"/>
      <c r="W13" s="123"/>
      <c r="X13" s="123"/>
      <c r="Y13" s="123"/>
      <c r="Z13" s="123"/>
      <c r="AA13" s="123"/>
    </row>
    <row r="14" spans="2:28" s="110" customFormat="1" ht="28.2" customHeight="1" x14ac:dyDescent="0.25">
      <c r="B14" s="124" t="s">
        <v>129</v>
      </c>
      <c r="C14" s="53">
        <v>0</v>
      </c>
      <c r="D14" s="125">
        <v>218.7422458628173</v>
      </c>
      <c r="E14" s="126">
        <v>1</v>
      </c>
      <c r="F14" s="123"/>
      <c r="G14" s="123"/>
      <c r="H14" s="123"/>
      <c r="I14" s="123"/>
      <c r="J14" s="123"/>
      <c r="K14" s="123"/>
      <c r="L14" s="123"/>
      <c r="M14" s="123"/>
      <c r="N14" s="123"/>
      <c r="O14" s="123"/>
      <c r="P14" s="123"/>
      <c r="Q14" s="123"/>
      <c r="R14" s="123"/>
      <c r="S14" s="123"/>
      <c r="T14" s="123"/>
      <c r="U14" s="123"/>
      <c r="V14" s="123"/>
      <c r="W14" s="123"/>
      <c r="X14" s="123"/>
      <c r="Y14" s="123"/>
      <c r="Z14" s="123"/>
      <c r="AA14" s="123"/>
    </row>
    <row r="15" spans="2:28" s="110" customFormat="1" ht="28.2" customHeight="1" x14ac:dyDescent="0.25">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row>
    <row r="16" spans="2:28" s="110" customFormat="1" ht="28.2" customHeight="1" x14ac:dyDescent="0.25">
      <c r="B16" s="127" t="s">
        <v>128</v>
      </c>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row>
    <row r="17" spans="2:27" s="110" customFormat="1" ht="28.2" customHeight="1" x14ac:dyDescent="0.25">
      <c r="B17" s="123"/>
      <c r="C17" s="122" t="s">
        <v>127</v>
      </c>
      <c r="D17" s="128">
        <v>0</v>
      </c>
      <c r="E17" s="128">
        <v>1.2500000000000001E-2</v>
      </c>
      <c r="F17" s="128">
        <v>2.5000000000000001E-2</v>
      </c>
      <c r="G17" s="128">
        <v>0.05</v>
      </c>
      <c r="H17" s="128">
        <v>0.1</v>
      </c>
      <c r="I17" s="128">
        <v>0.15</v>
      </c>
      <c r="J17" s="128">
        <v>0.2</v>
      </c>
      <c r="K17" s="128">
        <v>0.25</v>
      </c>
      <c r="L17" s="128">
        <v>0.3</v>
      </c>
      <c r="M17" s="128">
        <v>0.35</v>
      </c>
      <c r="N17" s="128">
        <v>0.4</v>
      </c>
      <c r="O17" s="128">
        <v>0.45</v>
      </c>
      <c r="P17" s="128">
        <v>0.5</v>
      </c>
      <c r="Q17" s="128">
        <v>0.55000000000000004</v>
      </c>
      <c r="R17" s="128">
        <v>0.6</v>
      </c>
      <c r="S17" s="128">
        <v>0.65</v>
      </c>
      <c r="T17" s="128">
        <v>0.7</v>
      </c>
      <c r="U17" s="128">
        <v>0.75</v>
      </c>
      <c r="V17" s="128">
        <v>0.8</v>
      </c>
      <c r="W17" s="128">
        <v>0.85</v>
      </c>
      <c r="X17" s="128">
        <v>0.9</v>
      </c>
      <c r="Y17" s="128">
        <v>0.95</v>
      </c>
      <c r="Z17" s="128">
        <v>1</v>
      </c>
      <c r="AA17" s="129">
        <v>0</v>
      </c>
    </row>
    <row r="18" spans="2:27" s="110" customFormat="1" ht="28.2" customHeight="1" x14ac:dyDescent="0.25">
      <c r="B18" s="130" t="s">
        <v>126</v>
      </c>
      <c r="C18" s="128">
        <v>218.7422458628173</v>
      </c>
      <c r="D18" s="128">
        <v>218.7422458628173</v>
      </c>
      <c r="E18" s="128">
        <v>220.69546778953207</v>
      </c>
      <c r="F18" s="128">
        <v>222.64868971624688</v>
      </c>
      <c r="G18" s="128">
        <v>226.55513356967643</v>
      </c>
      <c r="H18" s="128">
        <v>234.36802127653556</v>
      </c>
      <c r="I18" s="128">
        <v>242.18090898339472</v>
      </c>
      <c r="J18" s="128">
        <v>249.99379669025384</v>
      </c>
      <c r="K18" s="128">
        <v>257.80668439711297</v>
      </c>
      <c r="L18" s="128">
        <v>265.61957210397213</v>
      </c>
      <c r="M18" s="128">
        <v>273.43245981083123</v>
      </c>
      <c r="N18" s="128">
        <v>281.24534751769039</v>
      </c>
      <c r="O18" s="128">
        <v>289.05823522454955</v>
      </c>
      <c r="P18" s="128">
        <v>296.87112293140865</v>
      </c>
      <c r="Q18" s="128">
        <v>304.68401063826781</v>
      </c>
      <c r="R18" s="128">
        <v>312.49689834512691</v>
      </c>
      <c r="S18" s="128">
        <v>320.30978605198607</v>
      </c>
      <c r="T18" s="128">
        <v>328.12267375884517</v>
      </c>
      <c r="U18" s="128">
        <v>335.93556146570432</v>
      </c>
      <c r="V18" s="128">
        <v>343.74844917256348</v>
      </c>
      <c r="W18" s="128">
        <v>351.56133687942258</v>
      </c>
      <c r="X18" s="128">
        <v>359.37422458628174</v>
      </c>
      <c r="Y18" s="128">
        <v>367.1871122931409</v>
      </c>
      <c r="Z18" s="128">
        <v>375</v>
      </c>
      <c r="AA18" s="128" t="s">
        <v>115</v>
      </c>
    </row>
    <row r="19" spans="2:27" s="110" customFormat="1" ht="28.2" customHeight="1" x14ac:dyDescent="0.25">
      <c r="B19" s="130" t="s">
        <v>125</v>
      </c>
      <c r="C19" s="128"/>
      <c r="D19" s="128">
        <v>0</v>
      </c>
      <c r="E19" s="128">
        <v>40581885.019300394</v>
      </c>
      <c r="F19" s="128">
        <v>49919239.946485095</v>
      </c>
      <c r="G19" s="128">
        <v>61285041.174169354</v>
      </c>
      <c r="H19" s="128">
        <v>74942972.750973806</v>
      </c>
      <c r="I19" s="128">
        <v>84025162.229344264</v>
      </c>
      <c r="J19" s="128">
        <v>90916300.522171363</v>
      </c>
      <c r="K19" s="128">
        <v>96472142.499258056</v>
      </c>
      <c r="L19" s="128">
        <v>101110549.98141524</v>
      </c>
      <c r="M19" s="128">
        <v>105070992.89893441</v>
      </c>
      <c r="N19" s="128">
        <v>108505218.11773701</v>
      </c>
      <c r="O19" s="128">
        <v>111516318.77153368</v>
      </c>
      <c r="P19" s="128">
        <v>114178026.24431455</v>
      </c>
      <c r="Q19" s="128">
        <v>116545204.70094799</v>
      </c>
      <c r="R19" s="128">
        <v>118659990.97506398</v>
      </c>
      <c r="S19" s="128">
        <v>120555597.13303955</v>
      </c>
      <c r="T19" s="128">
        <v>122258775.91609086</v>
      </c>
      <c r="U19" s="128">
        <v>123791480.72985376</v>
      </c>
      <c r="V19" s="128">
        <v>125172019.27036007</v>
      </c>
      <c r="W19" s="128">
        <v>126415877.14852348</v>
      </c>
      <c r="X19" s="128">
        <v>127536319.72866431</v>
      </c>
      <c r="Y19" s="128">
        <v>128544840.88447447</v>
      </c>
      <c r="Z19" s="128">
        <v>129451503.59809071</v>
      </c>
      <c r="AA19" s="128">
        <v>1</v>
      </c>
    </row>
    <row r="20" spans="2:27" s="110" customFormat="1" ht="28.2" customHeight="1" x14ac:dyDescent="0.25">
      <c r="B20" s="131"/>
      <c r="C20" s="128"/>
      <c r="D20" s="128">
        <v>58.331265563417944</v>
      </c>
      <c r="E20" s="128">
        <v>58.852124743875223</v>
      </c>
      <c r="F20" s="128">
        <v>59.372983924332502</v>
      </c>
      <c r="G20" s="128">
        <v>60.414702285247046</v>
      </c>
      <c r="H20" s="128">
        <v>62.498139007076148</v>
      </c>
      <c r="I20" s="128">
        <v>64.581575728905264</v>
      </c>
      <c r="J20" s="128">
        <v>66.665012450734366</v>
      </c>
      <c r="K20" s="128">
        <v>68.748449172563468</v>
      </c>
      <c r="L20" s="128">
        <v>70.83188589439257</v>
      </c>
      <c r="M20" s="128">
        <v>72.915322616221673</v>
      </c>
      <c r="N20" s="128">
        <v>74.998759338050775</v>
      </c>
      <c r="O20" s="128">
        <v>77.082196059879877</v>
      </c>
      <c r="P20" s="128">
        <v>79.165632781708979</v>
      </c>
      <c r="Q20" s="128">
        <v>81.249069503538081</v>
      </c>
      <c r="R20" s="128">
        <v>83.332506225367169</v>
      </c>
      <c r="S20" s="128">
        <v>85.415942947196285</v>
      </c>
      <c r="T20" s="128">
        <v>87.499379669025373</v>
      </c>
      <c r="U20" s="128">
        <v>89.582816390854489</v>
      </c>
      <c r="V20" s="128">
        <v>91.666253112683592</v>
      </c>
      <c r="W20" s="128">
        <v>93.749689834512679</v>
      </c>
      <c r="X20" s="128">
        <v>95.833126556341796</v>
      </c>
      <c r="Y20" s="128">
        <v>97.916563278170912</v>
      </c>
      <c r="Z20" s="128">
        <v>100</v>
      </c>
      <c r="AA20" s="128">
        <v>0</v>
      </c>
    </row>
    <row r="21" spans="2:27" s="110" customFormat="1" ht="28.2" customHeight="1" x14ac:dyDescent="0.25">
      <c r="B21" s="130" t="s">
        <v>124</v>
      </c>
      <c r="C21" s="128">
        <v>253.86802127653559</v>
      </c>
      <c r="D21" s="128">
        <v>253.86802127653559</v>
      </c>
      <c r="E21" s="128">
        <v>255.3821710105789</v>
      </c>
      <c r="F21" s="128">
        <v>256.89632074462219</v>
      </c>
      <c r="G21" s="128">
        <v>259.92462021270882</v>
      </c>
      <c r="H21" s="128">
        <v>265.98121914888202</v>
      </c>
      <c r="I21" s="128">
        <v>272.03781808505522</v>
      </c>
      <c r="J21" s="128">
        <v>278.09441702122848</v>
      </c>
      <c r="K21" s="128">
        <v>284.15101595740168</v>
      </c>
      <c r="L21" s="128">
        <v>290.20761489357488</v>
      </c>
      <c r="M21" s="128">
        <v>296.26421382974814</v>
      </c>
      <c r="N21" s="128">
        <v>302.32081276592135</v>
      </c>
      <c r="O21" s="128">
        <v>308.37741170209461</v>
      </c>
      <c r="P21" s="128">
        <v>314.43401063826781</v>
      </c>
      <c r="Q21" s="128">
        <v>320.49060957444101</v>
      </c>
      <c r="R21" s="128">
        <v>326.54720851061421</v>
      </c>
      <c r="S21" s="128">
        <v>332.60380744678747</v>
      </c>
      <c r="T21" s="128">
        <v>338.66040638296067</v>
      </c>
      <c r="U21" s="128">
        <v>344.71700531913393</v>
      </c>
      <c r="V21" s="128">
        <v>350.77360425530713</v>
      </c>
      <c r="W21" s="128">
        <v>356.83020319148034</v>
      </c>
      <c r="X21" s="128">
        <v>362.8868021276536</v>
      </c>
      <c r="Y21" s="128">
        <v>368.94340106382674</v>
      </c>
      <c r="Z21" s="128">
        <v>375</v>
      </c>
      <c r="AA21" s="128" t="s">
        <v>115</v>
      </c>
    </row>
    <row r="22" spans="2:27" s="110" customFormat="1" ht="28.2" customHeight="1" x14ac:dyDescent="0.25">
      <c r="B22" s="130" t="s">
        <v>123</v>
      </c>
      <c r="C22" s="128"/>
      <c r="D22" s="128">
        <v>0</v>
      </c>
      <c r="E22" s="128">
        <v>34925496.921645217</v>
      </c>
      <c r="F22" s="128">
        <v>42973011.312679946</v>
      </c>
      <c r="G22" s="128">
        <v>52785933.300803147</v>
      </c>
      <c r="H22" s="128">
        <v>64620515.747802585</v>
      </c>
      <c r="I22" s="128">
        <v>72532033.034127384</v>
      </c>
      <c r="J22" s="128">
        <v>78568470.004944623</v>
      </c>
      <c r="K22" s="128">
        <v>83464041.350195035</v>
      </c>
      <c r="L22" s="128">
        <v>87576908.327568144</v>
      </c>
      <c r="M22" s="128">
        <v>91112111.884508744</v>
      </c>
      <c r="N22" s="128">
        <v>94199432.525687531</v>
      </c>
      <c r="O22" s="128">
        <v>96926926.77706787</v>
      </c>
      <c r="P22" s="128">
        <v>99357480.508525506</v>
      </c>
      <c r="Q22" s="128">
        <v>101537810.06979883</v>
      </c>
      <c r="R22" s="128">
        <v>103503726.31126522</v>
      </c>
      <c r="S22" s="128">
        <v>105283393.33743599</v>
      </c>
      <c r="T22" s="128">
        <v>106899440.44391325</v>
      </c>
      <c r="U22" s="128">
        <v>108370383.44732624</v>
      </c>
      <c r="V22" s="128">
        <v>109711611.98751806</v>
      </c>
      <c r="W22" s="128">
        <v>110936094.06421725</v>
      </c>
      <c r="X22" s="128">
        <v>112054890.60377871</v>
      </c>
      <c r="Y22" s="128">
        <v>113077538.95963049</v>
      </c>
      <c r="Z22" s="128">
        <v>114012343.85931435</v>
      </c>
      <c r="AA22" s="128">
        <v>0.9</v>
      </c>
    </row>
    <row r="23" spans="2:27" s="110" customFormat="1" ht="28.2" customHeight="1" x14ac:dyDescent="0.25">
      <c r="B23" s="131"/>
      <c r="C23" s="128"/>
      <c r="D23" s="128">
        <v>67.698139007076151</v>
      </c>
      <c r="E23" s="128">
        <v>68.101912269487713</v>
      </c>
      <c r="F23" s="128">
        <v>68.505685531899246</v>
      </c>
      <c r="G23" s="128">
        <v>69.313232056722356</v>
      </c>
      <c r="H23" s="128">
        <v>70.928325106368533</v>
      </c>
      <c r="I23" s="128">
        <v>72.543418156014724</v>
      </c>
      <c r="J23" s="128">
        <v>74.158511205660929</v>
      </c>
      <c r="K23" s="128">
        <v>75.77360425530712</v>
      </c>
      <c r="L23" s="128">
        <v>77.388697304953297</v>
      </c>
      <c r="M23" s="128">
        <v>79.003790354599502</v>
      </c>
      <c r="N23" s="128">
        <v>80.618883404245693</v>
      </c>
      <c r="O23" s="128">
        <v>82.233976453891898</v>
      </c>
      <c r="P23" s="128">
        <v>83.84906950353809</v>
      </c>
      <c r="Q23" s="128">
        <v>85.464162553184266</v>
      </c>
      <c r="R23" s="128">
        <v>87.079255602830457</v>
      </c>
      <c r="S23" s="128">
        <v>88.694348652476663</v>
      </c>
      <c r="T23" s="128">
        <v>90.309441702122854</v>
      </c>
      <c r="U23" s="128">
        <v>91.924534751769045</v>
      </c>
      <c r="V23" s="128">
        <v>93.539627801415236</v>
      </c>
      <c r="W23" s="128">
        <v>95.154720851061427</v>
      </c>
      <c r="X23" s="128">
        <v>96.769813900707618</v>
      </c>
      <c r="Y23" s="128">
        <v>98.384906950353795</v>
      </c>
      <c r="Z23" s="128">
        <v>100</v>
      </c>
      <c r="AA23" s="128">
        <v>0</v>
      </c>
    </row>
    <row r="24" spans="2:27" s="110" customFormat="1" ht="28.2" customHeight="1" x14ac:dyDescent="0.25">
      <c r="B24" s="130" t="s">
        <v>122</v>
      </c>
      <c r="C24" s="128">
        <v>288.99379669025387</v>
      </c>
      <c r="D24" s="128">
        <v>288.99379669025387</v>
      </c>
      <c r="E24" s="128">
        <v>290.06887423162573</v>
      </c>
      <c r="F24" s="128">
        <v>291.14395177299753</v>
      </c>
      <c r="G24" s="128">
        <v>293.29410685574118</v>
      </c>
      <c r="H24" s="128">
        <v>297.59441702122848</v>
      </c>
      <c r="I24" s="128">
        <v>301.89472718671578</v>
      </c>
      <c r="J24" s="128">
        <v>306.19503735220309</v>
      </c>
      <c r="K24" s="128">
        <v>310.49534751769039</v>
      </c>
      <c r="L24" s="128">
        <v>314.79565768317769</v>
      </c>
      <c r="M24" s="128">
        <v>319.095967848665</v>
      </c>
      <c r="N24" s="128">
        <v>323.3962780141523</v>
      </c>
      <c r="O24" s="128">
        <v>327.69658817963966</v>
      </c>
      <c r="P24" s="128">
        <v>331.99689834512697</v>
      </c>
      <c r="Q24" s="128">
        <v>336.29720851061427</v>
      </c>
      <c r="R24" s="128">
        <v>340.59751867610157</v>
      </c>
      <c r="S24" s="128">
        <v>344.89782884158888</v>
      </c>
      <c r="T24" s="128">
        <v>349.19813900707618</v>
      </c>
      <c r="U24" s="128">
        <v>353.49844917256348</v>
      </c>
      <c r="V24" s="128">
        <v>357.79875933805079</v>
      </c>
      <c r="W24" s="128">
        <v>362.09906950353809</v>
      </c>
      <c r="X24" s="128">
        <v>366.39937966902539</v>
      </c>
      <c r="Y24" s="128">
        <v>370.6996898345127</v>
      </c>
      <c r="Z24" s="128">
        <v>375</v>
      </c>
      <c r="AA24" s="128" t="s">
        <v>115</v>
      </c>
    </row>
    <row r="25" spans="2:27" s="110" customFormat="1" ht="28.2" customHeight="1" x14ac:dyDescent="0.25">
      <c r="B25" s="130" t="s">
        <v>121</v>
      </c>
      <c r="C25" s="128"/>
      <c r="D25" s="128">
        <v>0</v>
      </c>
      <c r="E25" s="128">
        <v>29020871.574546967</v>
      </c>
      <c r="F25" s="128">
        <v>35719909.165423065</v>
      </c>
      <c r="G25" s="128">
        <v>43906337.879467413</v>
      </c>
      <c r="H25" s="128">
        <v>53823569.62794327</v>
      </c>
      <c r="I25" s="128">
        <v>60496528.900890142</v>
      </c>
      <c r="J25" s="128">
        <v>65622500.66561611</v>
      </c>
      <c r="K25" s="128">
        <v>69809250.428300247</v>
      </c>
      <c r="L25" s="128">
        <v>73352905.732390866</v>
      </c>
      <c r="M25" s="128">
        <v>76422786.400757626</v>
      </c>
      <c r="N25" s="128">
        <v>79125923.547073439</v>
      </c>
      <c r="O25" s="128">
        <v>81534835.868406996</v>
      </c>
      <c r="P25" s="128">
        <v>83701233.044369549</v>
      </c>
      <c r="Q25" s="128">
        <v>85663463.525874585</v>
      </c>
      <c r="R25" s="128">
        <v>87450867.98450236</v>
      </c>
      <c r="S25" s="128">
        <v>89086473.021210432</v>
      </c>
      <c r="T25" s="128">
        <v>90588736.020217448</v>
      </c>
      <c r="U25" s="128">
        <v>91972718.819784701</v>
      </c>
      <c r="V25" s="128">
        <v>93250902.543559641</v>
      </c>
      <c r="W25" s="128">
        <v>94433768.738850966</v>
      </c>
      <c r="X25" s="128">
        <v>95530223.573590115</v>
      </c>
      <c r="Y25" s="128">
        <v>96547913.797823682</v>
      </c>
      <c r="Z25" s="128">
        <v>97493466.30658263</v>
      </c>
      <c r="AA25" s="128">
        <v>0.8</v>
      </c>
    </row>
    <row r="26" spans="2:27" s="110" customFormat="1" ht="28.2" customHeight="1" x14ac:dyDescent="0.25">
      <c r="B26" s="131"/>
      <c r="C26" s="128"/>
      <c r="D26" s="128">
        <v>77.065012450734372</v>
      </c>
      <c r="E26" s="128">
        <v>77.351699795100188</v>
      </c>
      <c r="F26" s="128">
        <v>77.638387139466005</v>
      </c>
      <c r="G26" s="128">
        <v>78.211761828197652</v>
      </c>
      <c r="H26" s="128">
        <v>79.358511205660932</v>
      </c>
      <c r="I26" s="128">
        <v>80.505260583124212</v>
      </c>
      <c r="J26" s="128">
        <v>81.652009960587492</v>
      </c>
      <c r="K26" s="128">
        <v>82.798759338050772</v>
      </c>
      <c r="L26" s="128">
        <v>83.945508715514052</v>
      </c>
      <c r="M26" s="128">
        <v>85.092258092977332</v>
      </c>
      <c r="N26" s="128">
        <v>86.239007470440612</v>
      </c>
      <c r="O26" s="128">
        <v>87.385756847903906</v>
      </c>
      <c r="P26" s="128">
        <v>88.532506225367186</v>
      </c>
      <c r="Q26" s="128">
        <v>89.67925560283048</v>
      </c>
      <c r="R26" s="128">
        <v>90.826004980293746</v>
      </c>
      <c r="S26" s="128">
        <v>91.97275435775704</v>
      </c>
      <c r="T26" s="128">
        <v>93.119503735220306</v>
      </c>
      <c r="U26" s="128">
        <v>94.2662531126836</v>
      </c>
      <c r="V26" s="128">
        <v>95.41300249014688</v>
      </c>
      <c r="W26" s="128">
        <v>96.55975186761016</v>
      </c>
      <c r="X26" s="128">
        <v>97.70650124507344</v>
      </c>
      <c r="Y26" s="128">
        <v>98.85325062253672</v>
      </c>
      <c r="Z26" s="128">
        <v>100</v>
      </c>
      <c r="AA26" s="128" t="s">
        <v>0</v>
      </c>
    </row>
    <row r="27" spans="2:27" s="110" customFormat="1" ht="28.2" customHeight="1" x14ac:dyDescent="0.25">
      <c r="B27" s="130" t="s">
        <v>120</v>
      </c>
      <c r="C27" s="128">
        <v>324.11957210397213</v>
      </c>
      <c r="D27" s="128">
        <v>324.11957210397213</v>
      </c>
      <c r="E27" s="128">
        <v>324.75557745267247</v>
      </c>
      <c r="F27" s="128">
        <v>325.39158280137281</v>
      </c>
      <c r="G27" s="128">
        <v>326.66359349877354</v>
      </c>
      <c r="H27" s="128">
        <v>329.20761489357494</v>
      </c>
      <c r="I27" s="128">
        <v>331.75163628837629</v>
      </c>
      <c r="J27" s="128">
        <v>334.29565768317769</v>
      </c>
      <c r="K27" s="128">
        <v>336.8396790779791</v>
      </c>
      <c r="L27" s="128">
        <v>339.3837004727805</v>
      </c>
      <c r="M27" s="128">
        <v>341.92772186758191</v>
      </c>
      <c r="N27" s="128">
        <v>344.47174326238326</v>
      </c>
      <c r="O27" s="128">
        <v>347.01576465718466</v>
      </c>
      <c r="P27" s="128">
        <v>349.55978605198607</v>
      </c>
      <c r="Q27" s="128">
        <v>352.10380744678747</v>
      </c>
      <c r="R27" s="128">
        <v>354.64782884158888</v>
      </c>
      <c r="S27" s="128">
        <v>357.19185023639022</v>
      </c>
      <c r="T27" s="128">
        <v>359.73587163119163</v>
      </c>
      <c r="U27" s="128">
        <v>362.27989302599303</v>
      </c>
      <c r="V27" s="128">
        <v>364.82391442079444</v>
      </c>
      <c r="W27" s="128">
        <v>367.36793581559584</v>
      </c>
      <c r="X27" s="128">
        <v>369.91195721039719</v>
      </c>
      <c r="Y27" s="128">
        <v>372.4559786051986</v>
      </c>
      <c r="Z27" s="128">
        <v>375</v>
      </c>
      <c r="AA27" s="128" t="s">
        <v>115</v>
      </c>
    </row>
    <row r="28" spans="2:27" s="110" customFormat="1" ht="28.2" customHeight="1" x14ac:dyDescent="0.25">
      <c r="B28" s="130" t="s">
        <v>119</v>
      </c>
      <c r="C28" s="128"/>
      <c r="D28" s="128">
        <v>0</v>
      </c>
      <c r="E28" s="128">
        <v>22575840.109396238</v>
      </c>
      <c r="F28" s="128">
        <v>27799197.367482048</v>
      </c>
      <c r="G28" s="128">
        <v>34200071.811516635</v>
      </c>
      <c r="H28" s="128">
        <v>41998336.262922317</v>
      </c>
      <c r="I28" s="128">
        <v>47288453.453481756</v>
      </c>
      <c r="J28" s="128">
        <v>51386341.044491358</v>
      </c>
      <c r="K28" s="128">
        <v>54762500.898296222</v>
      </c>
      <c r="L28" s="128">
        <v>57645846.414978877</v>
      </c>
      <c r="M28" s="128">
        <v>60167072.733524062</v>
      </c>
      <c r="N28" s="128">
        <v>62408669.934071027</v>
      </c>
      <c r="O28" s="128">
        <v>64426440.564089753</v>
      </c>
      <c r="P28" s="128">
        <v>66260108.593179435</v>
      </c>
      <c r="Q28" s="128">
        <v>67939081.776099905</v>
      </c>
      <c r="R28" s="128">
        <v>69485817.83002618</v>
      </c>
      <c r="S28" s="128">
        <v>70917905.972922191</v>
      </c>
      <c r="T28" s="128">
        <v>72249414.403220654</v>
      </c>
      <c r="U28" s="128">
        <v>73491796.109360427</v>
      </c>
      <c r="V28" s="128">
        <v>74654517.33728905</v>
      </c>
      <c r="W28" s="128">
        <v>75745505.525609285</v>
      </c>
      <c r="X28" s="128">
        <v>76771476.058015615</v>
      </c>
      <c r="Y28" s="128">
        <v>77738175.480994999</v>
      </c>
      <c r="Z28" s="128">
        <v>78650565.786105275</v>
      </c>
      <c r="AA28" s="128">
        <v>0.7</v>
      </c>
    </row>
    <row r="29" spans="2:27" s="110" customFormat="1" ht="28.2" customHeight="1" x14ac:dyDescent="0.25">
      <c r="B29" s="132"/>
      <c r="C29" s="123"/>
      <c r="D29" s="128">
        <v>86.431885894392565</v>
      </c>
      <c r="E29" s="128">
        <v>86.60148732071265</v>
      </c>
      <c r="F29" s="128">
        <v>86.771088747032749</v>
      </c>
      <c r="G29" s="128">
        <v>87.110291599672934</v>
      </c>
      <c r="H29" s="128">
        <v>87.788697304953317</v>
      </c>
      <c r="I29" s="128">
        <v>88.467103010233672</v>
      </c>
      <c r="J29" s="128">
        <v>89.145508715514055</v>
      </c>
      <c r="K29" s="128">
        <v>89.823914420794424</v>
      </c>
      <c r="L29" s="128">
        <v>90.502320126074792</v>
      </c>
      <c r="M29" s="128">
        <v>91.180725831355176</v>
      </c>
      <c r="N29" s="128">
        <v>91.85913153663553</v>
      </c>
      <c r="O29" s="128">
        <v>92.537537241915913</v>
      </c>
      <c r="P29" s="128">
        <v>93.215942947196282</v>
      </c>
      <c r="Q29" s="128">
        <v>93.894348652476651</v>
      </c>
      <c r="R29" s="128">
        <v>94.572754357757034</v>
      </c>
      <c r="S29" s="128">
        <v>95.251160063037389</v>
      </c>
      <c r="T29" s="128">
        <v>95.929565768317772</v>
      </c>
      <c r="U29" s="128">
        <v>96.607971473598141</v>
      </c>
      <c r="V29" s="128">
        <v>97.28637717887851</v>
      </c>
      <c r="W29" s="128">
        <v>97.964782884158893</v>
      </c>
      <c r="X29" s="128">
        <v>98.643188589439248</v>
      </c>
      <c r="Y29" s="128">
        <v>99.321594294719631</v>
      </c>
      <c r="Z29" s="128">
        <v>100</v>
      </c>
      <c r="AA29" s="128">
        <v>0</v>
      </c>
    </row>
    <row r="30" spans="2:27" s="110" customFormat="1" ht="28.2" customHeight="1" x14ac:dyDescent="0.25">
      <c r="B30" s="130" t="s">
        <v>118</v>
      </c>
      <c r="C30" s="128">
        <v>359.24534751769045</v>
      </c>
      <c r="D30" s="128">
        <v>359.24534751769045</v>
      </c>
      <c r="E30" s="128">
        <v>359.44228067371932</v>
      </c>
      <c r="F30" s="128">
        <v>359.6392138297482</v>
      </c>
      <c r="G30" s="128">
        <v>360.03308014180595</v>
      </c>
      <c r="H30" s="128">
        <v>360.8208127659214</v>
      </c>
      <c r="I30" s="128">
        <v>361.60854539003685</v>
      </c>
      <c r="J30" s="128">
        <v>362.39627801415236</v>
      </c>
      <c r="K30" s="128">
        <v>363.18401063826786</v>
      </c>
      <c r="L30" s="128">
        <v>363.97174326238331</v>
      </c>
      <c r="M30" s="128">
        <v>364.75947588649876</v>
      </c>
      <c r="N30" s="128">
        <v>365.54720851061427</v>
      </c>
      <c r="O30" s="128">
        <v>366.33494113472977</v>
      </c>
      <c r="P30" s="128">
        <v>367.12267375884522</v>
      </c>
      <c r="Q30" s="128">
        <v>367.91040638296067</v>
      </c>
      <c r="R30" s="128">
        <v>368.69813900707618</v>
      </c>
      <c r="S30" s="128">
        <v>369.48587163119169</v>
      </c>
      <c r="T30" s="128">
        <v>370.27360425530713</v>
      </c>
      <c r="U30" s="128">
        <v>371.06133687942258</v>
      </c>
      <c r="V30" s="128">
        <v>371.84906950353809</v>
      </c>
      <c r="W30" s="128">
        <v>372.6368021276536</v>
      </c>
      <c r="X30" s="128">
        <v>373.42453475176904</v>
      </c>
      <c r="Y30" s="128">
        <v>374.21226737588449</v>
      </c>
      <c r="Z30" s="128">
        <v>375</v>
      </c>
      <c r="AA30" s="128" t="s">
        <v>115</v>
      </c>
    </row>
    <row r="31" spans="2:27" s="110" customFormat="1" ht="27.75" customHeight="1" x14ac:dyDescent="0.25">
      <c r="B31" s="130" t="s">
        <v>117</v>
      </c>
      <c r="C31" s="128"/>
      <c r="D31" s="128">
        <v>0</v>
      </c>
      <c r="E31" s="128">
        <v>14242816.007643217</v>
      </c>
      <c r="F31" s="128">
        <v>17548304.111742124</v>
      </c>
      <c r="G31" s="128">
        <v>21613871.083024099</v>
      </c>
      <c r="H31" s="128">
        <v>26603933.95304817</v>
      </c>
      <c r="I31" s="128">
        <v>30024862.615920819</v>
      </c>
      <c r="J31" s="128">
        <v>32703153.605868489</v>
      </c>
      <c r="K31" s="128">
        <v>34933739.687864639</v>
      </c>
      <c r="L31" s="128">
        <v>36859845.090419576</v>
      </c>
      <c r="M31" s="128">
        <v>38563089.703721032</v>
      </c>
      <c r="N31" s="128">
        <v>40094893.02206824</v>
      </c>
      <c r="O31" s="128">
        <v>41489973.67233073</v>
      </c>
      <c r="P31" s="128">
        <v>42772999.584126286</v>
      </c>
      <c r="Q31" s="128">
        <v>43962197.090939298</v>
      </c>
      <c r="R31" s="128">
        <v>45071457.503422692</v>
      </c>
      <c r="S31" s="128">
        <v>46111638.678265937</v>
      </c>
      <c r="T31" s="128">
        <v>47091406.896748029</v>
      </c>
      <c r="U31" s="128">
        <v>48017802.334629662</v>
      </c>
      <c r="V31" s="128">
        <v>48896631.075894929</v>
      </c>
      <c r="W31" s="128">
        <v>49732744.289742865</v>
      </c>
      <c r="X31" s="128">
        <v>50530241.714061849</v>
      </c>
      <c r="Y31" s="128">
        <v>51292622.994411491</v>
      </c>
      <c r="Z31" s="128">
        <v>52022902.257386982</v>
      </c>
      <c r="AA31" s="128">
        <v>0.6</v>
      </c>
    </row>
    <row r="32" spans="2:27" s="110" customFormat="1" ht="28.2" customHeight="1" x14ac:dyDescent="0.25">
      <c r="B32" s="131"/>
      <c r="C32" s="128"/>
      <c r="D32" s="128">
        <v>95.798759338050786</v>
      </c>
      <c r="E32" s="128">
        <v>95.851274846325154</v>
      </c>
      <c r="F32" s="128">
        <v>95.903790354599522</v>
      </c>
      <c r="G32" s="128">
        <v>96.008821371148258</v>
      </c>
      <c r="H32" s="128">
        <v>96.218883404245702</v>
      </c>
      <c r="I32" s="128">
        <v>96.42894543734316</v>
      </c>
      <c r="J32" s="128">
        <v>96.639007470440632</v>
      </c>
      <c r="K32" s="128">
        <v>96.849069503538104</v>
      </c>
      <c r="L32" s="128">
        <v>97.059131536635547</v>
      </c>
      <c r="M32" s="128">
        <v>97.269193569733005</v>
      </c>
      <c r="N32" s="128">
        <v>97.479255602830477</v>
      </c>
      <c r="O32" s="128">
        <v>97.689317635927935</v>
      </c>
      <c r="P32" s="128">
        <v>97.899379669025393</v>
      </c>
      <c r="Q32" s="128">
        <v>98.109441702122851</v>
      </c>
      <c r="R32" s="128">
        <v>98.319503735220309</v>
      </c>
      <c r="S32" s="128">
        <v>98.529565768317781</v>
      </c>
      <c r="T32" s="128">
        <v>98.739627801415224</v>
      </c>
      <c r="U32" s="128">
        <v>98.949689834512682</v>
      </c>
      <c r="V32" s="128">
        <v>99.159751867610154</v>
      </c>
      <c r="W32" s="128">
        <v>99.369813900707626</v>
      </c>
      <c r="X32" s="128">
        <v>99.57987593380507</v>
      </c>
      <c r="Y32" s="128">
        <v>99.789937966902528</v>
      </c>
      <c r="Z32" s="128">
        <v>100</v>
      </c>
      <c r="AA32" s="128" t="s">
        <v>0</v>
      </c>
    </row>
    <row r="33" spans="2:27" s="110" customFormat="1" ht="28.2" customHeight="1" x14ac:dyDescent="0.25">
      <c r="B33" s="130" t="s">
        <v>116</v>
      </c>
      <c r="C33" s="128">
        <v>183.61647044909901</v>
      </c>
      <c r="D33" s="128">
        <v>183.61647044909901</v>
      </c>
      <c r="E33" s="128">
        <v>186.00876456848528</v>
      </c>
      <c r="F33" s="128">
        <v>188.40105868787154</v>
      </c>
      <c r="G33" s="128">
        <v>193.18564692664407</v>
      </c>
      <c r="H33" s="128">
        <v>202.7548234041891</v>
      </c>
      <c r="I33" s="128">
        <v>212.32399988173415</v>
      </c>
      <c r="J33" s="128">
        <v>221.89317635927921</v>
      </c>
      <c r="K33" s="128">
        <v>231.46235283682427</v>
      </c>
      <c r="L33" s="128">
        <v>241.03152931436932</v>
      </c>
      <c r="M33" s="128">
        <v>250.60070579191435</v>
      </c>
      <c r="N33" s="128">
        <v>260.16988226945944</v>
      </c>
      <c r="O33" s="128">
        <v>269.73905874700449</v>
      </c>
      <c r="P33" s="128">
        <v>279.30823522454949</v>
      </c>
      <c r="Q33" s="128">
        <v>288.87741170209455</v>
      </c>
      <c r="R33" s="128">
        <v>298.4465881796396</v>
      </c>
      <c r="S33" s="128">
        <v>308.01576465718466</v>
      </c>
      <c r="T33" s="128">
        <v>317.58494113472966</v>
      </c>
      <c r="U33" s="128">
        <v>327.15411761227472</v>
      </c>
      <c r="V33" s="128">
        <v>336.72329408981977</v>
      </c>
      <c r="W33" s="128">
        <v>346.29247056736483</v>
      </c>
      <c r="X33" s="128">
        <v>355.86164704490989</v>
      </c>
      <c r="Y33" s="128">
        <v>365.43082352245494</v>
      </c>
      <c r="Z33" s="128">
        <v>375</v>
      </c>
      <c r="AA33" s="128" t="s">
        <v>115</v>
      </c>
    </row>
    <row r="34" spans="2:27" s="110" customFormat="1" ht="28.2" customHeight="1" x14ac:dyDescent="0.25">
      <c r="B34" s="130" t="s">
        <v>114</v>
      </c>
      <c r="C34" s="128"/>
      <c r="D34" s="128">
        <v>0</v>
      </c>
      <c r="E34" s="128">
        <v>46100256.583177388</v>
      </c>
      <c r="F34" s="128">
        <v>56694762.853899203</v>
      </c>
      <c r="G34" s="128">
        <v>69572279.066945463</v>
      </c>
      <c r="H34" s="128">
        <v>85000702.64512305</v>
      </c>
      <c r="I34" s="128">
        <v>95215139.631708458</v>
      </c>
      <c r="J34" s="128">
        <v>102929250.71934012</v>
      </c>
      <c r="K34" s="128">
        <v>109117631.46208611</v>
      </c>
      <c r="L34" s="128">
        <v>114256572.46168451</v>
      </c>
      <c r="M34" s="128">
        <v>118619278.42869633</v>
      </c>
      <c r="N34" s="128">
        <v>122379051.71184325</v>
      </c>
      <c r="O34" s="128">
        <v>125653768.94722258</v>
      </c>
      <c r="P34" s="128">
        <v>128527850.37690538</v>
      </c>
      <c r="Q34" s="128">
        <v>131064214.82978773</v>
      </c>
      <c r="R34" s="128">
        <v>133311276.48298511</v>
      </c>
      <c r="S34" s="128">
        <v>135307279.6737282</v>
      </c>
      <c r="T34" s="128">
        <v>137083110.49541423</v>
      </c>
      <c r="U34" s="128">
        <v>138664190.59972551</v>
      </c>
      <c r="V34" s="128">
        <v>140071793.84228891</v>
      </c>
      <c r="W34" s="128">
        <v>141323986.66370857</v>
      </c>
      <c r="X34" s="128">
        <v>142436315.48618907</v>
      </c>
      <c r="Y34" s="128">
        <v>143422319.39643559</v>
      </c>
      <c r="Z34" s="128">
        <v>144293919.29298109</v>
      </c>
      <c r="AA34" s="128">
        <v>1.1000000000000001</v>
      </c>
    </row>
    <row r="35" spans="2:27" s="110" customFormat="1" ht="28.2" customHeight="1" x14ac:dyDescent="0.25">
      <c r="B35" s="132"/>
      <c r="C35" s="123"/>
      <c r="D35" s="128">
        <v>48.964392119759736</v>
      </c>
      <c r="E35" s="128">
        <v>49.60233721826274</v>
      </c>
      <c r="F35" s="128">
        <v>50.240282316765736</v>
      </c>
      <c r="G35" s="128">
        <v>51.51617251377175</v>
      </c>
      <c r="H35" s="128">
        <v>54.067952907783756</v>
      </c>
      <c r="I35" s="128">
        <v>56.619733301795769</v>
      </c>
      <c r="J35" s="128">
        <v>59.171513695807789</v>
      </c>
      <c r="K35" s="128">
        <v>61.723294089819802</v>
      </c>
      <c r="L35" s="128">
        <v>64.275074483831816</v>
      </c>
      <c r="M35" s="128">
        <v>66.826854877843829</v>
      </c>
      <c r="N35" s="128">
        <v>69.378635271855842</v>
      </c>
      <c r="O35" s="128">
        <v>71.930415665867869</v>
      </c>
      <c r="P35" s="128">
        <v>74.482196059879868</v>
      </c>
      <c r="Q35" s="128">
        <v>77.033976453891881</v>
      </c>
      <c r="R35" s="128">
        <v>79.585756847903895</v>
      </c>
      <c r="S35" s="128">
        <v>82.137537241915908</v>
      </c>
      <c r="T35" s="128">
        <v>84.689317635927907</v>
      </c>
      <c r="U35" s="128">
        <v>87.24109802993992</v>
      </c>
      <c r="V35" s="128">
        <v>89.792878423951933</v>
      </c>
      <c r="W35" s="128">
        <v>92.34465881796396</v>
      </c>
      <c r="X35" s="128">
        <v>94.896439211975974</v>
      </c>
      <c r="Y35" s="128">
        <v>97.448219605987987</v>
      </c>
      <c r="Z35" s="128">
        <v>100</v>
      </c>
      <c r="AA35" s="128">
        <v>0</v>
      </c>
    </row>
    <row r="36" spans="2:27" s="110" customFormat="1" ht="28.2" customHeight="1" x14ac:dyDescent="0.25">
      <c r="B36" s="132"/>
      <c r="C36" s="123"/>
      <c r="D36" s="132"/>
      <c r="E36" s="133"/>
      <c r="F36" s="123"/>
      <c r="G36" s="134"/>
      <c r="H36" s="123"/>
      <c r="I36" s="123"/>
      <c r="J36" s="123"/>
      <c r="K36" s="123"/>
      <c r="L36" s="123"/>
      <c r="M36" s="123"/>
      <c r="N36" s="123"/>
      <c r="O36" s="123"/>
      <c r="P36" s="123"/>
      <c r="Q36" s="123"/>
      <c r="R36" s="123"/>
      <c r="S36" s="123"/>
      <c r="T36" s="123"/>
      <c r="U36" s="123"/>
      <c r="V36" s="123"/>
      <c r="W36" s="123"/>
      <c r="X36" s="123"/>
      <c r="Y36" s="123"/>
      <c r="Z36" s="123"/>
      <c r="AA36" s="123"/>
    </row>
    <row r="37" spans="2:27" ht="28.2" customHeight="1" x14ac:dyDescent="0.3">
      <c r="B37" s="121" t="s">
        <v>113</v>
      </c>
      <c r="C37" s="123"/>
      <c r="D37" s="123"/>
      <c r="E37" s="135"/>
      <c r="F37" s="121" t="s">
        <v>112</v>
      </c>
      <c r="G37" s="121" t="s">
        <v>111</v>
      </c>
      <c r="H37" s="121" t="s">
        <v>106</v>
      </c>
      <c r="I37" s="135"/>
      <c r="J37" s="135"/>
      <c r="K37" s="135"/>
      <c r="L37" s="135"/>
      <c r="M37" s="135"/>
      <c r="N37" s="135"/>
      <c r="O37" s="135"/>
      <c r="P37" s="135"/>
      <c r="Q37" s="135"/>
      <c r="R37" s="135"/>
      <c r="S37" s="135"/>
      <c r="T37" s="135"/>
      <c r="U37" s="135"/>
      <c r="V37" s="135"/>
      <c r="W37" s="135"/>
      <c r="X37" s="135"/>
      <c r="Y37" s="135"/>
      <c r="Z37" s="135"/>
      <c r="AA37" s="135"/>
    </row>
    <row r="38" spans="2:27" ht="28.2" customHeight="1" x14ac:dyDescent="0.3">
      <c r="B38" s="136" t="s">
        <v>110</v>
      </c>
      <c r="C38" s="52">
        <v>110000000</v>
      </c>
      <c r="D38" s="137">
        <v>76</v>
      </c>
      <c r="E38" s="135"/>
      <c r="F38" s="136">
        <v>3.3159999999999998</v>
      </c>
      <c r="G38" s="51">
        <v>110000000</v>
      </c>
      <c r="H38" s="136">
        <v>285</v>
      </c>
      <c r="I38" s="135"/>
      <c r="J38" s="135"/>
      <c r="K38" s="135"/>
      <c r="L38" s="135"/>
      <c r="M38" s="135"/>
      <c r="N38" s="135"/>
      <c r="O38" s="135"/>
      <c r="P38" s="135"/>
      <c r="Q38" s="135"/>
      <c r="R38" s="135"/>
      <c r="S38" s="135"/>
      <c r="T38" s="135"/>
      <c r="U38" s="135"/>
      <c r="V38" s="135"/>
      <c r="W38" s="135"/>
      <c r="X38" s="135"/>
      <c r="Y38" s="135"/>
      <c r="Z38" s="135"/>
      <c r="AA38" s="135"/>
    </row>
    <row r="39" spans="2:27" ht="28.2" customHeight="1" x14ac:dyDescent="0.3">
      <c r="B39" s="136" t="s">
        <v>109</v>
      </c>
      <c r="C39" s="52">
        <v>129452631.57894737</v>
      </c>
      <c r="D39" s="137">
        <v>100</v>
      </c>
      <c r="E39" s="135"/>
      <c r="F39" s="121"/>
      <c r="G39" s="135"/>
      <c r="H39" s="135"/>
      <c r="I39" s="135"/>
      <c r="J39" s="135"/>
      <c r="K39" s="135"/>
      <c r="L39" s="135"/>
      <c r="M39" s="135"/>
      <c r="N39" s="135"/>
      <c r="O39" s="135"/>
      <c r="P39" s="135"/>
      <c r="Q39" s="135"/>
      <c r="R39" s="135"/>
      <c r="S39" s="135"/>
      <c r="T39" s="135"/>
      <c r="U39" s="135"/>
      <c r="V39" s="135"/>
      <c r="W39" s="135"/>
      <c r="X39" s="135"/>
      <c r="Y39" s="135"/>
      <c r="Z39" s="135"/>
      <c r="AA39" s="135"/>
    </row>
    <row r="40" spans="2:27" ht="28.2" customHeight="1" x14ac:dyDescent="0.3">
      <c r="B40" s="136" t="s">
        <v>108</v>
      </c>
      <c r="C40" s="138">
        <v>100</v>
      </c>
      <c r="D40" s="138">
        <v>100</v>
      </c>
      <c r="E40" s="135"/>
      <c r="F40" s="136" t="s">
        <v>108</v>
      </c>
      <c r="G40" s="139">
        <v>375</v>
      </c>
      <c r="H40" s="135"/>
      <c r="I40" s="135"/>
      <c r="J40" s="135"/>
      <c r="K40" s="135"/>
      <c r="L40" s="135"/>
      <c r="M40" s="135"/>
      <c r="N40" s="135"/>
      <c r="O40" s="135"/>
      <c r="P40" s="135"/>
      <c r="Q40" s="135"/>
      <c r="R40" s="135"/>
      <c r="S40" s="135"/>
      <c r="T40" s="135"/>
      <c r="U40" s="135"/>
      <c r="V40" s="135"/>
      <c r="W40" s="135"/>
      <c r="X40" s="135"/>
      <c r="Y40" s="135"/>
      <c r="Z40" s="135"/>
      <c r="AA40" s="135"/>
    </row>
    <row r="41" spans="2:27" ht="28.2" customHeight="1" x14ac:dyDescent="0.3">
      <c r="B41" s="136" t="s">
        <v>107</v>
      </c>
      <c r="C41" s="138">
        <v>60</v>
      </c>
      <c r="D41" s="138">
        <v>60</v>
      </c>
      <c r="E41" s="135"/>
      <c r="F41" s="136" t="s">
        <v>107</v>
      </c>
      <c r="G41" s="136">
        <v>225</v>
      </c>
      <c r="H41" s="135"/>
      <c r="I41" s="135"/>
      <c r="J41" s="135"/>
      <c r="K41" s="135"/>
      <c r="L41" s="135"/>
      <c r="M41" s="135"/>
      <c r="N41" s="135"/>
      <c r="O41" s="135"/>
      <c r="P41" s="135"/>
      <c r="Q41" s="135"/>
      <c r="R41" s="135"/>
      <c r="S41" s="135"/>
      <c r="T41" s="135"/>
      <c r="U41" s="135"/>
      <c r="V41" s="135"/>
      <c r="W41" s="135"/>
      <c r="X41" s="135"/>
      <c r="Y41" s="135"/>
      <c r="Z41" s="135"/>
      <c r="AA41" s="135"/>
    </row>
    <row r="42" spans="2:27" ht="28.2" customHeight="1" x14ac:dyDescent="0.3">
      <c r="B42" s="136" t="s">
        <v>106</v>
      </c>
      <c r="C42" s="138">
        <v>76</v>
      </c>
      <c r="D42" s="138">
        <v>76</v>
      </c>
      <c r="E42" s="135"/>
      <c r="F42" s="136" t="s">
        <v>98</v>
      </c>
      <c r="G42" s="140">
        <v>150</v>
      </c>
      <c r="H42" s="135"/>
      <c r="I42" s="135"/>
      <c r="J42" s="135"/>
      <c r="K42" s="135"/>
      <c r="L42" s="135"/>
      <c r="M42" s="135"/>
      <c r="N42" s="135"/>
      <c r="O42" s="135"/>
      <c r="P42" s="135"/>
      <c r="Q42" s="135"/>
      <c r="R42" s="135"/>
      <c r="S42" s="135"/>
      <c r="T42" s="135"/>
      <c r="U42" s="135"/>
      <c r="V42" s="135"/>
      <c r="W42" s="135"/>
      <c r="X42" s="135"/>
      <c r="Y42" s="135"/>
      <c r="Z42" s="135"/>
      <c r="AA42" s="135"/>
    </row>
    <row r="43" spans="2:27" ht="28.2" customHeight="1" x14ac:dyDescent="0.3">
      <c r="B43" s="136" t="s">
        <v>105</v>
      </c>
      <c r="C43" s="50">
        <v>0</v>
      </c>
      <c r="D43" s="52">
        <v>220000000.00000006</v>
      </c>
      <c r="E43" s="135"/>
      <c r="F43" s="136" t="s">
        <v>104</v>
      </c>
      <c r="G43" s="140">
        <v>-10</v>
      </c>
      <c r="H43" s="140">
        <v>-10</v>
      </c>
      <c r="I43" s="141" t="s">
        <v>103</v>
      </c>
      <c r="J43" s="135"/>
      <c r="K43" s="135"/>
      <c r="L43" s="135"/>
      <c r="M43" s="135"/>
      <c r="N43" s="135"/>
      <c r="O43" s="135"/>
      <c r="P43" s="135"/>
      <c r="Q43" s="135"/>
      <c r="R43" s="135"/>
      <c r="S43" s="135"/>
      <c r="T43" s="135"/>
      <c r="U43" s="135"/>
      <c r="V43" s="135"/>
      <c r="W43" s="135"/>
      <c r="X43" s="135"/>
      <c r="Y43" s="135"/>
      <c r="Z43" s="135"/>
      <c r="AA43" s="135"/>
    </row>
    <row r="44" spans="2:27" ht="28.2" customHeight="1" x14ac:dyDescent="0.3">
      <c r="B44" s="136" t="s">
        <v>102</v>
      </c>
      <c r="C44" s="138">
        <v>140</v>
      </c>
      <c r="D44" s="137">
        <v>140</v>
      </c>
      <c r="E44" s="135"/>
      <c r="F44" s="136" t="s">
        <v>101</v>
      </c>
      <c r="G44" s="140">
        <v>-2.666666666666667</v>
      </c>
      <c r="H44" s="140">
        <v>-2.666666666666667</v>
      </c>
      <c r="I44" s="135"/>
      <c r="J44" s="135"/>
      <c r="K44" s="135"/>
      <c r="L44" s="135"/>
      <c r="M44" s="135"/>
      <c r="N44" s="135"/>
      <c r="O44" s="135"/>
      <c r="P44" s="135"/>
      <c r="Q44" s="135"/>
      <c r="R44" s="135"/>
      <c r="S44" s="135"/>
      <c r="T44" s="135"/>
      <c r="U44" s="135"/>
      <c r="V44" s="135"/>
      <c r="W44" s="135"/>
      <c r="X44" s="135"/>
      <c r="Y44" s="135"/>
      <c r="Z44" s="135"/>
      <c r="AA44" s="135"/>
    </row>
    <row r="45" spans="2:27" ht="28.2" customHeight="1" x14ac:dyDescent="0.3">
      <c r="B45" s="136" t="s">
        <v>100</v>
      </c>
      <c r="C45" s="138">
        <v>30</v>
      </c>
      <c r="D45" s="50">
        <v>11000000</v>
      </c>
      <c r="E45" s="135"/>
      <c r="F45" s="136" t="s">
        <v>99</v>
      </c>
      <c r="G45" s="140">
        <v>60</v>
      </c>
      <c r="H45" s="51">
        <v>0</v>
      </c>
      <c r="I45" s="135"/>
      <c r="J45" s="135"/>
      <c r="K45" s="135"/>
      <c r="L45" s="135"/>
      <c r="M45" s="135"/>
      <c r="N45" s="135"/>
      <c r="O45" s="135"/>
      <c r="P45" s="135"/>
      <c r="Q45" s="135"/>
      <c r="R45" s="135"/>
      <c r="S45" s="135"/>
      <c r="T45" s="135"/>
      <c r="U45" s="135"/>
      <c r="V45" s="135"/>
      <c r="W45" s="135"/>
      <c r="X45" s="135"/>
      <c r="Y45" s="135"/>
      <c r="Z45" s="135"/>
      <c r="AA45" s="135"/>
    </row>
    <row r="46" spans="2:27" ht="28.2" customHeight="1" x14ac:dyDescent="0.3">
      <c r="B46" s="136" t="s">
        <v>98</v>
      </c>
      <c r="C46" s="138">
        <v>80</v>
      </c>
      <c r="D46" s="50">
        <v>11000000</v>
      </c>
      <c r="E46" s="135"/>
      <c r="F46" s="136" t="s">
        <v>185</v>
      </c>
      <c r="G46" s="131" t="s">
        <v>186</v>
      </c>
      <c r="H46" s="131"/>
      <c r="I46" s="135"/>
      <c r="J46" s="135"/>
      <c r="K46" s="135"/>
      <c r="L46" s="135"/>
      <c r="M46" s="135"/>
      <c r="N46" s="135"/>
      <c r="O46" s="135"/>
      <c r="P46" s="135"/>
      <c r="Q46" s="135"/>
      <c r="R46" s="135"/>
      <c r="S46" s="135"/>
      <c r="T46" s="135"/>
      <c r="U46" s="135"/>
      <c r="V46" s="135"/>
      <c r="W46" s="135"/>
      <c r="X46" s="135"/>
      <c r="Y46" s="135"/>
      <c r="Z46" s="135"/>
      <c r="AA46" s="135"/>
    </row>
    <row r="47" spans="2:27" ht="28.2" customHeight="1" x14ac:dyDescent="0.3">
      <c r="B47" s="136" t="s">
        <v>97</v>
      </c>
      <c r="C47" s="138">
        <v>120</v>
      </c>
      <c r="D47" s="50">
        <v>11000000</v>
      </c>
      <c r="E47" s="135"/>
      <c r="F47" s="136" t="s">
        <v>52</v>
      </c>
      <c r="G47" s="142" t="s">
        <v>149</v>
      </c>
      <c r="H47" s="135"/>
      <c r="I47" s="135"/>
      <c r="J47" s="135"/>
      <c r="K47" s="135"/>
      <c r="L47" s="135"/>
      <c r="M47" s="135"/>
      <c r="N47" s="135"/>
      <c r="O47" s="135"/>
      <c r="P47" s="135"/>
      <c r="Q47" s="135"/>
      <c r="R47" s="135"/>
      <c r="S47" s="135"/>
      <c r="T47" s="135"/>
      <c r="U47" s="135"/>
      <c r="V47" s="135"/>
      <c r="W47" s="135"/>
      <c r="X47" s="135"/>
      <c r="Y47" s="135"/>
      <c r="Z47" s="135"/>
      <c r="AA47" s="135"/>
    </row>
    <row r="48" spans="2:27" ht="28.2" customHeight="1" x14ac:dyDescent="0.3"/>
    <row r="49" s="109" customFormat="1" ht="15" hidden="1" customHeight="1" x14ac:dyDescent="0.3"/>
    <row r="50" s="109" customFormat="1" ht="15" hidden="1" customHeight="1" x14ac:dyDescent="0.3"/>
    <row r="51" s="109" customFormat="1" ht="15" hidden="1" customHeight="1" x14ac:dyDescent="0.3"/>
    <row r="52" s="109" customFormat="1" ht="15" hidden="1" customHeight="1" x14ac:dyDescent="0.3"/>
    <row r="53" s="109" customFormat="1" ht="15" hidden="1" customHeight="1" x14ac:dyDescent="0.3"/>
    <row r="54" s="109" customFormat="1" ht="15" hidden="1" customHeight="1" x14ac:dyDescent="0.3"/>
    <row r="55" s="109" customFormat="1" ht="15" hidden="1" customHeight="1" x14ac:dyDescent="0.3"/>
    <row r="56" s="109" customFormat="1" ht="15" hidden="1" customHeight="1" x14ac:dyDescent="0.3"/>
    <row r="57" s="109" customFormat="1" ht="15" hidden="1" customHeight="1" x14ac:dyDescent="0.3"/>
    <row r="58" s="109" customFormat="1" ht="15" hidden="1" customHeight="1" x14ac:dyDescent="0.3"/>
    <row r="59" s="109" customFormat="1" ht="15" hidden="1" customHeight="1" x14ac:dyDescent="0.3"/>
    <row r="60" s="109" customFormat="1" ht="15" hidden="1" customHeight="1" x14ac:dyDescent="0.3"/>
    <row r="61" s="109" customFormat="1" ht="15" hidden="1" customHeight="1" x14ac:dyDescent="0.3"/>
    <row r="62" s="109" customFormat="1" ht="15" hidden="1" customHeight="1" x14ac:dyDescent="0.3"/>
    <row r="63" s="109" customFormat="1" ht="15" hidden="1" customHeight="1" x14ac:dyDescent="0.3"/>
    <row r="64" s="109" customFormat="1" ht="15" hidden="1" customHeight="1" x14ac:dyDescent="0.3"/>
    <row r="65" s="109" customFormat="1" ht="15" hidden="1" customHeight="1" x14ac:dyDescent="0.3"/>
    <row r="66" s="109" customFormat="1" ht="15" hidden="1" customHeight="1" x14ac:dyDescent="0.3"/>
    <row r="67" s="109" customFormat="1" ht="15" hidden="1" customHeight="1" x14ac:dyDescent="0.3"/>
    <row r="68" s="109" customFormat="1" ht="15" hidden="1" customHeight="1" x14ac:dyDescent="0.3"/>
    <row r="69" s="109" customFormat="1" ht="15" hidden="1" customHeight="1" x14ac:dyDescent="0.3"/>
    <row r="70" s="109" customFormat="1" ht="15" hidden="1" customHeight="1" x14ac:dyDescent="0.3"/>
    <row r="71" s="109" customFormat="1" ht="15" hidden="1" customHeight="1" x14ac:dyDescent="0.3"/>
    <row r="72" s="109" customFormat="1" ht="15" hidden="1" customHeight="1" x14ac:dyDescent="0.3"/>
    <row r="73" s="109" customFormat="1" ht="15" hidden="1" customHeight="1" x14ac:dyDescent="0.3"/>
    <row r="74" s="109" customFormat="1" ht="15" hidden="1" customHeight="1" x14ac:dyDescent="0.3"/>
    <row r="75" s="109" customFormat="1" ht="15" hidden="1" customHeight="1" x14ac:dyDescent="0.3"/>
    <row r="76" s="109" customFormat="1" ht="15" hidden="1" customHeight="1" x14ac:dyDescent="0.3"/>
    <row r="77" s="109" customFormat="1" ht="15" hidden="1" customHeight="1" x14ac:dyDescent="0.3"/>
    <row r="78" s="109" customFormat="1" ht="15" hidden="1" customHeight="1" x14ac:dyDescent="0.3"/>
    <row r="79" s="109" customFormat="1" ht="15" hidden="1" customHeight="1" x14ac:dyDescent="0.3"/>
    <row r="80" s="109" customFormat="1"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7289A-7841-42A6-930E-FC945EC72184}">
  <dimension ref="B1:E22"/>
  <sheetViews>
    <sheetView showGridLines="0" topLeftCell="B1" zoomScale="90" zoomScaleNormal="90" workbookViewId="0">
      <selection activeCell="D11" sqref="D11"/>
    </sheetView>
  </sheetViews>
  <sheetFormatPr defaultColWidth="0" defaultRowHeight="14.4" zeroHeight="1" x14ac:dyDescent="0.3"/>
  <cols>
    <col min="1" max="1" width="8.88671875" style="104" hidden="1" customWidth="1"/>
    <col min="2" max="2" width="3.33203125" style="104" customWidth="1"/>
    <col min="3" max="3" width="79.6640625" style="104" bestFit="1" customWidth="1"/>
    <col min="4" max="4" width="23.6640625" style="104" customWidth="1"/>
    <col min="5" max="5" width="3.109375" style="104" customWidth="1"/>
    <col min="6" max="16384" width="8.88671875" style="104" hidden="1"/>
  </cols>
  <sheetData>
    <row r="1" spans="3:4" x14ac:dyDescent="0.3"/>
    <row r="2" spans="3:4" ht="22.8" x14ac:dyDescent="0.4">
      <c r="C2" s="168" t="str">
        <f>Samenvatting!B2</f>
        <v>Europese aanbesteding Data Storage Platform</v>
      </c>
      <c r="D2" s="143"/>
    </row>
    <row r="3" spans="3:4" ht="21" x14ac:dyDescent="0.3">
      <c r="C3" s="169" t="s">
        <v>187</v>
      </c>
      <c r="D3" s="144"/>
    </row>
    <row r="4" spans="3:4" x14ac:dyDescent="0.3">
      <c r="C4" s="170" t="str">
        <f>Samenvatting!B4</f>
        <v xml:space="preserve"> Kenmerk: IUC23-047</v>
      </c>
      <c r="D4" s="144"/>
    </row>
    <row r="5" spans="3:4" x14ac:dyDescent="0.3">
      <c r="C5" s="171" t="str">
        <f>Samenvatting!B5</f>
        <v xml:space="preserve"> (bedragen zijn exclusief BTW)</v>
      </c>
      <c r="D5" s="144"/>
    </row>
    <row r="6" spans="3:4" x14ac:dyDescent="0.3">
      <c r="C6" s="145"/>
      <c r="D6" s="146"/>
    </row>
    <row r="7" spans="3:4" ht="15" thickBot="1" x14ac:dyDescent="0.35">
      <c r="C7" s="147"/>
      <c r="D7" s="147"/>
    </row>
    <row r="8" spans="3:4" x14ac:dyDescent="0.3">
      <c r="C8" s="148"/>
      <c r="D8" s="149"/>
    </row>
    <row r="9" spans="3:4" ht="15.6" x14ac:dyDescent="0.3">
      <c r="C9" s="172" t="s">
        <v>188</v>
      </c>
      <c r="D9" s="150"/>
    </row>
    <row r="10" spans="3:4" x14ac:dyDescent="0.3">
      <c r="C10" s="173" t="s">
        <v>11</v>
      </c>
      <c r="D10" s="151" t="s">
        <v>189</v>
      </c>
    </row>
    <row r="11" spans="3:4" ht="51.6" customHeight="1" x14ac:dyDescent="0.3">
      <c r="C11" s="174" t="s">
        <v>237</v>
      </c>
      <c r="D11" s="158"/>
    </row>
    <row r="12" spans="3:4" ht="15" thickBot="1" x14ac:dyDescent="0.35">
      <c r="C12" s="147"/>
      <c r="D12" s="147"/>
    </row>
    <row r="13" spans="3:4" x14ac:dyDescent="0.3"/>
    <row r="14" spans="3:4" ht="15" thickBot="1" x14ac:dyDescent="0.35">
      <c r="C14" s="175" t="s">
        <v>35</v>
      </c>
      <c r="D14" s="176">
        <f>D11</f>
        <v>0</v>
      </c>
    </row>
    <row r="15" spans="3:4" ht="15.6" thickTop="1" thickBot="1" x14ac:dyDescent="0.35">
      <c r="C15" s="147"/>
      <c r="D15" s="147"/>
    </row>
    <row r="16" spans="3:4" x14ac:dyDescent="0.3"/>
    <row r="17" s="104" customFormat="1" hidden="1" x14ac:dyDescent="0.3"/>
    <row r="18" s="104" customFormat="1" hidden="1" x14ac:dyDescent="0.3"/>
    <row r="19" s="104" customFormat="1" hidden="1" x14ac:dyDescent="0.3"/>
    <row r="20" s="104" customFormat="1" hidden="1" x14ac:dyDescent="0.3"/>
    <row r="21" s="104" customFormat="1" hidden="1" x14ac:dyDescent="0.3"/>
    <row r="22" s="104" customFormat="1" hidden="1" x14ac:dyDescent="0.3"/>
  </sheetData>
  <sheetProtection algorithmName="SHA-512" hashValue="kCs/26JywLLhhNWTW+Ee0CUfEWUd0dYA9/dMPXT2nIn4bfhLQzpJbJwDmsFKHiRGjAGZ1qjbjCQ2c4KfGigPNg==" saltValue="V2rR3qX7hKIGoY6Wyhnesg=="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Z682"/>
  <sheetViews>
    <sheetView showGridLines="0" topLeftCell="A70" zoomScale="70" zoomScaleNormal="70" workbookViewId="0">
      <selection activeCell="J104" sqref="J104"/>
    </sheetView>
  </sheetViews>
  <sheetFormatPr defaultColWidth="0" defaultRowHeight="0" customHeight="1" zeroHeight="1" x14ac:dyDescent="0.3"/>
  <cols>
    <col min="1" max="1" width="1.88671875" style="229" customWidth="1"/>
    <col min="2" max="2" width="1.44140625" style="370" customWidth="1"/>
    <col min="3" max="3" width="39.6640625" style="228" customWidth="1"/>
    <col min="4" max="4" width="34.5546875" style="229" customWidth="1"/>
    <col min="5" max="5" width="21.6640625" style="230" customWidth="1"/>
    <col min="6" max="6" width="16.6640625" style="230" customWidth="1"/>
    <col min="7" max="7" width="25.88671875" style="231" customWidth="1"/>
    <col min="8" max="8" width="17.33203125" style="231" customWidth="1"/>
    <col min="9" max="9" width="17.6640625" style="229" customWidth="1"/>
    <col min="10" max="10" width="17" style="229" customWidth="1"/>
    <col min="11" max="11" width="18.33203125" style="229" customWidth="1"/>
    <col min="12" max="12" width="17.6640625" style="229" customWidth="1"/>
    <col min="13" max="13" width="17.33203125" style="229" customWidth="1"/>
    <col min="14" max="14" width="18.109375" style="229" customWidth="1"/>
    <col min="15" max="16" width="18.6640625" style="229" customWidth="1"/>
    <col min="17" max="17" width="3.6640625" style="229" customWidth="1"/>
    <col min="18" max="20" width="9.33203125" style="229" hidden="1" customWidth="1"/>
    <col min="21" max="21" width="3.6640625" style="229" hidden="1" customWidth="1"/>
    <col min="22" max="22" width="16.5546875" style="229" hidden="1" customWidth="1"/>
    <col min="23" max="23" width="17.88671875" style="229" hidden="1" customWidth="1"/>
    <col min="24" max="24" width="17.109375" style="229" hidden="1" customWidth="1"/>
    <col min="25" max="16384" width="9.109375" style="229" hidden="1"/>
  </cols>
  <sheetData>
    <row r="1" spans="1:16" ht="14.4" x14ac:dyDescent="0.3">
      <c r="A1" s="226"/>
      <c r="B1" s="227"/>
    </row>
    <row r="2" spans="1:16" s="238" customFormat="1" ht="22.8" x14ac:dyDescent="0.3">
      <c r="A2" s="226"/>
      <c r="B2" s="227"/>
      <c r="C2" s="232" t="str">
        <f>Samenvatting!B2</f>
        <v>Europese aanbesteding Data Storage Platform</v>
      </c>
      <c r="D2" s="233"/>
      <c r="E2" s="234"/>
      <c r="F2" s="235"/>
      <c r="G2" s="236"/>
      <c r="H2" s="236"/>
      <c r="I2" s="236"/>
      <c r="J2" s="236"/>
      <c r="K2" s="236"/>
      <c r="L2" s="237"/>
      <c r="M2" s="237"/>
      <c r="N2" s="237"/>
      <c r="O2" s="237"/>
      <c r="P2" s="237"/>
    </row>
    <row r="3" spans="1:16" s="226" customFormat="1" ht="21" x14ac:dyDescent="0.3">
      <c r="B3" s="227"/>
      <c r="C3" s="169" t="s">
        <v>220</v>
      </c>
      <c r="D3" s="239"/>
      <c r="E3" s="239"/>
      <c r="F3" s="239"/>
      <c r="G3" s="240"/>
      <c r="H3" s="240"/>
      <c r="I3" s="240"/>
      <c r="J3" s="240"/>
      <c r="K3" s="240"/>
      <c r="L3" s="241"/>
      <c r="M3" s="241"/>
      <c r="N3" s="241"/>
      <c r="O3" s="241"/>
      <c r="P3" s="241"/>
    </row>
    <row r="4" spans="1:16" s="226" customFormat="1" ht="13.8" x14ac:dyDescent="0.3">
      <c r="B4" s="227"/>
      <c r="C4" s="242" t="str">
        <f>Samenvatting!B4</f>
        <v xml:space="preserve"> Kenmerk: IUC23-047</v>
      </c>
      <c r="D4" s="239"/>
      <c r="E4" s="239"/>
      <c r="F4" s="239"/>
      <c r="G4" s="240"/>
      <c r="H4" s="240"/>
      <c r="I4" s="240"/>
      <c r="J4" s="240"/>
      <c r="K4" s="240"/>
      <c r="L4" s="241"/>
      <c r="M4" s="241"/>
      <c r="N4" s="241"/>
      <c r="O4" s="241"/>
      <c r="P4" s="241"/>
    </row>
    <row r="5" spans="1:16" s="226" customFormat="1" ht="15" customHeight="1" x14ac:dyDescent="0.3">
      <c r="B5" s="227"/>
      <c r="C5" s="243" t="s">
        <v>73</v>
      </c>
      <c r="D5" s="239"/>
      <c r="E5" s="239"/>
      <c r="F5" s="239"/>
      <c r="G5" s="240"/>
      <c r="H5" s="240"/>
      <c r="I5" s="240"/>
      <c r="J5" s="240"/>
      <c r="K5" s="240"/>
      <c r="L5" s="241"/>
      <c r="M5" s="241"/>
      <c r="N5" s="241"/>
      <c r="O5" s="241"/>
      <c r="P5" s="241"/>
    </row>
    <row r="6" spans="1:16" s="226" customFormat="1" ht="15" customHeight="1" x14ac:dyDescent="0.3">
      <c r="B6" s="227"/>
      <c r="C6" s="244"/>
      <c r="D6" s="245"/>
      <c r="E6" s="246"/>
      <c r="F6" s="247"/>
      <c r="G6" s="248"/>
      <c r="H6" s="248"/>
      <c r="I6" s="248"/>
      <c r="J6" s="248"/>
      <c r="K6" s="248"/>
      <c r="L6" s="241"/>
      <c r="M6" s="241"/>
      <c r="N6" s="241"/>
      <c r="O6" s="241"/>
      <c r="P6" s="241"/>
    </row>
    <row r="7" spans="1:16" s="226" customFormat="1" ht="15" customHeight="1" x14ac:dyDescent="0.3">
      <c r="B7" s="227"/>
      <c r="C7" s="249" t="s">
        <v>0</v>
      </c>
      <c r="D7" s="250"/>
      <c r="E7" s="250"/>
      <c r="F7" s="251"/>
      <c r="G7" s="252"/>
      <c r="H7" s="252"/>
      <c r="I7" s="253"/>
      <c r="J7" s="253"/>
      <c r="K7" s="253"/>
    </row>
    <row r="8" spans="1:16" s="226" customFormat="1" ht="15" customHeight="1" x14ac:dyDescent="0.3">
      <c r="B8" s="227"/>
      <c r="C8" s="254" t="s">
        <v>1</v>
      </c>
      <c r="D8" s="255"/>
      <c r="E8" s="256"/>
      <c r="F8" s="480" t="s">
        <v>160</v>
      </c>
      <c r="G8" s="481" t="s">
        <v>161</v>
      </c>
      <c r="H8" s="481" t="s">
        <v>154</v>
      </c>
      <c r="I8" s="481" t="s">
        <v>155</v>
      </c>
      <c r="J8" s="481" t="s">
        <v>156</v>
      </c>
      <c r="K8" s="481" t="s">
        <v>157</v>
      </c>
      <c r="L8" s="481" t="s">
        <v>158</v>
      </c>
      <c r="M8" s="481" t="s">
        <v>159</v>
      </c>
      <c r="N8" s="479"/>
      <c r="O8" s="479"/>
    </row>
    <row r="9" spans="1:16" s="226" customFormat="1" ht="47.4" customHeight="1" x14ac:dyDescent="0.3">
      <c r="B9" s="227"/>
      <c r="C9" s="257" t="s">
        <v>0</v>
      </c>
      <c r="D9" s="258" t="s">
        <v>0</v>
      </c>
      <c r="E9" s="258"/>
      <c r="F9" s="480"/>
      <c r="G9" s="482"/>
      <c r="H9" s="482"/>
      <c r="I9" s="482"/>
      <c r="J9" s="482"/>
      <c r="K9" s="482"/>
      <c r="L9" s="482"/>
      <c r="M9" s="482"/>
      <c r="N9" s="479"/>
      <c r="O9" s="479"/>
    </row>
    <row r="10" spans="1:16" s="226" customFormat="1" ht="15" customHeight="1" x14ac:dyDescent="0.3">
      <c r="B10" s="227"/>
      <c r="C10" s="484" t="s">
        <v>241</v>
      </c>
      <c r="D10" s="483" t="s">
        <v>152</v>
      </c>
      <c r="E10" s="483"/>
      <c r="F10" s="259">
        <v>750</v>
      </c>
      <c r="G10" s="259">
        <f>1.1*F10</f>
        <v>825.00000000000011</v>
      </c>
      <c r="H10" s="259">
        <v>900</v>
      </c>
      <c r="I10" s="259">
        <v>1000</v>
      </c>
      <c r="J10" s="259">
        <v>1100</v>
      </c>
      <c r="K10" s="259">
        <v>1200</v>
      </c>
      <c r="L10" s="259">
        <v>1325</v>
      </c>
      <c r="M10" s="259">
        <v>1450</v>
      </c>
      <c r="N10" s="260"/>
      <c r="O10" s="260"/>
    </row>
    <row r="11" spans="1:16" s="226" customFormat="1" ht="15" customHeight="1" x14ac:dyDescent="0.3">
      <c r="B11" s="227"/>
      <c r="C11" s="484"/>
      <c r="D11" s="483" t="s">
        <v>153</v>
      </c>
      <c r="E11" s="483"/>
      <c r="F11" s="259">
        <v>750</v>
      </c>
      <c r="G11" s="259">
        <f>1.1*F11</f>
        <v>825.00000000000011</v>
      </c>
      <c r="H11" s="259">
        <v>900</v>
      </c>
      <c r="I11" s="259">
        <v>1000</v>
      </c>
      <c r="J11" s="259">
        <v>1100</v>
      </c>
      <c r="K11" s="259">
        <v>1200</v>
      </c>
      <c r="L11" s="259">
        <v>1325</v>
      </c>
      <c r="M11" s="259">
        <v>1450</v>
      </c>
      <c r="N11" s="260"/>
      <c r="O11" s="260"/>
    </row>
    <row r="12" spans="1:16" s="226" customFormat="1" ht="15" customHeight="1" x14ac:dyDescent="0.3">
      <c r="B12" s="227"/>
      <c r="C12" s="484"/>
      <c r="D12" s="485" t="s">
        <v>175</v>
      </c>
      <c r="E12" s="485"/>
      <c r="F12" s="261">
        <f>SUM(F10:F11)</f>
        <v>1500</v>
      </c>
      <c r="G12" s="261">
        <f>SUM(G10:G11)</f>
        <v>1650.0000000000002</v>
      </c>
      <c r="H12" s="261">
        <f t="shared" ref="H12:M12" si="0">SUM(H10:H11)</f>
        <v>1800</v>
      </c>
      <c r="I12" s="261">
        <f t="shared" si="0"/>
        <v>2000</v>
      </c>
      <c r="J12" s="261">
        <f t="shared" si="0"/>
        <v>2200</v>
      </c>
      <c r="K12" s="261">
        <f t="shared" si="0"/>
        <v>2400</v>
      </c>
      <c r="L12" s="261">
        <f t="shared" si="0"/>
        <v>2650</v>
      </c>
      <c r="M12" s="261">
        <f t="shared" si="0"/>
        <v>2900</v>
      </c>
      <c r="N12" s="262"/>
      <c r="O12" s="262"/>
    </row>
    <row r="13" spans="1:16" s="226" customFormat="1" ht="15" customHeight="1" x14ac:dyDescent="0.3">
      <c r="B13" s="227"/>
      <c r="C13" s="484" t="s">
        <v>240</v>
      </c>
      <c r="D13" s="483" t="s">
        <v>152</v>
      </c>
      <c r="E13" s="483"/>
      <c r="F13" s="259">
        <v>750</v>
      </c>
      <c r="G13" s="259">
        <f>1.2*F13</f>
        <v>900</v>
      </c>
      <c r="H13" s="259">
        <v>1075</v>
      </c>
      <c r="I13" s="259">
        <v>1300</v>
      </c>
      <c r="J13" s="259">
        <v>1575</v>
      </c>
      <c r="K13" s="259">
        <v>1900</v>
      </c>
      <c r="L13" s="259">
        <v>2275</v>
      </c>
      <c r="M13" s="259">
        <v>2725</v>
      </c>
      <c r="N13" s="262"/>
      <c r="O13" s="262"/>
    </row>
    <row r="14" spans="1:16" s="226" customFormat="1" ht="15" customHeight="1" x14ac:dyDescent="0.3">
      <c r="B14" s="227"/>
      <c r="C14" s="484"/>
      <c r="D14" s="483" t="s">
        <v>153</v>
      </c>
      <c r="E14" s="483"/>
      <c r="F14" s="259">
        <v>750</v>
      </c>
      <c r="G14" s="259">
        <f t="shared" ref="G14:M14" si="1">G13</f>
        <v>900</v>
      </c>
      <c r="H14" s="259">
        <f t="shared" si="1"/>
        <v>1075</v>
      </c>
      <c r="I14" s="259">
        <f t="shared" si="1"/>
        <v>1300</v>
      </c>
      <c r="J14" s="259">
        <f t="shared" si="1"/>
        <v>1575</v>
      </c>
      <c r="K14" s="259">
        <f t="shared" si="1"/>
        <v>1900</v>
      </c>
      <c r="L14" s="259">
        <f t="shared" si="1"/>
        <v>2275</v>
      </c>
      <c r="M14" s="259">
        <f t="shared" si="1"/>
        <v>2725</v>
      </c>
      <c r="N14" s="262"/>
      <c r="O14" s="262"/>
    </row>
    <row r="15" spans="1:16" s="226" customFormat="1" ht="15" customHeight="1" x14ac:dyDescent="0.3">
      <c r="B15" s="227"/>
      <c r="C15" s="484"/>
      <c r="D15" s="485" t="s">
        <v>175</v>
      </c>
      <c r="E15" s="485"/>
      <c r="F15" s="261">
        <f>SUM(F13:F14)</f>
        <v>1500</v>
      </c>
      <c r="G15" s="261">
        <f t="shared" ref="G15:M15" si="2">SUM(G13:G14)</f>
        <v>1800</v>
      </c>
      <c r="H15" s="261">
        <f t="shared" si="2"/>
        <v>2150</v>
      </c>
      <c r="I15" s="261">
        <f t="shared" si="2"/>
        <v>2600</v>
      </c>
      <c r="J15" s="261">
        <f t="shared" si="2"/>
        <v>3150</v>
      </c>
      <c r="K15" s="261">
        <f t="shared" si="2"/>
        <v>3800</v>
      </c>
      <c r="L15" s="261">
        <f t="shared" si="2"/>
        <v>4550</v>
      </c>
      <c r="M15" s="261">
        <f t="shared" si="2"/>
        <v>5450</v>
      </c>
      <c r="N15" s="262"/>
      <c r="O15" s="262"/>
    </row>
    <row r="16" spans="1:16" s="226" customFormat="1" ht="15" customHeight="1" thickBot="1" x14ac:dyDescent="0.35">
      <c r="B16" s="227"/>
      <c r="C16" s="263"/>
      <c r="D16" s="263"/>
      <c r="E16" s="264"/>
      <c r="F16" s="263"/>
      <c r="G16" s="263"/>
      <c r="H16" s="263"/>
      <c r="I16" s="263"/>
      <c r="J16" s="263"/>
      <c r="K16" s="263"/>
      <c r="L16" s="263"/>
      <c r="M16" s="263"/>
      <c r="N16" s="263"/>
      <c r="O16" s="263"/>
      <c r="P16" s="263"/>
    </row>
    <row r="17" spans="1:16" s="226" customFormat="1" ht="15" customHeight="1" x14ac:dyDescent="0.3">
      <c r="B17" s="227"/>
      <c r="C17" s="265"/>
      <c r="D17" s="265"/>
      <c r="E17" s="266"/>
      <c r="F17" s="265"/>
      <c r="G17" s="265"/>
      <c r="H17" s="265"/>
      <c r="I17" s="265"/>
      <c r="J17" s="265"/>
      <c r="K17" s="265"/>
      <c r="L17" s="265"/>
      <c r="M17" s="265"/>
      <c r="N17" s="265"/>
      <c r="O17" s="265"/>
      <c r="P17" s="265"/>
    </row>
    <row r="18" spans="1:16" s="226" customFormat="1" ht="15" customHeight="1" x14ac:dyDescent="0.3">
      <c r="B18" s="227"/>
      <c r="C18" s="172" t="s">
        <v>224</v>
      </c>
      <c r="D18" s="267"/>
      <c r="E18" s="267"/>
      <c r="F18" s="268"/>
      <c r="G18" s="268"/>
      <c r="H18" s="268"/>
      <c r="I18" s="268"/>
      <c r="J18" s="268"/>
      <c r="K18" s="268"/>
      <c r="L18" s="268"/>
      <c r="M18" s="268"/>
      <c r="N18" s="268"/>
      <c r="O18" s="265"/>
      <c r="P18" s="265"/>
    </row>
    <row r="19" spans="1:16" s="226" customFormat="1" ht="15" customHeight="1" x14ac:dyDescent="0.3">
      <c r="B19" s="227"/>
      <c r="C19" s="265"/>
      <c r="D19" s="265"/>
      <c r="E19" s="266"/>
      <c r="F19" s="265"/>
      <c r="G19" s="265"/>
      <c r="H19" s="265"/>
      <c r="I19" s="265"/>
      <c r="J19" s="265"/>
      <c r="K19" s="265"/>
      <c r="L19" s="265"/>
      <c r="M19" s="265"/>
      <c r="N19" s="265"/>
      <c r="O19" s="265"/>
      <c r="P19" s="265"/>
    </row>
    <row r="20" spans="1:16" ht="43.2" x14ac:dyDescent="0.3">
      <c r="A20" s="269"/>
      <c r="B20" s="270"/>
      <c r="C20" s="173" t="s">
        <v>162</v>
      </c>
      <c r="D20" s="173" t="s">
        <v>171</v>
      </c>
      <c r="E20" s="271" t="s">
        <v>242</v>
      </c>
      <c r="G20" s="173" t="s">
        <v>253</v>
      </c>
      <c r="H20" s="272" t="s">
        <v>193</v>
      </c>
      <c r="I20" s="272" t="s">
        <v>194</v>
      </c>
      <c r="J20" s="272" t="s">
        <v>195</v>
      </c>
      <c r="K20" s="272" t="s">
        <v>196</v>
      </c>
      <c r="L20" s="272" t="s">
        <v>197</v>
      </c>
      <c r="M20" s="272" t="s">
        <v>198</v>
      </c>
      <c r="N20" s="272" t="s">
        <v>199</v>
      </c>
      <c r="O20" s="265"/>
      <c r="P20" s="265"/>
    </row>
    <row r="21" spans="1:16" ht="17.399999999999999" x14ac:dyDescent="0.3">
      <c r="A21" s="269"/>
      <c r="B21" s="273">
        <v>1</v>
      </c>
      <c r="C21" s="274" t="str">
        <f>C94</f>
        <v>Node / bouwblok</v>
      </c>
      <c r="D21" s="275" t="str">
        <f>D94</f>
        <v>RDBMS Storage</v>
      </c>
      <c r="E21" s="276">
        <f>+J96</f>
        <v>0</v>
      </c>
      <c r="G21" s="277" t="s">
        <v>172</v>
      </c>
      <c r="H21" s="278">
        <f t="shared" ref="H21:N21" si="3">G10-F10</f>
        <v>75.000000000000114</v>
      </c>
      <c r="I21" s="278">
        <f t="shared" si="3"/>
        <v>74.999999999999886</v>
      </c>
      <c r="J21" s="278">
        <f t="shared" si="3"/>
        <v>100</v>
      </c>
      <c r="K21" s="278">
        <f t="shared" si="3"/>
        <v>100</v>
      </c>
      <c r="L21" s="278">
        <f t="shared" si="3"/>
        <v>100</v>
      </c>
      <c r="M21" s="278">
        <f t="shared" si="3"/>
        <v>125</v>
      </c>
      <c r="N21" s="278">
        <f t="shared" si="3"/>
        <v>125</v>
      </c>
      <c r="O21" s="265"/>
      <c r="P21" s="265"/>
    </row>
    <row r="22" spans="1:16" ht="17.399999999999999" x14ac:dyDescent="0.3">
      <c r="A22" s="269"/>
      <c r="B22" s="273">
        <v>2</v>
      </c>
      <c r="C22" s="274" t="str">
        <f>C129</f>
        <v>Node / bouwblok</v>
      </c>
      <c r="D22" s="275" t="str">
        <f>D129</f>
        <v>RDBMS Compute en memory</v>
      </c>
      <c r="E22" s="276">
        <f>J131</f>
        <v>0</v>
      </c>
      <c r="G22" s="277" t="s">
        <v>164</v>
      </c>
      <c r="H22" s="279">
        <f t="shared" ref="H22:N22" si="4">IF(ISERROR(INDEX($I$59:$I$67,MATCH(H21,$D$59:$D$67,1))),"",INDEX($I$59:$I$67,MATCH(H21,$D$59:$D$67,1)))</f>
        <v>0</v>
      </c>
      <c r="I22" s="279">
        <f t="shared" si="4"/>
        <v>0</v>
      </c>
      <c r="J22" s="279">
        <f t="shared" si="4"/>
        <v>0</v>
      </c>
      <c r="K22" s="279">
        <f t="shared" si="4"/>
        <v>0</v>
      </c>
      <c r="L22" s="279">
        <f t="shared" si="4"/>
        <v>0</v>
      </c>
      <c r="M22" s="279">
        <f t="shared" si="4"/>
        <v>0</v>
      </c>
      <c r="N22" s="279">
        <f t="shared" si="4"/>
        <v>0</v>
      </c>
      <c r="O22" s="265"/>
      <c r="P22" s="265"/>
    </row>
    <row r="23" spans="1:16" ht="17.399999999999999" x14ac:dyDescent="0.3">
      <c r="A23" s="269"/>
      <c r="B23" s="273">
        <v>3</v>
      </c>
      <c r="C23" s="274" t="str">
        <f>C164</f>
        <v>Node / bouwblok</v>
      </c>
      <c r="D23" s="275" t="str">
        <f>+D164</f>
        <v>Object Storage</v>
      </c>
      <c r="E23" s="276">
        <f>+J166</f>
        <v>0</v>
      </c>
      <c r="G23" s="277" t="s">
        <v>165</v>
      </c>
      <c r="H23" s="279">
        <f>H21*H22</f>
        <v>0</v>
      </c>
      <c r="I23" s="279">
        <f t="shared" ref="I23:N23" si="5">I21*I22</f>
        <v>0</v>
      </c>
      <c r="J23" s="279">
        <f t="shared" si="5"/>
        <v>0</v>
      </c>
      <c r="K23" s="279">
        <f t="shared" si="5"/>
        <v>0</v>
      </c>
      <c r="L23" s="279">
        <f t="shared" si="5"/>
        <v>0</v>
      </c>
      <c r="M23" s="279">
        <f t="shared" si="5"/>
        <v>0</v>
      </c>
      <c r="N23" s="279">
        <f t="shared" si="5"/>
        <v>0</v>
      </c>
      <c r="O23" s="265"/>
      <c r="P23" s="265"/>
    </row>
    <row r="24" spans="1:16" ht="17.399999999999999" x14ac:dyDescent="0.3">
      <c r="A24" s="269"/>
      <c r="B24" s="273">
        <v>4</v>
      </c>
      <c r="C24" s="274" t="str">
        <f>C199</f>
        <v>Node / bouwblok</v>
      </c>
      <c r="D24" s="275" t="str">
        <f>D199</f>
        <v>Back-up &amp; Recovery</v>
      </c>
      <c r="E24" s="276">
        <f>+J201</f>
        <v>0</v>
      </c>
      <c r="G24" s="280"/>
      <c r="H24" s="281"/>
      <c r="I24" s="281"/>
      <c r="J24" s="281"/>
      <c r="K24" s="281"/>
      <c r="L24" s="281"/>
      <c r="M24" s="281"/>
      <c r="N24" s="281"/>
      <c r="O24" s="265"/>
      <c r="P24" s="265"/>
    </row>
    <row r="25" spans="1:16" ht="17.399999999999999" x14ac:dyDescent="0.3">
      <c r="A25" s="269"/>
      <c r="B25" s="273">
        <v>5</v>
      </c>
      <c r="C25" s="274" t="str">
        <f>C234</f>
        <v>Node / bouwblok</v>
      </c>
      <c r="D25" s="275" t="str">
        <f>D234</f>
        <v>Overig</v>
      </c>
      <c r="E25" s="276">
        <f>+J236</f>
        <v>0</v>
      </c>
      <c r="G25" s="280"/>
      <c r="H25" s="282"/>
      <c r="I25" s="282"/>
      <c r="J25" s="282"/>
      <c r="K25" s="282"/>
      <c r="L25" s="282"/>
      <c r="M25" s="282"/>
      <c r="N25" s="282"/>
      <c r="O25" s="265"/>
      <c r="P25" s="265"/>
    </row>
    <row r="26" spans="1:16" ht="15" thickBot="1" x14ac:dyDescent="0.35">
      <c r="A26" s="269"/>
      <c r="B26" s="270"/>
      <c r="C26" s="229"/>
      <c r="E26" s="283">
        <f>SUM(E21:E25)</f>
        <v>0</v>
      </c>
      <c r="H26" s="283">
        <f t="shared" ref="H26:N26" si="6">H23</f>
        <v>0</v>
      </c>
      <c r="I26" s="283">
        <f t="shared" si="6"/>
        <v>0</v>
      </c>
      <c r="J26" s="283">
        <f t="shared" si="6"/>
        <v>0</v>
      </c>
      <c r="K26" s="283">
        <f t="shared" si="6"/>
        <v>0</v>
      </c>
      <c r="L26" s="283">
        <f t="shared" si="6"/>
        <v>0</v>
      </c>
      <c r="M26" s="283">
        <f t="shared" si="6"/>
        <v>0</v>
      </c>
      <c r="N26" s="283">
        <f t="shared" si="6"/>
        <v>0</v>
      </c>
      <c r="O26" s="265"/>
      <c r="P26" s="265"/>
    </row>
    <row r="27" spans="1:16" ht="15" thickTop="1" x14ac:dyDescent="0.3">
      <c r="A27" s="269"/>
      <c r="B27" s="270"/>
      <c r="C27" s="229"/>
      <c r="E27" s="229"/>
      <c r="F27" s="229"/>
      <c r="G27" s="229"/>
      <c r="H27" s="229"/>
    </row>
    <row r="28" spans="1:16" ht="28.8" x14ac:dyDescent="0.3">
      <c r="A28" s="269"/>
      <c r="B28" s="270"/>
      <c r="C28" s="229"/>
      <c r="E28" s="229"/>
      <c r="F28" s="229"/>
      <c r="G28" s="173" t="s">
        <v>239</v>
      </c>
      <c r="H28" s="272" t="s">
        <v>193</v>
      </c>
      <c r="I28" s="272" t="s">
        <v>194</v>
      </c>
      <c r="J28" s="272" t="s">
        <v>195</v>
      </c>
      <c r="K28" s="272" t="s">
        <v>196</v>
      </c>
      <c r="L28" s="272" t="s">
        <v>197</v>
      </c>
      <c r="M28" s="272" t="s">
        <v>198</v>
      </c>
      <c r="N28" s="272" t="s">
        <v>199</v>
      </c>
    </row>
    <row r="29" spans="1:16" ht="14.4" x14ac:dyDescent="0.3">
      <c r="A29" s="269"/>
      <c r="B29" s="270"/>
      <c r="C29" s="229"/>
      <c r="E29" s="229"/>
      <c r="F29" s="229"/>
      <c r="G29" s="277" t="s">
        <v>172</v>
      </c>
      <c r="H29" s="278">
        <f t="shared" ref="H29:N29" si="7">G13-F13</f>
        <v>150</v>
      </c>
      <c r="I29" s="278">
        <f t="shared" si="7"/>
        <v>175</v>
      </c>
      <c r="J29" s="278">
        <f t="shared" si="7"/>
        <v>225</v>
      </c>
      <c r="K29" s="278">
        <f t="shared" si="7"/>
        <v>275</v>
      </c>
      <c r="L29" s="278">
        <f t="shared" si="7"/>
        <v>325</v>
      </c>
      <c r="M29" s="278">
        <f t="shared" si="7"/>
        <v>375</v>
      </c>
      <c r="N29" s="278">
        <f t="shared" si="7"/>
        <v>450</v>
      </c>
    </row>
    <row r="30" spans="1:16" ht="14.4" x14ac:dyDescent="0.3">
      <c r="A30" s="269"/>
      <c r="B30" s="270"/>
      <c r="C30" s="229"/>
      <c r="E30" s="229"/>
      <c r="F30" s="229"/>
      <c r="G30" s="277" t="s">
        <v>164</v>
      </c>
      <c r="H30" s="279">
        <f t="shared" ref="H30:N30" si="8">IF(ISERROR(INDEX($I$78:$I$86,MATCH(H29,$D$78:$D$86,1))),"",INDEX($I$78:$I$86,MATCH(H29,$D$78:$D$86,1)))</f>
        <v>0</v>
      </c>
      <c r="I30" s="279">
        <f t="shared" si="8"/>
        <v>0</v>
      </c>
      <c r="J30" s="279">
        <f t="shared" si="8"/>
        <v>0</v>
      </c>
      <c r="K30" s="279">
        <f t="shared" si="8"/>
        <v>0</v>
      </c>
      <c r="L30" s="279">
        <f t="shared" si="8"/>
        <v>0</v>
      </c>
      <c r="M30" s="279">
        <f t="shared" si="8"/>
        <v>0</v>
      </c>
      <c r="N30" s="279">
        <f t="shared" si="8"/>
        <v>0</v>
      </c>
    </row>
    <row r="31" spans="1:16" ht="14.4" x14ac:dyDescent="0.3">
      <c r="A31" s="269"/>
      <c r="B31" s="270"/>
      <c r="C31" s="229"/>
      <c r="E31" s="229"/>
      <c r="F31" s="229"/>
      <c r="G31" s="277" t="s">
        <v>165</v>
      </c>
      <c r="H31" s="279">
        <f>H29*H30</f>
        <v>0</v>
      </c>
      <c r="I31" s="279">
        <f t="shared" ref="I31:N31" si="9">I29*I30</f>
        <v>0</v>
      </c>
      <c r="J31" s="279">
        <f t="shared" si="9"/>
        <v>0</v>
      </c>
      <c r="K31" s="279">
        <f t="shared" si="9"/>
        <v>0</v>
      </c>
      <c r="L31" s="279">
        <f t="shared" si="9"/>
        <v>0</v>
      </c>
      <c r="M31" s="279">
        <f t="shared" si="9"/>
        <v>0</v>
      </c>
      <c r="N31" s="279">
        <f t="shared" si="9"/>
        <v>0</v>
      </c>
    </row>
    <row r="32" spans="1:16" ht="14.4" x14ac:dyDescent="0.3">
      <c r="A32" s="269"/>
      <c r="B32" s="270"/>
      <c r="C32" s="229"/>
      <c r="E32" s="229"/>
      <c r="F32" s="229"/>
      <c r="G32" s="280"/>
      <c r="H32" s="281"/>
      <c r="I32" s="281"/>
      <c r="J32" s="281"/>
      <c r="K32" s="281"/>
      <c r="L32" s="281"/>
      <c r="M32" s="281"/>
      <c r="N32" s="281"/>
    </row>
    <row r="33" spans="1:16" ht="14.4" x14ac:dyDescent="0.3">
      <c r="A33" s="269"/>
      <c r="B33" s="270"/>
      <c r="C33" s="229"/>
      <c r="E33" s="229"/>
      <c r="F33" s="229"/>
      <c r="G33" s="280"/>
      <c r="H33" s="282"/>
      <c r="I33" s="282"/>
      <c r="J33" s="282"/>
      <c r="K33" s="282"/>
      <c r="L33" s="282"/>
      <c r="M33" s="282"/>
      <c r="N33" s="282"/>
    </row>
    <row r="34" spans="1:16" ht="15" thickBot="1" x14ac:dyDescent="0.35">
      <c r="A34" s="269"/>
      <c r="B34" s="270"/>
      <c r="C34" s="229"/>
      <c r="E34" s="229"/>
      <c r="F34" s="229"/>
      <c r="H34" s="283">
        <f t="shared" ref="H34:N34" si="10">H31</f>
        <v>0</v>
      </c>
      <c r="I34" s="283">
        <f t="shared" si="10"/>
        <v>0</v>
      </c>
      <c r="J34" s="283">
        <f t="shared" si="10"/>
        <v>0</v>
      </c>
      <c r="K34" s="283">
        <f t="shared" si="10"/>
        <v>0</v>
      </c>
      <c r="L34" s="283">
        <f t="shared" si="10"/>
        <v>0</v>
      </c>
      <c r="M34" s="283">
        <f t="shared" si="10"/>
        <v>0</v>
      </c>
      <c r="N34" s="283">
        <f t="shared" si="10"/>
        <v>0</v>
      </c>
    </row>
    <row r="35" spans="1:16" ht="15" thickTop="1" x14ac:dyDescent="0.3">
      <c r="A35" s="269"/>
      <c r="B35" s="270"/>
      <c r="C35" s="229"/>
      <c r="E35" s="229"/>
      <c r="F35" s="229"/>
      <c r="G35" s="229"/>
      <c r="H35" s="229"/>
    </row>
    <row r="36" spans="1:16" ht="58.2" thickBot="1" x14ac:dyDescent="0.35">
      <c r="A36" s="269"/>
      <c r="B36" s="270"/>
      <c r="C36" s="173" t="s">
        <v>236</v>
      </c>
      <c r="D36" s="173" t="s">
        <v>46</v>
      </c>
      <c r="E36" s="271" t="s">
        <v>243</v>
      </c>
      <c r="F36" s="229"/>
      <c r="G36" s="284" t="s">
        <v>225</v>
      </c>
      <c r="H36" s="285" t="s">
        <v>226</v>
      </c>
      <c r="I36" s="285" t="s">
        <v>227</v>
      </c>
      <c r="J36" s="285" t="s">
        <v>228</v>
      </c>
      <c r="K36" s="285" t="s">
        <v>229</v>
      </c>
      <c r="L36" s="285" t="s">
        <v>230</v>
      </c>
      <c r="M36" s="285" t="s">
        <v>231</v>
      </c>
      <c r="N36" s="285" t="s">
        <v>232</v>
      </c>
    </row>
    <row r="37" spans="1:16" ht="17.399999999999999" customHeight="1" x14ac:dyDescent="0.3">
      <c r="A37" s="269"/>
      <c r="B37" s="273">
        <v>1</v>
      </c>
      <c r="C37" s="286" t="str">
        <f>C94</f>
        <v>Node / bouwblok</v>
      </c>
      <c r="D37" s="275" t="str">
        <f>D94</f>
        <v>RDBMS Storage</v>
      </c>
      <c r="E37" s="276">
        <f>+P96</f>
        <v>0</v>
      </c>
      <c r="F37" s="229"/>
      <c r="G37" s="287" t="s">
        <v>255</v>
      </c>
      <c r="H37" s="288">
        <f t="shared" ref="H37:N37" si="11">G10</f>
        <v>825.00000000000011</v>
      </c>
      <c r="I37" s="288">
        <f t="shared" si="11"/>
        <v>900</v>
      </c>
      <c r="J37" s="288">
        <f t="shared" si="11"/>
        <v>1000</v>
      </c>
      <c r="K37" s="288">
        <f t="shared" si="11"/>
        <v>1100</v>
      </c>
      <c r="L37" s="288">
        <f t="shared" si="11"/>
        <v>1200</v>
      </c>
      <c r="M37" s="288">
        <f t="shared" si="11"/>
        <v>1325</v>
      </c>
      <c r="N37" s="288">
        <f t="shared" si="11"/>
        <v>1450</v>
      </c>
    </row>
    <row r="38" spans="1:16" ht="17.399999999999999" x14ac:dyDescent="0.3">
      <c r="A38" s="269"/>
      <c r="B38" s="273">
        <v>2</v>
      </c>
      <c r="C38" s="274" t="str">
        <f>C129</f>
        <v>Node / bouwblok</v>
      </c>
      <c r="D38" s="275" t="str">
        <f>D129</f>
        <v>RDBMS Compute en memory</v>
      </c>
      <c r="E38" s="276">
        <f>+P131</f>
        <v>0</v>
      </c>
      <c r="F38" s="229"/>
      <c r="G38" s="289" t="s">
        <v>256</v>
      </c>
      <c r="H38" s="290">
        <f t="shared" ref="H38:N38" si="12">IF(ISERROR(INDEX($M$59:$M$67,MATCH(H37,$D$59:$D$67,1))),"",INDEX($M$59:$M$67,MATCH(H37,$D$59:$D$67,1)))</f>
        <v>0</v>
      </c>
      <c r="I38" s="290">
        <f t="shared" si="12"/>
        <v>0</v>
      </c>
      <c r="J38" s="290">
        <f t="shared" si="12"/>
        <v>0</v>
      </c>
      <c r="K38" s="290">
        <f t="shared" si="12"/>
        <v>0</v>
      </c>
      <c r="L38" s="290">
        <f t="shared" si="12"/>
        <v>0</v>
      </c>
      <c r="M38" s="290">
        <f t="shared" si="12"/>
        <v>0</v>
      </c>
      <c r="N38" s="290">
        <f t="shared" si="12"/>
        <v>0</v>
      </c>
    </row>
    <row r="39" spans="1:16" ht="17.399999999999999" customHeight="1" thickBot="1" x14ac:dyDescent="0.35">
      <c r="A39" s="269"/>
      <c r="B39" s="273">
        <v>3</v>
      </c>
      <c r="C39" s="274" t="str">
        <f>C164</f>
        <v>Node / bouwblok</v>
      </c>
      <c r="D39" s="275" t="str">
        <f>D164</f>
        <v>Object Storage</v>
      </c>
      <c r="E39" s="276">
        <f>+J174</f>
        <v>0</v>
      </c>
      <c r="F39" s="229"/>
      <c r="G39" s="291" t="s">
        <v>257</v>
      </c>
      <c r="H39" s="292">
        <f>H37*H38</f>
        <v>0</v>
      </c>
      <c r="I39" s="292">
        <f t="shared" ref="I39:N39" si="13">I37*I38</f>
        <v>0</v>
      </c>
      <c r="J39" s="292">
        <f t="shared" si="13"/>
        <v>0</v>
      </c>
      <c r="K39" s="292">
        <f t="shared" si="13"/>
        <v>0</v>
      </c>
      <c r="L39" s="292">
        <f t="shared" si="13"/>
        <v>0</v>
      </c>
      <c r="M39" s="292">
        <f t="shared" si="13"/>
        <v>0</v>
      </c>
      <c r="N39" s="292">
        <f t="shared" si="13"/>
        <v>0</v>
      </c>
    </row>
    <row r="40" spans="1:16" ht="17.399999999999999" x14ac:dyDescent="0.3">
      <c r="A40" s="269"/>
      <c r="B40" s="273">
        <v>4</v>
      </c>
      <c r="C40" s="274" t="str">
        <f>C199</f>
        <v>Node / bouwblok</v>
      </c>
      <c r="D40" s="275" t="str">
        <f>D199</f>
        <v>Back-up &amp; Recovery</v>
      </c>
      <c r="E40" s="276">
        <f>+J209</f>
        <v>0</v>
      </c>
      <c r="F40" s="229"/>
      <c r="G40" s="287" t="s">
        <v>258</v>
      </c>
      <c r="H40" s="288">
        <f t="shared" ref="H40:N40" si="14">G13</f>
        <v>900</v>
      </c>
      <c r="I40" s="288">
        <f t="shared" si="14"/>
        <v>1075</v>
      </c>
      <c r="J40" s="288">
        <f t="shared" si="14"/>
        <v>1300</v>
      </c>
      <c r="K40" s="288">
        <f t="shared" si="14"/>
        <v>1575</v>
      </c>
      <c r="L40" s="288">
        <f t="shared" si="14"/>
        <v>1900</v>
      </c>
      <c r="M40" s="288">
        <f t="shared" si="14"/>
        <v>2275</v>
      </c>
      <c r="N40" s="293">
        <f t="shared" si="14"/>
        <v>2725</v>
      </c>
    </row>
    <row r="41" spans="1:16" ht="17.399999999999999" customHeight="1" x14ac:dyDescent="0.3">
      <c r="A41" s="269"/>
      <c r="B41" s="273">
        <v>5</v>
      </c>
      <c r="C41" s="274" t="str">
        <f>C234</f>
        <v>Node / bouwblok</v>
      </c>
      <c r="D41" s="275" t="str">
        <f>D234</f>
        <v>Overig</v>
      </c>
      <c r="E41" s="276">
        <f>+J244</f>
        <v>0</v>
      </c>
      <c r="F41" s="229"/>
      <c r="G41" s="289" t="s">
        <v>259</v>
      </c>
      <c r="H41" s="290">
        <f t="shared" ref="H41:N41" si="15">IF(ISERROR(INDEX($M$78:$M$86,MATCH(H40,$D$78:$D$86,1))),"",INDEX($M$78:$M$86,MATCH(H40,$D$78:$D$86,1)))</f>
        <v>0</v>
      </c>
      <c r="I41" s="290">
        <f t="shared" si="15"/>
        <v>0</v>
      </c>
      <c r="J41" s="290">
        <f t="shared" si="15"/>
        <v>0</v>
      </c>
      <c r="K41" s="290">
        <f t="shared" si="15"/>
        <v>0</v>
      </c>
      <c r="L41" s="290">
        <f t="shared" si="15"/>
        <v>0</v>
      </c>
      <c r="M41" s="290">
        <f t="shared" si="15"/>
        <v>0</v>
      </c>
      <c r="N41" s="294">
        <f t="shared" si="15"/>
        <v>0</v>
      </c>
    </row>
    <row r="42" spans="1:16" ht="15" customHeight="1" thickBot="1" x14ac:dyDescent="0.35">
      <c r="A42" s="269"/>
      <c r="B42" s="270"/>
      <c r="C42" s="229"/>
      <c r="E42" s="283">
        <f>SUM(E37:E41)</f>
        <v>0</v>
      </c>
      <c r="F42" s="229"/>
      <c r="G42" s="291" t="s">
        <v>260</v>
      </c>
      <c r="H42" s="292">
        <f>H40*H41</f>
        <v>0</v>
      </c>
      <c r="I42" s="292">
        <f t="shared" ref="I42:N42" si="16">I40*I41</f>
        <v>0</v>
      </c>
      <c r="J42" s="292">
        <f t="shared" si="16"/>
        <v>0</v>
      </c>
      <c r="K42" s="292">
        <f t="shared" si="16"/>
        <v>0</v>
      </c>
      <c r="L42" s="292">
        <f t="shared" si="16"/>
        <v>0</v>
      </c>
      <c r="M42" s="292">
        <f t="shared" si="16"/>
        <v>0</v>
      </c>
      <c r="N42" s="292">
        <f t="shared" si="16"/>
        <v>0</v>
      </c>
    </row>
    <row r="43" spans="1:16" ht="15.6" thickTop="1" thickBot="1" x14ac:dyDescent="0.35">
      <c r="A43" s="269"/>
      <c r="B43" s="270"/>
      <c r="C43" s="229"/>
      <c r="E43" s="229"/>
      <c r="F43" s="229"/>
      <c r="G43" s="295"/>
      <c r="H43" s="296">
        <f>H39+H42</f>
        <v>0</v>
      </c>
      <c r="I43" s="296">
        <f t="shared" ref="I43:N43" si="17">I39+I42</f>
        <v>0</v>
      </c>
      <c r="J43" s="296">
        <f t="shared" si="17"/>
        <v>0</v>
      </c>
      <c r="K43" s="296">
        <f t="shared" si="17"/>
        <v>0</v>
      </c>
      <c r="L43" s="296">
        <f t="shared" si="17"/>
        <v>0</v>
      </c>
      <c r="M43" s="296">
        <f t="shared" si="17"/>
        <v>0</v>
      </c>
      <c r="N43" s="296">
        <f t="shared" si="17"/>
        <v>0</v>
      </c>
    </row>
    <row r="44" spans="1:16" ht="14.4" hidden="1" x14ac:dyDescent="0.3">
      <c r="A44" s="269"/>
      <c r="B44" s="270"/>
      <c r="C44" s="229"/>
      <c r="E44" s="229"/>
      <c r="F44" s="229"/>
      <c r="G44" s="297"/>
      <c r="H44" s="298" t="str">
        <f>IF(ISERROR(INDEX(#REF!,MATCH(#REF!,#REF!,1))),"",INDEX(#REF!,MATCH(#REF!,#REF!,1)))</f>
        <v/>
      </c>
      <c r="I44" s="298" t="str">
        <f>IF(ISERROR(INDEX(#REF!,MATCH(#REF!,#REF!,1))),"",INDEX(#REF!,MATCH(#REF!,#REF!,1)))</f>
        <v/>
      </c>
      <c r="J44" s="298" t="str">
        <f>IF(ISERROR(INDEX(#REF!,MATCH(#REF!,#REF!,1))),"",INDEX(#REF!,MATCH(#REF!,#REF!,1)))</f>
        <v/>
      </c>
      <c r="K44" s="298" t="str">
        <f>IF(ISERROR(INDEX(#REF!,MATCH(#REF!,#REF!,1))),"",INDEX(#REF!,MATCH(#REF!,#REF!,1)))</f>
        <v/>
      </c>
      <c r="L44" s="298" t="str">
        <f>IF(ISERROR(INDEX(#REF!,MATCH(#REF!,#REF!,1))),"",INDEX(#REF!,MATCH(#REF!,#REF!,1)))</f>
        <v/>
      </c>
      <c r="M44" s="298" t="str">
        <f>IF(ISERROR(INDEX(#REF!,MATCH(#REF!,#REF!,1))),"",INDEX(#REF!,MATCH(#REF!,#REF!,1)))</f>
        <v/>
      </c>
      <c r="N44" s="298" t="str">
        <f>IF(ISERROR(INDEX(#REF!,MATCH(#REF!,#REF!,1))),"",INDEX(#REF!,MATCH(#REF!,#REF!,1)))</f>
        <v/>
      </c>
    </row>
    <row r="45" spans="1:16" ht="15" thickTop="1" x14ac:dyDescent="0.3">
      <c r="A45" s="269"/>
      <c r="B45" s="270"/>
      <c r="C45" s="229"/>
      <c r="E45" s="229"/>
      <c r="F45" s="229"/>
      <c r="G45" s="295"/>
      <c r="H45" s="229"/>
    </row>
    <row r="46" spans="1:16" ht="15" hidden="1" thickTop="1" x14ac:dyDescent="0.3">
      <c r="A46" s="269"/>
      <c r="B46" s="270"/>
      <c r="C46" s="229"/>
      <c r="E46" s="229"/>
      <c r="F46" s="229"/>
      <c r="G46" s="295"/>
      <c r="H46" s="299"/>
      <c r="I46" s="299"/>
      <c r="J46" s="299"/>
      <c r="K46" s="299"/>
      <c r="L46" s="299"/>
      <c r="M46" s="299"/>
      <c r="N46" s="299"/>
    </row>
    <row r="47" spans="1:16" ht="15" thickBot="1" x14ac:dyDescent="0.35">
      <c r="A47" s="269"/>
      <c r="B47" s="270"/>
      <c r="C47" s="229"/>
      <c r="E47" s="229"/>
      <c r="F47" s="461" t="s">
        <v>254</v>
      </c>
      <c r="G47" s="462"/>
      <c r="H47" s="283">
        <f>H26+H34+H43</f>
        <v>0</v>
      </c>
      <c r="I47" s="283">
        <f t="shared" ref="I47:N47" si="18">I26+I34+I43</f>
        <v>0</v>
      </c>
      <c r="J47" s="283">
        <f t="shared" si="18"/>
        <v>0</v>
      </c>
      <c r="K47" s="283">
        <f t="shared" si="18"/>
        <v>0</v>
      </c>
      <c r="L47" s="283">
        <f t="shared" si="18"/>
        <v>0</v>
      </c>
      <c r="M47" s="283">
        <f t="shared" si="18"/>
        <v>0</v>
      </c>
      <c r="N47" s="283">
        <f t="shared" si="18"/>
        <v>0</v>
      </c>
    </row>
    <row r="48" spans="1:16" ht="15.6" thickTop="1" thickBot="1" x14ac:dyDescent="0.35">
      <c r="A48" s="269"/>
      <c r="B48" s="300"/>
      <c r="C48" s="263"/>
      <c r="D48" s="263"/>
      <c r="E48" s="264"/>
      <c r="F48" s="263"/>
      <c r="G48" s="263"/>
      <c r="H48" s="263"/>
      <c r="I48" s="263"/>
      <c r="J48" s="263"/>
      <c r="K48" s="263"/>
      <c r="L48" s="263"/>
      <c r="M48" s="263"/>
      <c r="N48" s="263"/>
      <c r="O48" s="263"/>
      <c r="P48" s="263"/>
    </row>
    <row r="49" spans="1:24" ht="14.4" x14ac:dyDescent="0.3">
      <c r="A49" s="269"/>
      <c r="B49" s="270"/>
      <c r="C49" s="265"/>
      <c r="D49" s="265"/>
      <c r="E49" s="266"/>
      <c r="F49" s="265"/>
      <c r="G49" s="265"/>
      <c r="H49" s="265"/>
      <c r="I49" s="265"/>
      <c r="J49" s="265"/>
      <c r="K49" s="265"/>
      <c r="L49" s="265"/>
      <c r="M49" s="265"/>
      <c r="N49" s="265"/>
      <c r="O49" s="265"/>
      <c r="P49" s="265"/>
    </row>
    <row r="50" spans="1:24" ht="15.6" x14ac:dyDescent="0.3">
      <c r="A50" s="269"/>
      <c r="B50" s="270"/>
      <c r="C50" s="172" t="s">
        <v>283</v>
      </c>
      <c r="D50" s="267"/>
      <c r="E50" s="267"/>
      <c r="F50" s="268"/>
      <c r="G50" s="268"/>
      <c r="H50" s="268"/>
      <c r="I50" s="268"/>
      <c r="J50" s="268"/>
      <c r="K50" s="268"/>
      <c r="L50" s="268"/>
      <c r="M50" s="268"/>
      <c r="N50" s="265"/>
      <c r="O50" s="265"/>
      <c r="P50" s="265"/>
    </row>
    <row r="51" spans="1:24" ht="14.4" x14ac:dyDescent="0.3">
      <c r="A51" s="269"/>
      <c r="B51" s="270"/>
      <c r="C51" s="265"/>
      <c r="D51" s="265"/>
      <c r="E51" s="266"/>
      <c r="F51" s="265"/>
      <c r="G51" s="265"/>
      <c r="H51" s="265"/>
      <c r="I51" s="265"/>
      <c r="J51" s="265"/>
      <c r="K51" s="265"/>
      <c r="L51" s="265"/>
      <c r="M51" s="265"/>
      <c r="N51" s="265"/>
      <c r="O51" s="265"/>
      <c r="P51" s="265"/>
    </row>
    <row r="52" spans="1:24" ht="15.6" x14ac:dyDescent="0.3">
      <c r="A52" s="269"/>
      <c r="B52" s="270"/>
      <c r="C52" s="301" t="s">
        <v>244</v>
      </c>
      <c r="D52" s="302" t="s">
        <v>0</v>
      </c>
      <c r="E52" s="470" t="s">
        <v>247</v>
      </c>
      <c r="F52" s="303" t="s">
        <v>0</v>
      </c>
      <c r="G52" s="303"/>
      <c r="H52" s="303"/>
      <c r="I52" s="304"/>
      <c r="J52" s="305"/>
      <c r="K52" s="301" t="s">
        <v>245</v>
      </c>
      <c r="L52" s="306"/>
      <c r="M52" s="307"/>
      <c r="N52" s="265"/>
      <c r="O52" s="265"/>
      <c r="P52" s="265"/>
    </row>
    <row r="53" spans="1:24" ht="35.4" customHeight="1" x14ac:dyDescent="0.3">
      <c r="A53" s="269"/>
      <c r="B53" s="270"/>
      <c r="C53" s="308" t="s">
        <v>19</v>
      </c>
      <c r="D53" s="309" t="str">
        <f>"Vergoeding per " &amp;+C54</f>
        <v>Vergoeding per TB</v>
      </c>
      <c r="E53" s="471"/>
      <c r="F53" s="310"/>
      <c r="G53" s="310"/>
      <c r="H53" s="310"/>
      <c r="I53" s="311"/>
      <c r="J53" s="305"/>
      <c r="K53" s="312"/>
      <c r="L53" s="313"/>
      <c r="M53" s="314"/>
      <c r="N53" s="265"/>
      <c r="O53" s="265"/>
      <c r="P53" s="265"/>
    </row>
    <row r="54" spans="1:24" ht="15.6" x14ac:dyDescent="0.3">
      <c r="A54" s="269"/>
      <c r="B54" s="270"/>
      <c r="C54" s="315" t="s">
        <v>163</v>
      </c>
      <c r="D54" s="5"/>
      <c r="E54" s="6"/>
      <c r="F54" s="310" t="s">
        <v>0</v>
      </c>
      <c r="G54" s="310"/>
      <c r="H54" s="310"/>
      <c r="I54" s="311"/>
      <c r="J54" s="305"/>
      <c r="K54" s="316">
        <f>+E54</f>
        <v>0</v>
      </c>
      <c r="L54" s="313"/>
      <c r="M54" s="314"/>
      <c r="N54" s="265"/>
      <c r="O54" s="265"/>
      <c r="P54" s="265"/>
    </row>
    <row r="55" spans="1:24" ht="41.4" customHeight="1" x14ac:dyDescent="0.3">
      <c r="A55" s="269"/>
      <c r="B55" s="270"/>
      <c r="C55" s="317"/>
      <c r="D55" s="310"/>
      <c r="E55" s="310"/>
      <c r="F55" s="186" t="s">
        <v>0</v>
      </c>
      <c r="G55" s="186"/>
      <c r="H55" s="186" t="s">
        <v>0</v>
      </c>
      <c r="I55" s="201" t="s">
        <v>75</v>
      </c>
      <c r="J55" s="305"/>
      <c r="K55" s="312"/>
      <c r="L55" s="313"/>
      <c r="M55" s="463" t="s">
        <v>261</v>
      </c>
      <c r="N55" s="265"/>
      <c r="O55" s="265"/>
      <c r="P55" s="265"/>
    </row>
    <row r="56" spans="1:24" ht="15.6" x14ac:dyDescent="0.3">
      <c r="A56" s="269"/>
      <c r="B56" s="270"/>
      <c r="C56" s="318" t="s">
        <v>16</v>
      </c>
      <c r="D56" s="319"/>
      <c r="E56" s="319"/>
      <c r="F56" s="477" t="str">
        <f>"# "&amp;C54</f>
        <v># TB</v>
      </c>
      <c r="G56" s="320"/>
      <c r="H56" s="320" t="s">
        <v>0</v>
      </c>
      <c r="I56" s="218" t="s">
        <v>76</v>
      </c>
      <c r="J56" s="305"/>
      <c r="K56" s="312"/>
      <c r="L56" s="313"/>
      <c r="M56" s="463"/>
      <c r="N56" s="265"/>
      <c r="O56" s="265"/>
      <c r="P56" s="265"/>
    </row>
    <row r="57" spans="1:24" ht="15.6" x14ac:dyDescent="0.3">
      <c r="A57" s="269"/>
      <c r="B57" s="270"/>
      <c r="C57" s="321"/>
      <c r="D57" s="475" t="str">
        <f>"# "&amp;C54</f>
        <v># TB</v>
      </c>
      <c r="E57" s="476"/>
      <c r="F57" s="478"/>
      <c r="G57" s="200" t="s">
        <v>74</v>
      </c>
      <c r="H57" s="320" t="s">
        <v>78</v>
      </c>
      <c r="I57" s="322" t="s">
        <v>43</v>
      </c>
      <c r="J57" s="305"/>
      <c r="K57" s="200" t="s">
        <v>74</v>
      </c>
      <c r="L57" s="320" t="s">
        <v>78</v>
      </c>
      <c r="M57" s="463"/>
      <c r="N57" s="265"/>
      <c r="O57" s="265"/>
      <c r="P57" s="265"/>
    </row>
    <row r="58" spans="1:24" ht="15.6" x14ac:dyDescent="0.3">
      <c r="A58" s="269"/>
      <c r="B58" s="270"/>
      <c r="C58" s="323" t="s">
        <v>15</v>
      </c>
      <c r="D58" s="324" t="s">
        <v>17</v>
      </c>
      <c r="E58" s="325" t="s">
        <v>18</v>
      </c>
      <c r="F58" s="326" t="s">
        <v>43</v>
      </c>
      <c r="G58" s="327" t="str">
        <f>C54</f>
        <v>TB</v>
      </c>
      <c r="H58" s="327" t="s">
        <v>79</v>
      </c>
      <c r="I58" s="210" t="s">
        <v>66</v>
      </c>
      <c r="J58" s="305"/>
      <c r="K58" s="327" t="s">
        <v>163</v>
      </c>
      <c r="L58" s="327" t="s">
        <v>79</v>
      </c>
      <c r="M58" s="464"/>
      <c r="N58" s="265"/>
      <c r="O58" s="265"/>
      <c r="P58" s="265"/>
      <c r="R58" s="328" t="s">
        <v>42</v>
      </c>
      <c r="S58" s="328" t="s">
        <v>42</v>
      </c>
      <c r="T58" s="328" t="s">
        <v>42</v>
      </c>
      <c r="U58" s="329"/>
      <c r="V58" s="328" t="s">
        <v>41</v>
      </c>
      <c r="W58" s="328" t="s">
        <v>40</v>
      </c>
      <c r="X58" s="328" t="s">
        <v>39</v>
      </c>
    </row>
    <row r="59" spans="1:24" ht="15.6" x14ac:dyDescent="0.3">
      <c r="A59" s="269"/>
      <c r="B59" s="270"/>
      <c r="C59" s="330" t="s">
        <v>20</v>
      </c>
      <c r="D59" s="331">
        <v>1</v>
      </c>
      <c r="E59" s="7">
        <v>0</v>
      </c>
      <c r="F59" s="332" t="str">
        <f>IF(+E59&lt;&gt;0,E59,"&gt;")</f>
        <v>&gt;</v>
      </c>
      <c r="G59" s="333">
        <f>+$D$54</f>
        <v>0</v>
      </c>
      <c r="H59" s="8"/>
      <c r="I59" s="334">
        <f>IF(R59=2,"",+$D$54*(1-H59))</f>
        <v>0</v>
      </c>
      <c r="J59" s="305"/>
      <c r="K59" s="333">
        <f t="shared" ref="K59:K67" si="19">IF(O59=2,"",$E$54)</f>
        <v>0</v>
      </c>
      <c r="L59" s="8"/>
      <c r="M59" s="334">
        <f t="shared" ref="M59:M67" si="20">IF(O59=2,"",+$E$54*(1-L59))</f>
        <v>0</v>
      </c>
      <c r="N59" s="265"/>
      <c r="O59" s="265"/>
      <c r="P59" s="265"/>
      <c r="R59" s="335">
        <f t="shared" ref="R59:R67" si="21">IF(AND(D59&lt;&gt;" ",E59="&gt;"),0,IF(AND(D59=" ",E59="&gt;"),2,1))</f>
        <v>1</v>
      </c>
      <c r="S59" s="335">
        <v>0</v>
      </c>
      <c r="T59" s="335">
        <v>0</v>
      </c>
      <c r="U59" s="329"/>
      <c r="V59" s="336" t="str">
        <f t="shared" ref="V59:V67" si="22">D59&amp; " t/m " &amp; E59 &amp; " " &amp; $C$54 &amp; "s"</f>
        <v>1 t/m 0 TBs</v>
      </c>
      <c r="W59" s="336" t="str">
        <f t="shared" ref="W59:W67" si="23" xml:space="preserve"> "1 t/m " &amp; F59 &amp; " " &amp; $C$54 &amp; "s"</f>
        <v>1 t/m &gt; TBs</v>
      </c>
      <c r="X59" s="336" t="str">
        <f t="shared" ref="X59:X67" si="24">F59&amp;" "&amp;E58&amp;" "&amp;$C$54&amp;"s"</f>
        <v>&gt; tot en met TBs</v>
      </c>
    </row>
    <row r="60" spans="1:24" ht="15.6" x14ac:dyDescent="0.3">
      <c r="A60" s="269"/>
      <c r="B60" s="270"/>
      <c r="C60" s="337" t="s">
        <v>21</v>
      </c>
      <c r="D60" s="331">
        <f t="shared" ref="D60:D67" si="25">IF(ISERROR(+E59+1)," ",E59+1)</f>
        <v>1</v>
      </c>
      <c r="E60" s="7">
        <v>0</v>
      </c>
      <c r="F60" s="332" t="str">
        <f t="shared" ref="F60:F67" si="26">IF(O60=2,"",IF(+E60&lt;&gt;0,E60,"&gt;"))</f>
        <v>&gt;</v>
      </c>
      <c r="G60" s="333">
        <f t="shared" ref="G60:G67" si="27">IF(O60=2," ",+$D$54)</f>
        <v>0</v>
      </c>
      <c r="H60" s="8"/>
      <c r="I60" s="334">
        <f>IF(R60=2,"",+$D$54*(1-H60))</f>
        <v>0</v>
      </c>
      <c r="J60" s="305"/>
      <c r="K60" s="333">
        <f t="shared" si="19"/>
        <v>0</v>
      </c>
      <c r="L60" s="8"/>
      <c r="M60" s="334">
        <f t="shared" si="20"/>
        <v>0</v>
      </c>
      <c r="N60" s="265"/>
      <c r="O60" s="265"/>
      <c r="P60" s="265"/>
      <c r="R60" s="335">
        <f t="shared" si="21"/>
        <v>1</v>
      </c>
      <c r="S60" s="335">
        <f t="shared" ref="S60:S67" si="28">IF(R60&lt;&gt;2,IF(I60&gt;I59,1,0),0)</f>
        <v>0</v>
      </c>
      <c r="T60" s="335">
        <f t="shared" ref="T60:T67" si="29">IF(R60&lt;&gt;2,IF(M60&gt;M59,1,0),0)</f>
        <v>0</v>
      </c>
      <c r="U60" s="329"/>
      <c r="V60" s="336" t="str">
        <f t="shared" si="22"/>
        <v>1 t/m 0 TBs</v>
      </c>
      <c r="W60" s="336" t="str">
        <f t="shared" si="23"/>
        <v>1 t/m &gt; TBs</v>
      </c>
      <c r="X60" s="336" t="str">
        <f t="shared" si="24"/>
        <v>&gt; 0 TBs</v>
      </c>
    </row>
    <row r="61" spans="1:24" ht="15.6" x14ac:dyDescent="0.3">
      <c r="A61" s="269"/>
      <c r="B61" s="270"/>
      <c r="C61" s="338" t="s">
        <v>22</v>
      </c>
      <c r="D61" s="331">
        <f t="shared" si="25"/>
        <v>1</v>
      </c>
      <c r="E61" s="7">
        <v>0</v>
      </c>
      <c r="F61" s="332" t="str">
        <f t="shared" si="26"/>
        <v>&gt;</v>
      </c>
      <c r="G61" s="333">
        <f t="shared" si="27"/>
        <v>0</v>
      </c>
      <c r="H61" s="8"/>
      <c r="I61" s="334">
        <f t="shared" ref="I61:I67" si="30">IF(O61=2,"",+$D$54*(1-H61))</f>
        <v>0</v>
      </c>
      <c r="J61" s="305"/>
      <c r="K61" s="333">
        <f t="shared" si="19"/>
        <v>0</v>
      </c>
      <c r="L61" s="8"/>
      <c r="M61" s="334">
        <f t="shared" si="20"/>
        <v>0</v>
      </c>
      <c r="N61" s="265"/>
      <c r="O61" s="265"/>
      <c r="P61" s="265"/>
      <c r="R61" s="335">
        <f t="shared" si="21"/>
        <v>1</v>
      </c>
      <c r="S61" s="335">
        <f t="shared" si="28"/>
        <v>0</v>
      </c>
      <c r="T61" s="335">
        <f t="shared" si="29"/>
        <v>0</v>
      </c>
      <c r="U61" s="329"/>
      <c r="V61" s="336" t="str">
        <f t="shared" si="22"/>
        <v>1 t/m 0 TBs</v>
      </c>
      <c r="W61" s="336" t="str">
        <f t="shared" si="23"/>
        <v>1 t/m &gt; TBs</v>
      </c>
      <c r="X61" s="336" t="str">
        <f t="shared" si="24"/>
        <v>&gt; 0 TBs</v>
      </c>
    </row>
    <row r="62" spans="1:24" ht="15.6" x14ac:dyDescent="0.3">
      <c r="A62" s="269"/>
      <c r="B62" s="270"/>
      <c r="C62" s="338" t="s">
        <v>23</v>
      </c>
      <c r="D62" s="331">
        <f t="shared" si="25"/>
        <v>1</v>
      </c>
      <c r="E62" s="7">
        <v>0</v>
      </c>
      <c r="F62" s="332" t="str">
        <f t="shared" si="26"/>
        <v>&gt;</v>
      </c>
      <c r="G62" s="333">
        <f t="shared" si="27"/>
        <v>0</v>
      </c>
      <c r="H62" s="8"/>
      <c r="I62" s="334">
        <f t="shared" si="30"/>
        <v>0</v>
      </c>
      <c r="J62" s="305"/>
      <c r="K62" s="333">
        <f t="shared" si="19"/>
        <v>0</v>
      </c>
      <c r="L62" s="8"/>
      <c r="M62" s="334">
        <f t="shared" si="20"/>
        <v>0</v>
      </c>
      <c r="N62" s="265"/>
      <c r="O62" s="265"/>
      <c r="P62" s="265"/>
      <c r="R62" s="335">
        <f t="shared" si="21"/>
        <v>1</v>
      </c>
      <c r="S62" s="335">
        <f t="shared" si="28"/>
        <v>0</v>
      </c>
      <c r="T62" s="335">
        <f t="shared" si="29"/>
        <v>0</v>
      </c>
      <c r="U62" s="329"/>
      <c r="V62" s="336" t="str">
        <f t="shared" si="22"/>
        <v>1 t/m 0 TBs</v>
      </c>
      <c r="W62" s="336" t="str">
        <f t="shared" si="23"/>
        <v>1 t/m &gt; TBs</v>
      </c>
      <c r="X62" s="336" t="str">
        <f t="shared" si="24"/>
        <v>&gt; 0 TBs</v>
      </c>
    </row>
    <row r="63" spans="1:24" ht="15.6" x14ac:dyDescent="0.3">
      <c r="A63" s="269"/>
      <c r="B63" s="270"/>
      <c r="C63" s="330" t="s">
        <v>24</v>
      </c>
      <c r="D63" s="331">
        <f t="shared" si="25"/>
        <v>1</v>
      </c>
      <c r="E63" s="7">
        <v>0</v>
      </c>
      <c r="F63" s="332" t="str">
        <f t="shared" si="26"/>
        <v>&gt;</v>
      </c>
      <c r="G63" s="333">
        <f t="shared" si="27"/>
        <v>0</v>
      </c>
      <c r="H63" s="8"/>
      <c r="I63" s="334">
        <f t="shared" si="30"/>
        <v>0</v>
      </c>
      <c r="J63" s="305"/>
      <c r="K63" s="333">
        <f t="shared" si="19"/>
        <v>0</v>
      </c>
      <c r="L63" s="8"/>
      <c r="M63" s="334">
        <f t="shared" si="20"/>
        <v>0</v>
      </c>
      <c r="N63" s="265"/>
      <c r="O63" s="265"/>
      <c r="P63" s="265"/>
      <c r="R63" s="335">
        <f t="shared" si="21"/>
        <v>1</v>
      </c>
      <c r="S63" s="335">
        <f t="shared" si="28"/>
        <v>0</v>
      </c>
      <c r="T63" s="335">
        <f t="shared" si="29"/>
        <v>0</v>
      </c>
      <c r="U63" s="329"/>
      <c r="V63" s="336" t="str">
        <f t="shared" si="22"/>
        <v>1 t/m 0 TBs</v>
      </c>
      <c r="W63" s="336" t="str">
        <f t="shared" si="23"/>
        <v>1 t/m &gt; TBs</v>
      </c>
      <c r="X63" s="336" t="str">
        <f t="shared" si="24"/>
        <v>&gt; 0 TBs</v>
      </c>
    </row>
    <row r="64" spans="1:24" ht="15.6" x14ac:dyDescent="0.3">
      <c r="A64" s="269"/>
      <c r="B64" s="270"/>
      <c r="C64" s="337" t="s">
        <v>25</v>
      </c>
      <c r="D64" s="331">
        <f t="shared" si="25"/>
        <v>1</v>
      </c>
      <c r="E64" s="7">
        <v>0</v>
      </c>
      <c r="F64" s="332" t="str">
        <f t="shared" si="26"/>
        <v>&gt;</v>
      </c>
      <c r="G64" s="333">
        <f t="shared" si="27"/>
        <v>0</v>
      </c>
      <c r="H64" s="8"/>
      <c r="I64" s="334">
        <f t="shared" si="30"/>
        <v>0</v>
      </c>
      <c r="J64" s="305"/>
      <c r="K64" s="333">
        <f t="shared" si="19"/>
        <v>0</v>
      </c>
      <c r="L64" s="8"/>
      <c r="M64" s="334">
        <f t="shared" si="20"/>
        <v>0</v>
      </c>
      <c r="N64" s="265"/>
      <c r="O64" s="265"/>
      <c r="P64" s="265"/>
      <c r="R64" s="335">
        <f t="shared" si="21"/>
        <v>1</v>
      </c>
      <c r="S64" s="335">
        <f t="shared" si="28"/>
        <v>0</v>
      </c>
      <c r="T64" s="335">
        <f t="shared" si="29"/>
        <v>0</v>
      </c>
      <c r="U64" s="329"/>
      <c r="V64" s="336" t="str">
        <f t="shared" si="22"/>
        <v>1 t/m 0 TBs</v>
      </c>
      <c r="W64" s="336" t="str">
        <f t="shared" si="23"/>
        <v>1 t/m &gt; TBs</v>
      </c>
      <c r="X64" s="336" t="str">
        <f t="shared" si="24"/>
        <v>&gt; 0 TBs</v>
      </c>
    </row>
    <row r="65" spans="1:24" ht="15.6" x14ac:dyDescent="0.3">
      <c r="A65" s="269"/>
      <c r="B65" s="270"/>
      <c r="C65" s="337" t="s">
        <v>26</v>
      </c>
      <c r="D65" s="331">
        <f t="shared" si="25"/>
        <v>1</v>
      </c>
      <c r="E65" s="7">
        <v>0</v>
      </c>
      <c r="F65" s="332" t="str">
        <f t="shared" si="26"/>
        <v>&gt;</v>
      </c>
      <c r="G65" s="333">
        <f t="shared" si="27"/>
        <v>0</v>
      </c>
      <c r="H65" s="8"/>
      <c r="I65" s="334">
        <f t="shared" si="30"/>
        <v>0</v>
      </c>
      <c r="J65" s="305"/>
      <c r="K65" s="333">
        <f t="shared" si="19"/>
        <v>0</v>
      </c>
      <c r="L65" s="8"/>
      <c r="M65" s="334">
        <f t="shared" si="20"/>
        <v>0</v>
      </c>
      <c r="N65" s="265"/>
      <c r="O65" s="265"/>
      <c r="P65" s="265"/>
      <c r="R65" s="335">
        <f t="shared" si="21"/>
        <v>1</v>
      </c>
      <c r="S65" s="335">
        <f t="shared" si="28"/>
        <v>0</v>
      </c>
      <c r="T65" s="335">
        <f t="shared" si="29"/>
        <v>0</v>
      </c>
      <c r="U65" s="329"/>
      <c r="V65" s="336" t="str">
        <f t="shared" si="22"/>
        <v>1 t/m 0 TBs</v>
      </c>
      <c r="W65" s="336" t="str">
        <f t="shared" si="23"/>
        <v>1 t/m &gt; TBs</v>
      </c>
      <c r="X65" s="336" t="str">
        <f t="shared" si="24"/>
        <v>&gt; 0 TBs</v>
      </c>
    </row>
    <row r="66" spans="1:24" ht="15.6" x14ac:dyDescent="0.3">
      <c r="A66" s="269"/>
      <c r="B66" s="270"/>
      <c r="C66" s="337" t="s">
        <v>27</v>
      </c>
      <c r="D66" s="331">
        <f t="shared" si="25"/>
        <v>1</v>
      </c>
      <c r="E66" s="7">
        <v>0</v>
      </c>
      <c r="F66" s="332" t="str">
        <f t="shared" si="26"/>
        <v>&gt;</v>
      </c>
      <c r="G66" s="333">
        <f t="shared" si="27"/>
        <v>0</v>
      </c>
      <c r="H66" s="8"/>
      <c r="I66" s="334">
        <f t="shared" si="30"/>
        <v>0</v>
      </c>
      <c r="J66" s="305"/>
      <c r="K66" s="333">
        <f t="shared" si="19"/>
        <v>0</v>
      </c>
      <c r="L66" s="8"/>
      <c r="M66" s="334">
        <f t="shared" si="20"/>
        <v>0</v>
      </c>
      <c r="N66" s="265"/>
      <c r="O66" s="265"/>
      <c r="P66" s="265"/>
      <c r="R66" s="335">
        <f t="shared" si="21"/>
        <v>1</v>
      </c>
      <c r="S66" s="335">
        <f t="shared" si="28"/>
        <v>0</v>
      </c>
      <c r="T66" s="335">
        <f t="shared" si="29"/>
        <v>0</v>
      </c>
      <c r="U66" s="329"/>
      <c r="V66" s="336" t="str">
        <f t="shared" si="22"/>
        <v>1 t/m 0 TBs</v>
      </c>
      <c r="W66" s="336" t="str">
        <f t="shared" si="23"/>
        <v>1 t/m &gt; TBs</v>
      </c>
      <c r="X66" s="336" t="str">
        <f t="shared" si="24"/>
        <v>&gt; 0 TBs</v>
      </c>
    </row>
    <row r="67" spans="1:24" ht="15.6" x14ac:dyDescent="0.3">
      <c r="A67" s="269"/>
      <c r="B67" s="270"/>
      <c r="C67" s="338" t="s">
        <v>28</v>
      </c>
      <c r="D67" s="331">
        <f t="shared" si="25"/>
        <v>1</v>
      </c>
      <c r="E67" s="7"/>
      <c r="F67" s="332" t="str">
        <f t="shared" si="26"/>
        <v>&gt;</v>
      </c>
      <c r="G67" s="333">
        <f t="shared" si="27"/>
        <v>0</v>
      </c>
      <c r="H67" s="8"/>
      <c r="I67" s="334">
        <f t="shared" si="30"/>
        <v>0</v>
      </c>
      <c r="J67" s="305"/>
      <c r="K67" s="333">
        <f t="shared" si="19"/>
        <v>0</v>
      </c>
      <c r="L67" s="8"/>
      <c r="M67" s="334">
        <f t="shared" si="20"/>
        <v>0</v>
      </c>
      <c r="N67" s="265"/>
      <c r="O67" s="265"/>
      <c r="P67" s="265"/>
      <c r="R67" s="335">
        <f t="shared" si="21"/>
        <v>1</v>
      </c>
      <c r="S67" s="335">
        <f t="shared" si="28"/>
        <v>0</v>
      </c>
      <c r="T67" s="335">
        <f t="shared" si="29"/>
        <v>0</v>
      </c>
      <c r="U67" s="328"/>
      <c r="V67" s="336" t="str">
        <f t="shared" si="22"/>
        <v>1 t/m  TBs</v>
      </c>
      <c r="W67" s="336" t="str">
        <f t="shared" si="23"/>
        <v>1 t/m &gt; TBs</v>
      </c>
      <c r="X67" s="336" t="str">
        <f t="shared" si="24"/>
        <v>&gt; 0 TBs</v>
      </c>
    </row>
    <row r="68" spans="1:24" ht="15.6" x14ac:dyDescent="0.3">
      <c r="A68" s="269"/>
      <c r="B68" s="270"/>
      <c r="C68" s="472" t="s">
        <v>60</v>
      </c>
      <c r="D68" s="472"/>
      <c r="E68" s="472"/>
      <c r="F68" s="472"/>
      <c r="G68" s="472"/>
      <c r="H68" s="339"/>
      <c r="I68" s="340" t="str">
        <f>IF(S68=0,"OK","Fout !")</f>
        <v>OK</v>
      </c>
      <c r="J68" s="341" t="s">
        <v>38</v>
      </c>
      <c r="K68" s="305"/>
      <c r="L68" s="339"/>
      <c r="M68" s="340" t="str">
        <f>IF(T68=0,"OK","Fout !")</f>
        <v>OK</v>
      </c>
      <c r="N68" s="265"/>
      <c r="O68" s="265"/>
      <c r="P68" s="265"/>
      <c r="R68" s="342"/>
      <c r="S68" s="335">
        <f>SUM(S59:S67)</f>
        <v>0</v>
      </c>
      <c r="T68" s="335">
        <f>SUM(T59:T67)</f>
        <v>0</v>
      </c>
      <c r="U68" s="328"/>
      <c r="V68" s="328"/>
      <c r="W68" s="328"/>
      <c r="X68" s="328"/>
    </row>
    <row r="69" spans="1:24" ht="15.6" x14ac:dyDescent="0.3">
      <c r="A69" s="269"/>
      <c r="B69" s="270"/>
      <c r="C69" s="472"/>
      <c r="D69" s="472"/>
      <c r="E69" s="472"/>
      <c r="F69" s="472"/>
      <c r="G69" s="472"/>
      <c r="H69" s="339"/>
      <c r="I69" s="339"/>
      <c r="J69" s="305"/>
      <c r="K69" s="305"/>
      <c r="L69" s="305"/>
      <c r="M69" s="305"/>
      <c r="N69" s="265"/>
      <c r="O69" s="265"/>
      <c r="P69" s="265"/>
    </row>
    <row r="70" spans="1:24" ht="15.6" x14ac:dyDescent="0.3">
      <c r="A70" s="269"/>
      <c r="B70" s="270"/>
      <c r="C70" s="343"/>
      <c r="D70" s="343"/>
      <c r="E70" s="343"/>
      <c r="F70" s="343"/>
      <c r="G70" s="343"/>
      <c r="H70" s="339"/>
      <c r="I70" s="339"/>
      <c r="J70" s="305"/>
      <c r="K70" s="305"/>
      <c r="L70" s="305"/>
      <c r="M70" s="305"/>
      <c r="N70" s="265"/>
      <c r="O70" s="265"/>
      <c r="P70" s="265"/>
    </row>
    <row r="71" spans="1:24" ht="15.6" x14ac:dyDescent="0.3">
      <c r="A71" s="269"/>
      <c r="B71" s="270"/>
      <c r="C71" s="473" t="s">
        <v>246</v>
      </c>
      <c r="D71" s="474"/>
      <c r="E71" s="344"/>
      <c r="F71" s="303" t="s">
        <v>0</v>
      </c>
      <c r="G71" s="303"/>
      <c r="H71" s="303"/>
      <c r="I71" s="304"/>
      <c r="J71" s="305"/>
      <c r="K71" s="301" t="s">
        <v>248</v>
      </c>
      <c r="L71" s="306"/>
      <c r="M71" s="307"/>
      <c r="N71" s="265"/>
      <c r="O71" s="265"/>
      <c r="P71" s="265"/>
    </row>
    <row r="72" spans="1:24" ht="27.6" x14ac:dyDescent="0.3">
      <c r="A72" s="269"/>
      <c r="B72" s="270"/>
      <c r="C72" s="308" t="s">
        <v>19</v>
      </c>
      <c r="D72" s="309" t="str">
        <f>"Vergoeding per " &amp;+C73</f>
        <v>Vergoeding per TB</v>
      </c>
      <c r="E72" s="200" t="s">
        <v>247</v>
      </c>
      <c r="F72" s="310"/>
      <c r="G72" s="310"/>
      <c r="H72" s="310"/>
      <c r="I72" s="311"/>
      <c r="J72" s="305"/>
      <c r="K72" s="312"/>
      <c r="L72" s="313"/>
      <c r="M72" s="314"/>
      <c r="N72" s="265"/>
      <c r="O72" s="265"/>
      <c r="P72" s="265"/>
    </row>
    <row r="73" spans="1:24" ht="15.6" x14ac:dyDescent="0.3">
      <c r="A73" s="269"/>
      <c r="B73" s="270"/>
      <c r="C73" s="315" t="s">
        <v>163</v>
      </c>
      <c r="D73" s="5"/>
      <c r="E73" s="6"/>
      <c r="F73" s="310" t="s">
        <v>0</v>
      </c>
      <c r="G73" s="310"/>
      <c r="H73" s="310"/>
      <c r="I73" s="311"/>
      <c r="J73" s="305"/>
      <c r="K73" s="316">
        <f>+E73</f>
        <v>0</v>
      </c>
      <c r="L73" s="313"/>
      <c r="M73" s="314"/>
      <c r="N73" s="265"/>
      <c r="O73" s="265"/>
      <c r="P73" s="265"/>
    </row>
    <row r="74" spans="1:24" ht="41.4" customHeight="1" x14ac:dyDescent="0.3">
      <c r="A74" s="269"/>
      <c r="B74" s="270"/>
      <c r="C74" s="317"/>
      <c r="D74" s="310"/>
      <c r="E74" s="310"/>
      <c r="F74" s="186" t="s">
        <v>0</v>
      </c>
      <c r="G74" s="186"/>
      <c r="H74" s="186" t="s">
        <v>0</v>
      </c>
      <c r="I74" s="201" t="s">
        <v>75</v>
      </c>
      <c r="J74" s="305"/>
      <c r="K74" s="312"/>
      <c r="L74" s="313"/>
      <c r="M74" s="463" t="s">
        <v>261</v>
      </c>
      <c r="N74" s="265"/>
      <c r="O74" s="265"/>
      <c r="P74" s="265"/>
    </row>
    <row r="75" spans="1:24" ht="15.6" x14ac:dyDescent="0.3">
      <c r="A75" s="269"/>
      <c r="B75" s="270"/>
      <c r="C75" s="318" t="s">
        <v>16</v>
      </c>
      <c r="D75" s="319"/>
      <c r="E75" s="319"/>
      <c r="F75" s="477" t="str">
        <f>"# "&amp;C73</f>
        <v># TB</v>
      </c>
      <c r="G75" s="320"/>
      <c r="H75" s="320" t="s">
        <v>0</v>
      </c>
      <c r="I75" s="218" t="s">
        <v>76</v>
      </c>
      <c r="J75" s="305"/>
      <c r="K75" s="312"/>
      <c r="L75" s="313"/>
      <c r="M75" s="463"/>
      <c r="N75" s="265"/>
      <c r="O75" s="265"/>
      <c r="P75" s="265"/>
    </row>
    <row r="76" spans="1:24" ht="15.6" x14ac:dyDescent="0.3">
      <c r="A76" s="269"/>
      <c r="B76" s="270"/>
      <c r="C76" s="321"/>
      <c r="D76" s="475" t="str">
        <f>"# "&amp;C73</f>
        <v># TB</v>
      </c>
      <c r="E76" s="476"/>
      <c r="F76" s="478"/>
      <c r="G76" s="200" t="s">
        <v>74</v>
      </c>
      <c r="H76" s="320" t="s">
        <v>78</v>
      </c>
      <c r="I76" s="322" t="s">
        <v>43</v>
      </c>
      <c r="J76" s="305"/>
      <c r="K76" s="200" t="s">
        <v>74</v>
      </c>
      <c r="L76" s="320" t="s">
        <v>78</v>
      </c>
      <c r="M76" s="463"/>
      <c r="N76" s="265"/>
      <c r="O76" s="265"/>
      <c r="P76" s="265"/>
    </row>
    <row r="77" spans="1:24" ht="15.6" x14ac:dyDescent="0.3">
      <c r="A77" s="269"/>
      <c r="B77" s="270"/>
      <c r="C77" s="323" t="s">
        <v>15</v>
      </c>
      <c r="D77" s="324" t="s">
        <v>17</v>
      </c>
      <c r="E77" s="325" t="s">
        <v>18</v>
      </c>
      <c r="F77" s="326" t="s">
        <v>43</v>
      </c>
      <c r="G77" s="327" t="str">
        <f>C73</f>
        <v>TB</v>
      </c>
      <c r="H77" s="327" t="s">
        <v>79</v>
      </c>
      <c r="I77" s="210" t="s">
        <v>66</v>
      </c>
      <c r="J77" s="305"/>
      <c r="K77" s="327" t="s">
        <v>163</v>
      </c>
      <c r="L77" s="327" t="s">
        <v>79</v>
      </c>
      <c r="M77" s="464"/>
      <c r="N77" s="265"/>
      <c r="O77" s="265"/>
      <c r="P77" s="265"/>
      <c r="R77" s="328" t="s">
        <v>42</v>
      </c>
      <c r="S77" s="328" t="s">
        <v>42</v>
      </c>
      <c r="T77" s="328" t="s">
        <v>42</v>
      </c>
      <c r="U77" s="329"/>
      <c r="V77" s="328" t="s">
        <v>41</v>
      </c>
      <c r="W77" s="328" t="s">
        <v>40</v>
      </c>
      <c r="X77" s="328" t="s">
        <v>39</v>
      </c>
    </row>
    <row r="78" spans="1:24" ht="15.6" x14ac:dyDescent="0.3">
      <c r="A78" s="269"/>
      <c r="B78" s="270"/>
      <c r="C78" s="330" t="s">
        <v>20</v>
      </c>
      <c r="D78" s="331">
        <v>1</v>
      </c>
      <c r="E78" s="7">
        <v>0</v>
      </c>
      <c r="F78" s="332" t="str">
        <f>IF(+E78&lt;&gt;0,E78,"&gt;")</f>
        <v>&gt;</v>
      </c>
      <c r="G78" s="333">
        <f>+$D$73</f>
        <v>0</v>
      </c>
      <c r="H78" s="8"/>
      <c r="I78" s="334">
        <f>IF(R78=2,"",+$D$73*(1-H78))</f>
        <v>0</v>
      </c>
      <c r="J78" s="305"/>
      <c r="K78" s="333">
        <f t="shared" ref="K78:K86" si="31">IF(O78=2,"",$E$73)</f>
        <v>0</v>
      </c>
      <c r="L78" s="8"/>
      <c r="M78" s="334">
        <f>IF(O78=2,"",+$E$73*(1-L78))</f>
        <v>0</v>
      </c>
      <c r="N78" s="265"/>
      <c r="O78" s="265"/>
      <c r="P78" s="265"/>
      <c r="R78" s="335">
        <f t="shared" ref="R78:R86" si="32">IF(AND(D78&lt;&gt;" ",E78="&gt;"),0,IF(AND(D78=" ",E78="&gt;"),2,1))</f>
        <v>1</v>
      </c>
      <c r="S78" s="335">
        <v>0</v>
      </c>
      <c r="T78" s="335">
        <v>0</v>
      </c>
      <c r="U78" s="329"/>
      <c r="V78" s="336" t="str">
        <f t="shared" ref="V78:V86" si="33">D78&amp; " t/m " &amp; E78 &amp; " " &amp; $C$73 &amp; "s"</f>
        <v>1 t/m 0 TBs</v>
      </c>
      <c r="W78" s="336" t="str">
        <f t="shared" ref="W78:W86" si="34" xml:space="preserve"> "1 t/m " &amp; F78 &amp; " " &amp; $C$73 &amp; "s"</f>
        <v>1 t/m &gt; TBs</v>
      </c>
      <c r="X78" s="336" t="str">
        <f t="shared" ref="X78:X86" si="35">F78&amp;" "&amp;E77&amp;" "&amp;$C$73&amp;"s"</f>
        <v>&gt; tot en met TBs</v>
      </c>
    </row>
    <row r="79" spans="1:24" ht="15.6" x14ac:dyDescent="0.3">
      <c r="A79" s="269"/>
      <c r="B79" s="270"/>
      <c r="C79" s="337" t="s">
        <v>21</v>
      </c>
      <c r="D79" s="331">
        <f t="shared" ref="D79:D86" si="36">IF(ISERROR(+E78+1)," ",E78+1)</f>
        <v>1</v>
      </c>
      <c r="E79" s="7">
        <v>0</v>
      </c>
      <c r="F79" s="332" t="str">
        <f t="shared" ref="F79:F86" si="37">IF(O79=2,"",IF(+E79&lt;&gt;0,E79,"&gt;"))</f>
        <v>&gt;</v>
      </c>
      <c r="G79" s="333">
        <f t="shared" ref="G79:G86" si="38">+$D$73</f>
        <v>0</v>
      </c>
      <c r="H79" s="8"/>
      <c r="I79" s="334">
        <f t="shared" ref="I79:I86" si="39">IF(R79=2,"",+$D$73*(1-H79))</f>
        <v>0</v>
      </c>
      <c r="J79" s="305"/>
      <c r="K79" s="333">
        <f t="shared" si="31"/>
        <v>0</v>
      </c>
      <c r="L79" s="8"/>
      <c r="M79" s="334">
        <f t="shared" ref="M79:M86" si="40">IF(O79=2,"",+$E$73*(1-L79))</f>
        <v>0</v>
      </c>
      <c r="N79" s="265"/>
      <c r="O79" s="265"/>
      <c r="P79" s="265"/>
      <c r="R79" s="335">
        <f t="shared" si="32"/>
        <v>1</v>
      </c>
      <c r="S79" s="335">
        <f t="shared" ref="S79:S86" si="41">IF(R79&lt;&gt;2,IF(I79&gt;I78,1,0),0)</f>
        <v>0</v>
      </c>
      <c r="T79" s="335">
        <f t="shared" ref="T79:T86" si="42">IF(R79&lt;&gt;2,IF(M79&gt;M78,1,0),0)</f>
        <v>0</v>
      </c>
      <c r="U79" s="329"/>
      <c r="V79" s="336" t="str">
        <f t="shared" si="33"/>
        <v>1 t/m 0 TBs</v>
      </c>
      <c r="W79" s="336" t="str">
        <f t="shared" si="34"/>
        <v>1 t/m &gt; TBs</v>
      </c>
      <c r="X79" s="336" t="str">
        <f t="shared" si="35"/>
        <v>&gt; 0 TBs</v>
      </c>
    </row>
    <row r="80" spans="1:24" ht="15.6" x14ac:dyDescent="0.3">
      <c r="A80" s="269"/>
      <c r="B80" s="270"/>
      <c r="C80" s="338" t="s">
        <v>22</v>
      </c>
      <c r="D80" s="331">
        <f t="shared" si="36"/>
        <v>1</v>
      </c>
      <c r="E80" s="7">
        <v>0</v>
      </c>
      <c r="F80" s="332" t="str">
        <f t="shared" si="37"/>
        <v>&gt;</v>
      </c>
      <c r="G80" s="333">
        <f t="shared" si="38"/>
        <v>0</v>
      </c>
      <c r="H80" s="8"/>
      <c r="I80" s="334">
        <f t="shared" si="39"/>
        <v>0</v>
      </c>
      <c r="J80" s="305"/>
      <c r="K80" s="333">
        <f t="shared" si="31"/>
        <v>0</v>
      </c>
      <c r="L80" s="8"/>
      <c r="M80" s="334">
        <f t="shared" si="40"/>
        <v>0</v>
      </c>
      <c r="N80" s="265"/>
      <c r="O80" s="265"/>
      <c r="P80" s="265"/>
      <c r="R80" s="335">
        <f t="shared" si="32"/>
        <v>1</v>
      </c>
      <c r="S80" s="335">
        <f t="shared" si="41"/>
        <v>0</v>
      </c>
      <c r="T80" s="335">
        <f t="shared" si="42"/>
        <v>0</v>
      </c>
      <c r="U80" s="329"/>
      <c r="V80" s="336" t="str">
        <f t="shared" si="33"/>
        <v>1 t/m 0 TBs</v>
      </c>
      <c r="W80" s="336" t="str">
        <f t="shared" si="34"/>
        <v>1 t/m &gt; TBs</v>
      </c>
      <c r="X80" s="336" t="str">
        <f t="shared" si="35"/>
        <v>&gt; 0 TBs</v>
      </c>
    </row>
    <row r="81" spans="1:24" ht="15.6" x14ac:dyDescent="0.3">
      <c r="A81" s="269"/>
      <c r="B81" s="270"/>
      <c r="C81" s="338" t="s">
        <v>23</v>
      </c>
      <c r="D81" s="331">
        <f t="shared" si="36"/>
        <v>1</v>
      </c>
      <c r="E81" s="7">
        <v>0</v>
      </c>
      <c r="F81" s="332" t="str">
        <f t="shared" si="37"/>
        <v>&gt;</v>
      </c>
      <c r="G81" s="333">
        <f t="shared" si="38"/>
        <v>0</v>
      </c>
      <c r="H81" s="8"/>
      <c r="I81" s="334">
        <f t="shared" si="39"/>
        <v>0</v>
      </c>
      <c r="J81" s="305"/>
      <c r="K81" s="333">
        <f t="shared" si="31"/>
        <v>0</v>
      </c>
      <c r="L81" s="8"/>
      <c r="M81" s="334">
        <f t="shared" si="40"/>
        <v>0</v>
      </c>
      <c r="N81" s="265"/>
      <c r="O81" s="265"/>
      <c r="P81" s="265"/>
      <c r="R81" s="335">
        <f t="shared" si="32"/>
        <v>1</v>
      </c>
      <c r="S81" s="335">
        <f t="shared" si="41"/>
        <v>0</v>
      </c>
      <c r="T81" s="335">
        <f t="shared" si="42"/>
        <v>0</v>
      </c>
      <c r="U81" s="329"/>
      <c r="V81" s="336" t="str">
        <f t="shared" si="33"/>
        <v>1 t/m 0 TBs</v>
      </c>
      <c r="W81" s="336" t="str">
        <f t="shared" si="34"/>
        <v>1 t/m &gt; TBs</v>
      </c>
      <c r="X81" s="336" t="str">
        <f t="shared" si="35"/>
        <v>&gt; 0 TBs</v>
      </c>
    </row>
    <row r="82" spans="1:24" ht="15.6" x14ac:dyDescent="0.3">
      <c r="A82" s="269"/>
      <c r="B82" s="270"/>
      <c r="C82" s="330" t="s">
        <v>24</v>
      </c>
      <c r="D82" s="331">
        <f t="shared" si="36"/>
        <v>1</v>
      </c>
      <c r="E82" s="7">
        <v>0</v>
      </c>
      <c r="F82" s="332" t="str">
        <f t="shared" si="37"/>
        <v>&gt;</v>
      </c>
      <c r="G82" s="333">
        <f t="shared" si="38"/>
        <v>0</v>
      </c>
      <c r="H82" s="8"/>
      <c r="I82" s="334">
        <f t="shared" si="39"/>
        <v>0</v>
      </c>
      <c r="J82" s="305"/>
      <c r="K82" s="333">
        <f t="shared" si="31"/>
        <v>0</v>
      </c>
      <c r="L82" s="8"/>
      <c r="M82" s="334">
        <f t="shared" si="40"/>
        <v>0</v>
      </c>
      <c r="N82" s="265"/>
      <c r="O82" s="265"/>
      <c r="P82" s="265"/>
      <c r="R82" s="335">
        <f t="shared" si="32"/>
        <v>1</v>
      </c>
      <c r="S82" s="335">
        <f t="shared" si="41"/>
        <v>0</v>
      </c>
      <c r="T82" s="335">
        <f t="shared" si="42"/>
        <v>0</v>
      </c>
      <c r="U82" s="329"/>
      <c r="V82" s="336" t="str">
        <f t="shared" si="33"/>
        <v>1 t/m 0 TBs</v>
      </c>
      <c r="W82" s="336" t="str">
        <f t="shared" si="34"/>
        <v>1 t/m &gt; TBs</v>
      </c>
      <c r="X82" s="336" t="str">
        <f t="shared" si="35"/>
        <v>&gt; 0 TBs</v>
      </c>
    </row>
    <row r="83" spans="1:24" ht="15.6" x14ac:dyDescent="0.3">
      <c r="A83" s="269"/>
      <c r="B83" s="270"/>
      <c r="C83" s="337" t="s">
        <v>25</v>
      </c>
      <c r="D83" s="331">
        <f t="shared" si="36"/>
        <v>1</v>
      </c>
      <c r="E83" s="7">
        <v>0</v>
      </c>
      <c r="F83" s="332" t="str">
        <f t="shared" si="37"/>
        <v>&gt;</v>
      </c>
      <c r="G83" s="333">
        <f t="shared" si="38"/>
        <v>0</v>
      </c>
      <c r="H83" s="8"/>
      <c r="I83" s="334">
        <f t="shared" si="39"/>
        <v>0</v>
      </c>
      <c r="J83" s="305"/>
      <c r="K83" s="333">
        <f t="shared" si="31"/>
        <v>0</v>
      </c>
      <c r="L83" s="8"/>
      <c r="M83" s="334">
        <f t="shared" si="40"/>
        <v>0</v>
      </c>
      <c r="N83" s="265"/>
      <c r="O83" s="265"/>
      <c r="P83" s="265"/>
      <c r="R83" s="335">
        <f t="shared" si="32"/>
        <v>1</v>
      </c>
      <c r="S83" s="335">
        <f t="shared" si="41"/>
        <v>0</v>
      </c>
      <c r="T83" s="335">
        <f t="shared" si="42"/>
        <v>0</v>
      </c>
      <c r="U83" s="329"/>
      <c r="V83" s="336" t="str">
        <f t="shared" si="33"/>
        <v>1 t/m 0 TBs</v>
      </c>
      <c r="W83" s="336" t="str">
        <f t="shared" si="34"/>
        <v>1 t/m &gt; TBs</v>
      </c>
      <c r="X83" s="336" t="str">
        <f t="shared" si="35"/>
        <v>&gt; 0 TBs</v>
      </c>
    </row>
    <row r="84" spans="1:24" ht="15.6" x14ac:dyDescent="0.3">
      <c r="A84" s="269"/>
      <c r="B84" s="270"/>
      <c r="C84" s="337" t="s">
        <v>26</v>
      </c>
      <c r="D84" s="331">
        <f t="shared" si="36"/>
        <v>1</v>
      </c>
      <c r="E84" s="7">
        <v>0</v>
      </c>
      <c r="F84" s="332" t="str">
        <f t="shared" si="37"/>
        <v>&gt;</v>
      </c>
      <c r="G84" s="333">
        <f t="shared" si="38"/>
        <v>0</v>
      </c>
      <c r="H84" s="8"/>
      <c r="I84" s="334">
        <f t="shared" si="39"/>
        <v>0</v>
      </c>
      <c r="J84" s="305"/>
      <c r="K84" s="333">
        <f t="shared" si="31"/>
        <v>0</v>
      </c>
      <c r="L84" s="8"/>
      <c r="M84" s="334">
        <f t="shared" si="40"/>
        <v>0</v>
      </c>
      <c r="N84" s="265"/>
      <c r="O84" s="265"/>
      <c r="P84" s="265"/>
      <c r="R84" s="335">
        <f t="shared" si="32"/>
        <v>1</v>
      </c>
      <c r="S84" s="335">
        <f t="shared" si="41"/>
        <v>0</v>
      </c>
      <c r="T84" s="335">
        <f t="shared" si="42"/>
        <v>0</v>
      </c>
      <c r="U84" s="329"/>
      <c r="V84" s="336" t="str">
        <f t="shared" si="33"/>
        <v>1 t/m 0 TBs</v>
      </c>
      <c r="W84" s="336" t="str">
        <f t="shared" si="34"/>
        <v>1 t/m &gt; TBs</v>
      </c>
      <c r="X84" s="336" t="str">
        <f t="shared" si="35"/>
        <v>&gt; 0 TBs</v>
      </c>
    </row>
    <row r="85" spans="1:24" ht="15.6" x14ac:dyDescent="0.3">
      <c r="A85" s="269"/>
      <c r="B85" s="270"/>
      <c r="C85" s="337" t="s">
        <v>27</v>
      </c>
      <c r="D85" s="331">
        <f t="shared" si="36"/>
        <v>1</v>
      </c>
      <c r="E85" s="7">
        <v>0</v>
      </c>
      <c r="F85" s="332" t="str">
        <f t="shared" si="37"/>
        <v>&gt;</v>
      </c>
      <c r="G85" s="333">
        <f t="shared" si="38"/>
        <v>0</v>
      </c>
      <c r="H85" s="8"/>
      <c r="I85" s="334">
        <f t="shared" si="39"/>
        <v>0</v>
      </c>
      <c r="J85" s="305"/>
      <c r="K85" s="333">
        <f t="shared" si="31"/>
        <v>0</v>
      </c>
      <c r="L85" s="8"/>
      <c r="M85" s="334">
        <f t="shared" si="40"/>
        <v>0</v>
      </c>
      <c r="N85" s="265"/>
      <c r="O85" s="265"/>
      <c r="P85" s="265"/>
      <c r="R85" s="335">
        <f t="shared" si="32"/>
        <v>1</v>
      </c>
      <c r="S85" s="335">
        <f t="shared" si="41"/>
        <v>0</v>
      </c>
      <c r="T85" s="335">
        <f t="shared" si="42"/>
        <v>0</v>
      </c>
      <c r="U85" s="329"/>
      <c r="V85" s="336" t="str">
        <f t="shared" si="33"/>
        <v>1 t/m 0 TBs</v>
      </c>
      <c r="W85" s="336" t="str">
        <f t="shared" si="34"/>
        <v>1 t/m &gt; TBs</v>
      </c>
      <c r="X85" s="336" t="str">
        <f t="shared" si="35"/>
        <v>&gt; 0 TBs</v>
      </c>
    </row>
    <row r="86" spans="1:24" ht="15.6" x14ac:dyDescent="0.3">
      <c r="A86" s="269"/>
      <c r="B86" s="270"/>
      <c r="C86" s="338" t="s">
        <v>28</v>
      </c>
      <c r="D86" s="331">
        <f t="shared" si="36"/>
        <v>1</v>
      </c>
      <c r="E86" s="7"/>
      <c r="F86" s="332" t="str">
        <f t="shared" si="37"/>
        <v>&gt;</v>
      </c>
      <c r="G86" s="333">
        <f t="shared" si="38"/>
        <v>0</v>
      </c>
      <c r="H86" s="8"/>
      <c r="I86" s="334">
        <f t="shared" si="39"/>
        <v>0</v>
      </c>
      <c r="J86" s="305"/>
      <c r="K86" s="333">
        <f t="shared" si="31"/>
        <v>0</v>
      </c>
      <c r="L86" s="8"/>
      <c r="M86" s="334">
        <f t="shared" si="40"/>
        <v>0</v>
      </c>
      <c r="N86" s="265"/>
      <c r="O86" s="265"/>
      <c r="P86" s="265"/>
      <c r="R86" s="335">
        <f t="shared" si="32"/>
        <v>1</v>
      </c>
      <c r="S86" s="335">
        <f t="shared" si="41"/>
        <v>0</v>
      </c>
      <c r="T86" s="335">
        <f t="shared" si="42"/>
        <v>0</v>
      </c>
      <c r="U86" s="328"/>
      <c r="V86" s="336" t="str">
        <f t="shared" si="33"/>
        <v>1 t/m  TBs</v>
      </c>
      <c r="W86" s="336" t="str">
        <f t="shared" si="34"/>
        <v>1 t/m &gt; TBs</v>
      </c>
      <c r="X86" s="336" t="str">
        <f t="shared" si="35"/>
        <v>&gt; 0 TBs</v>
      </c>
    </row>
    <row r="87" spans="1:24" ht="15.6" x14ac:dyDescent="0.3">
      <c r="A87" s="269"/>
      <c r="B87" s="270"/>
      <c r="C87" s="472" t="s">
        <v>60</v>
      </c>
      <c r="D87" s="472"/>
      <c r="E87" s="472"/>
      <c r="F87" s="472"/>
      <c r="G87" s="472"/>
      <c r="H87" s="339"/>
      <c r="I87" s="340" t="str">
        <f>IF(S87=0,"OK","Fout !")</f>
        <v>OK</v>
      </c>
      <c r="J87" s="341" t="s">
        <v>38</v>
      </c>
      <c r="K87" s="305"/>
      <c r="L87" s="339"/>
      <c r="M87" s="340" t="str">
        <f>IF(T87=0,"OK","Fout !")</f>
        <v>OK</v>
      </c>
      <c r="N87" s="265"/>
      <c r="O87" s="265"/>
      <c r="P87" s="265"/>
      <c r="R87" s="342"/>
      <c r="S87" s="335">
        <f>SUM(S78:S86)</f>
        <v>0</v>
      </c>
      <c r="T87" s="335">
        <f>SUM(T78:T86)</f>
        <v>0</v>
      </c>
      <c r="U87" s="328"/>
      <c r="V87" s="328"/>
      <c r="W87" s="328"/>
      <c r="X87" s="328"/>
    </row>
    <row r="88" spans="1:24" ht="15.6" x14ac:dyDescent="0.3">
      <c r="A88" s="269"/>
      <c r="B88" s="270"/>
      <c r="C88" s="472"/>
      <c r="D88" s="472"/>
      <c r="E88" s="472"/>
      <c r="F88" s="472"/>
      <c r="G88" s="472"/>
      <c r="H88" s="339"/>
      <c r="I88" s="339"/>
      <c r="J88" s="305"/>
      <c r="K88" s="305"/>
      <c r="L88" s="305"/>
      <c r="M88" s="305"/>
      <c r="N88" s="265"/>
      <c r="O88" s="265"/>
      <c r="P88" s="265"/>
    </row>
    <row r="89" spans="1:24" ht="15" thickBot="1" x14ac:dyDescent="0.35">
      <c r="A89" s="269"/>
      <c r="B89" s="270"/>
      <c r="C89" s="300"/>
      <c r="D89" s="300"/>
      <c r="E89" s="300"/>
      <c r="F89" s="300"/>
      <c r="G89" s="300"/>
      <c r="H89" s="300"/>
      <c r="I89" s="300"/>
      <c r="J89" s="300"/>
      <c r="K89" s="300"/>
      <c r="L89" s="300"/>
      <c r="M89" s="300"/>
      <c r="N89" s="263"/>
      <c r="O89" s="263"/>
      <c r="P89" s="263"/>
    </row>
    <row r="90" spans="1:24" ht="14.4" x14ac:dyDescent="0.3">
      <c r="A90" s="269"/>
      <c r="B90" s="270"/>
      <c r="C90" s="270"/>
      <c r="D90" s="270"/>
      <c r="E90" s="270"/>
      <c r="F90" s="270"/>
      <c r="G90" s="270"/>
      <c r="H90" s="270"/>
      <c r="I90" s="270"/>
      <c r="J90" s="270"/>
      <c r="K90" s="270"/>
      <c r="L90" s="270"/>
      <c r="M90" s="270"/>
      <c r="N90" s="265"/>
      <c r="O90" s="265"/>
      <c r="P90" s="265"/>
    </row>
    <row r="91" spans="1:24" ht="15.6" x14ac:dyDescent="0.3">
      <c r="A91" s="269"/>
      <c r="B91" s="270"/>
      <c r="C91" s="172" t="s">
        <v>233</v>
      </c>
      <c r="D91" s="267"/>
      <c r="E91" s="267"/>
      <c r="F91" s="268"/>
      <c r="G91" s="268"/>
      <c r="H91" s="268"/>
      <c r="I91" s="268"/>
      <c r="J91" s="268"/>
      <c r="K91" s="268"/>
      <c r="L91" s="268"/>
      <c r="M91" s="268"/>
      <c r="N91" s="268"/>
      <c r="O91" s="268"/>
      <c r="P91" s="268"/>
    </row>
    <row r="92" spans="1:24" ht="14.4" x14ac:dyDescent="0.3">
      <c r="A92" s="269"/>
      <c r="B92" s="270"/>
      <c r="C92" s="265"/>
      <c r="D92" s="265"/>
      <c r="E92" s="266"/>
      <c r="F92" s="265"/>
      <c r="G92" s="265"/>
      <c r="H92" s="265"/>
      <c r="I92" s="265"/>
      <c r="J92" s="265"/>
      <c r="K92" s="265"/>
      <c r="L92" s="265"/>
      <c r="M92" s="265"/>
      <c r="N92" s="265"/>
      <c r="O92" s="265"/>
      <c r="P92" s="265"/>
    </row>
    <row r="93" spans="1:24" ht="14.4" x14ac:dyDescent="0.3">
      <c r="A93" s="269"/>
      <c r="B93" s="270"/>
      <c r="C93" s="265"/>
      <c r="D93" s="173" t="s">
        <v>46</v>
      </c>
      <c r="E93" s="266"/>
      <c r="F93" s="265"/>
      <c r="G93" s="265"/>
      <c r="H93" s="265"/>
      <c r="I93" s="265"/>
      <c r="J93" s="265"/>
      <c r="K93" s="265"/>
      <c r="L93" s="265"/>
      <c r="M93" s="265"/>
      <c r="N93" s="265"/>
      <c r="O93" s="265"/>
      <c r="P93" s="265"/>
    </row>
    <row r="94" spans="1:24" ht="21" customHeight="1" x14ac:dyDescent="0.3">
      <c r="A94" s="269"/>
      <c r="B94" s="273">
        <v>1</v>
      </c>
      <c r="C94" s="345" t="s">
        <v>148</v>
      </c>
      <c r="D94" s="346" t="s">
        <v>281</v>
      </c>
      <c r="E94" s="347"/>
      <c r="F94" s="347"/>
      <c r="G94" s="348"/>
      <c r="H94" s="349"/>
      <c r="I94" s="350"/>
      <c r="J94" s="350"/>
      <c r="K94" s="349"/>
      <c r="L94" s="349"/>
      <c r="M94" s="349"/>
      <c r="N94" s="349"/>
      <c r="O94" s="350"/>
      <c r="P94" s="350"/>
    </row>
    <row r="95" spans="1:24" ht="57.6" x14ac:dyDescent="0.3">
      <c r="A95" s="269"/>
      <c r="B95" s="270"/>
      <c r="C95" s="173" t="s">
        <v>7</v>
      </c>
      <c r="D95" s="173" t="s">
        <v>31</v>
      </c>
      <c r="E95" s="173" t="s">
        <v>32</v>
      </c>
      <c r="F95" s="271" t="s">
        <v>55</v>
      </c>
      <c r="G95" s="271" t="s">
        <v>54</v>
      </c>
      <c r="H95" s="271" t="s">
        <v>147</v>
      </c>
      <c r="I95" s="271" t="s">
        <v>33</v>
      </c>
      <c r="J95" s="271" t="s">
        <v>69</v>
      </c>
      <c r="K95" s="349"/>
      <c r="L95" s="271" t="s">
        <v>234</v>
      </c>
      <c r="M95" s="271" t="s">
        <v>147</v>
      </c>
      <c r="N95" s="271" t="s">
        <v>55</v>
      </c>
      <c r="O95" s="271" t="s">
        <v>235</v>
      </c>
      <c r="P95" s="271" t="s">
        <v>71</v>
      </c>
    </row>
    <row r="96" spans="1:24" ht="15" thickBot="1" x14ac:dyDescent="0.35">
      <c r="A96" s="269"/>
      <c r="B96" s="270"/>
      <c r="C96" s="55"/>
      <c r="D96" s="54"/>
      <c r="E96" s="54"/>
      <c r="F96" s="56">
        <v>0</v>
      </c>
      <c r="G96" s="57"/>
      <c r="H96" s="58"/>
      <c r="I96" s="351">
        <f>IF(ISERROR(+G96*(1-H96)),"",+G96*(1-H96))</f>
        <v>0</v>
      </c>
      <c r="J96" s="204">
        <f t="shared" ref="J96" si="43">IF(ISERROR(+I96*F96),"",+I96*F96)</f>
        <v>0</v>
      </c>
      <c r="K96" s="349"/>
      <c r="L96" s="59"/>
      <c r="M96" s="60"/>
      <c r="N96" s="352">
        <f>+F96</f>
        <v>0</v>
      </c>
      <c r="O96" s="351">
        <f>IF(ISERROR(+L96*(1-M96)),"",+L96*(1-(M96)))</f>
        <v>0</v>
      </c>
      <c r="P96" s="204">
        <f>IF(ISERROR(+O96*N96),"",+O96*N96)</f>
        <v>0</v>
      </c>
    </row>
    <row r="97" spans="1:17" ht="16.2" thickTop="1" x14ac:dyDescent="0.3">
      <c r="A97" s="269"/>
      <c r="B97" s="270"/>
      <c r="C97" s="353" t="s">
        <v>0</v>
      </c>
      <c r="D97" s="354"/>
      <c r="E97" s="347"/>
      <c r="F97" s="347"/>
      <c r="G97" s="348"/>
      <c r="H97" s="349" t="s">
        <v>0</v>
      </c>
      <c r="I97" s="350"/>
      <c r="J97" s="350"/>
      <c r="K97" s="349"/>
      <c r="L97" s="349"/>
      <c r="M97" s="349"/>
      <c r="N97" s="349"/>
      <c r="O97" s="350"/>
      <c r="P97" s="350"/>
    </row>
    <row r="98" spans="1:17" ht="21" x14ac:dyDescent="0.3">
      <c r="A98" s="269"/>
      <c r="B98" s="270"/>
      <c r="C98" s="355" t="s">
        <v>67</v>
      </c>
      <c r="D98" s="354"/>
      <c r="E98" s="347"/>
      <c r="F98" s="347"/>
      <c r="G98" s="348"/>
      <c r="H98" s="349"/>
      <c r="I98" s="350"/>
      <c r="J98" s="350"/>
      <c r="K98" s="349"/>
      <c r="L98" s="349"/>
      <c r="M98" s="349"/>
      <c r="N98" s="349"/>
      <c r="O98" s="350"/>
      <c r="P98" s="350"/>
    </row>
    <row r="99" spans="1:17" ht="28.8" x14ac:dyDescent="0.3">
      <c r="A99" s="269"/>
      <c r="B99" s="270"/>
      <c r="C99" s="173" t="s">
        <v>7</v>
      </c>
      <c r="D99" s="173" t="s">
        <v>31</v>
      </c>
      <c r="E99" s="173" t="s">
        <v>32</v>
      </c>
      <c r="F99" s="271" t="s">
        <v>249</v>
      </c>
      <c r="G99" s="348"/>
      <c r="H99" s="349"/>
      <c r="I99" s="350"/>
      <c r="J99" s="350"/>
      <c r="K99" s="349"/>
      <c r="L99" s="349"/>
      <c r="M99" s="349"/>
      <c r="N99" s="349"/>
      <c r="O99" s="350"/>
      <c r="P99" s="350"/>
      <c r="Q99" s="226"/>
    </row>
    <row r="100" spans="1:17" ht="15.6" x14ac:dyDescent="0.3">
      <c r="A100" s="269"/>
      <c r="B100" s="270"/>
      <c r="C100" s="55"/>
      <c r="D100" s="54"/>
      <c r="E100" s="54"/>
      <c r="F100" s="61"/>
      <c r="G100" s="348"/>
      <c r="H100" s="349"/>
      <c r="I100" s="350"/>
      <c r="J100" s="350"/>
      <c r="K100" s="349"/>
      <c r="L100" s="349"/>
      <c r="M100" s="349"/>
      <c r="N100" s="349"/>
      <c r="O100" s="350"/>
      <c r="P100" s="350"/>
      <c r="Q100" s="226"/>
    </row>
    <row r="101" spans="1:17" ht="15.6" x14ac:dyDescent="0.3">
      <c r="A101" s="269"/>
      <c r="B101" s="270"/>
      <c r="C101" s="55"/>
      <c r="D101" s="54"/>
      <c r="E101" s="54"/>
      <c r="F101" s="61"/>
      <c r="G101" s="348"/>
      <c r="H101" s="349"/>
      <c r="I101" s="350"/>
      <c r="J101" s="350"/>
      <c r="K101" s="349"/>
      <c r="L101" s="349"/>
      <c r="M101" s="349"/>
      <c r="N101" s="349"/>
      <c r="O101" s="350"/>
      <c r="P101" s="350"/>
      <c r="Q101" s="356" t="s">
        <v>0</v>
      </c>
    </row>
    <row r="102" spans="1:17" ht="15.6" x14ac:dyDescent="0.3">
      <c r="A102" s="269"/>
      <c r="B102" s="270"/>
      <c r="C102" s="55"/>
      <c r="D102" s="54"/>
      <c r="E102" s="54"/>
      <c r="F102" s="61"/>
      <c r="G102" s="348"/>
      <c r="H102" s="349"/>
      <c r="I102" s="350"/>
      <c r="J102" s="350"/>
      <c r="K102" s="349"/>
      <c r="L102" s="349"/>
      <c r="M102" s="349"/>
      <c r="N102" s="349"/>
      <c r="O102" s="350"/>
      <c r="P102" s="350"/>
      <c r="Q102" s="356"/>
    </row>
    <row r="103" spans="1:17" ht="15.6" x14ac:dyDescent="0.3">
      <c r="A103" s="269"/>
      <c r="B103" s="270"/>
      <c r="C103" s="55"/>
      <c r="D103" s="54"/>
      <c r="E103" s="54"/>
      <c r="F103" s="61"/>
      <c r="G103" s="348"/>
      <c r="H103" s="349"/>
      <c r="I103" s="350"/>
      <c r="J103" s="350"/>
      <c r="K103" s="349"/>
      <c r="L103" s="349"/>
      <c r="M103" s="349"/>
      <c r="N103" s="349"/>
      <c r="O103" s="350"/>
      <c r="P103" s="350"/>
      <c r="Q103" s="356"/>
    </row>
    <row r="104" spans="1:17" ht="15.6" x14ac:dyDescent="0.3">
      <c r="A104" s="269"/>
      <c r="B104" s="270"/>
      <c r="C104" s="55"/>
      <c r="D104" s="54"/>
      <c r="E104" s="54"/>
      <c r="F104" s="61"/>
      <c r="G104" s="348"/>
      <c r="H104" s="349"/>
      <c r="I104" s="350"/>
      <c r="J104" s="350"/>
      <c r="K104" s="349"/>
      <c r="L104" s="349"/>
      <c r="M104" s="349"/>
      <c r="N104" s="349"/>
      <c r="O104" s="350"/>
      <c r="P104" s="350"/>
      <c r="Q104" s="356"/>
    </row>
    <row r="105" spans="1:17" ht="15.6" x14ac:dyDescent="0.3">
      <c r="A105" s="269"/>
      <c r="B105" s="270"/>
      <c r="C105" s="55"/>
      <c r="D105" s="54"/>
      <c r="E105" s="54"/>
      <c r="F105" s="61"/>
      <c r="G105" s="348"/>
      <c r="H105" s="349"/>
      <c r="I105" s="350"/>
      <c r="J105" s="350"/>
      <c r="K105" s="349"/>
      <c r="L105" s="349"/>
      <c r="M105" s="349"/>
      <c r="N105" s="349"/>
      <c r="O105" s="350"/>
      <c r="P105" s="350"/>
      <c r="Q105" s="356"/>
    </row>
    <row r="106" spans="1:17" ht="15.6" x14ac:dyDescent="0.3">
      <c r="A106" s="269"/>
      <c r="B106" s="270"/>
      <c r="C106" s="55"/>
      <c r="D106" s="54"/>
      <c r="E106" s="54"/>
      <c r="F106" s="61"/>
      <c r="G106" s="348"/>
      <c r="H106" s="349"/>
      <c r="I106" s="350"/>
      <c r="J106" s="350"/>
      <c r="K106" s="349"/>
      <c r="L106" s="349"/>
      <c r="M106" s="349"/>
      <c r="N106" s="349"/>
      <c r="O106" s="350"/>
      <c r="P106" s="350"/>
      <c r="Q106" s="356"/>
    </row>
    <row r="107" spans="1:17" ht="15.6" x14ac:dyDescent="0.3">
      <c r="A107" s="269"/>
      <c r="B107" s="270"/>
      <c r="C107" s="55"/>
      <c r="D107" s="54"/>
      <c r="E107" s="54"/>
      <c r="F107" s="61"/>
      <c r="G107" s="348"/>
      <c r="H107" s="349"/>
      <c r="I107" s="350"/>
      <c r="J107" s="350"/>
      <c r="K107" s="349"/>
      <c r="L107" s="349"/>
      <c r="M107" s="349"/>
      <c r="N107" s="349"/>
      <c r="O107" s="350"/>
      <c r="P107" s="350"/>
      <c r="Q107" s="356"/>
    </row>
    <row r="108" spans="1:17" ht="15.6" x14ac:dyDescent="0.3">
      <c r="A108" s="269"/>
      <c r="B108" s="270"/>
      <c r="C108" s="55"/>
      <c r="D108" s="54"/>
      <c r="E108" s="54"/>
      <c r="F108" s="61"/>
      <c r="G108" s="348"/>
      <c r="H108" s="349"/>
      <c r="I108" s="350"/>
      <c r="J108" s="350"/>
      <c r="K108" s="349"/>
      <c r="L108" s="349"/>
      <c r="M108" s="349"/>
      <c r="N108" s="349"/>
      <c r="O108" s="350"/>
      <c r="P108" s="350"/>
      <c r="Q108" s="356"/>
    </row>
    <row r="109" spans="1:17" ht="15.6" x14ac:dyDescent="0.3">
      <c r="A109" s="269"/>
      <c r="B109" s="270"/>
      <c r="C109" s="55"/>
      <c r="D109" s="54"/>
      <c r="E109" s="54"/>
      <c r="F109" s="61"/>
      <c r="G109" s="348"/>
      <c r="H109" s="349"/>
      <c r="I109" s="350"/>
      <c r="J109" s="350"/>
      <c r="K109" s="349"/>
      <c r="L109" s="349"/>
      <c r="M109" s="349"/>
      <c r="N109" s="349"/>
      <c r="O109" s="350"/>
      <c r="P109" s="350"/>
      <c r="Q109" s="356"/>
    </row>
    <row r="110" spans="1:17" ht="15.6" x14ac:dyDescent="0.3">
      <c r="A110" s="269"/>
      <c r="B110" s="270"/>
      <c r="C110" s="55"/>
      <c r="D110" s="54"/>
      <c r="E110" s="54"/>
      <c r="F110" s="61"/>
      <c r="G110" s="348"/>
      <c r="H110" s="349"/>
      <c r="I110" s="350"/>
      <c r="J110" s="350"/>
      <c r="K110" s="349"/>
      <c r="L110" s="349"/>
      <c r="M110" s="349"/>
      <c r="N110" s="349"/>
      <c r="O110" s="350"/>
      <c r="P110" s="350"/>
      <c r="Q110" s="356"/>
    </row>
    <row r="111" spans="1:17" ht="15.6" x14ac:dyDescent="0.3">
      <c r="A111" s="269"/>
      <c r="B111" s="270"/>
      <c r="C111" s="55"/>
      <c r="D111" s="54"/>
      <c r="E111" s="54"/>
      <c r="F111" s="61"/>
      <c r="G111" s="348"/>
      <c r="H111" s="349"/>
      <c r="I111" s="350"/>
      <c r="J111" s="350"/>
      <c r="K111" s="349"/>
      <c r="L111" s="349"/>
      <c r="M111" s="349"/>
      <c r="N111" s="349"/>
      <c r="O111" s="350"/>
      <c r="P111" s="350"/>
      <c r="Q111" s="356"/>
    </row>
    <row r="112" spans="1:17" ht="15.6" x14ac:dyDescent="0.3">
      <c r="A112" s="269"/>
      <c r="B112" s="270"/>
      <c r="C112" s="55"/>
      <c r="D112" s="54"/>
      <c r="E112" s="54"/>
      <c r="F112" s="61"/>
      <c r="G112" s="348"/>
      <c r="H112" s="349"/>
      <c r="I112" s="350"/>
      <c r="J112" s="350"/>
      <c r="K112" s="349"/>
      <c r="L112" s="349"/>
      <c r="M112" s="349"/>
      <c r="N112" s="349"/>
      <c r="O112" s="350"/>
      <c r="P112" s="350"/>
      <c r="Q112" s="356"/>
    </row>
    <row r="113" spans="1:17" ht="15.6" x14ac:dyDescent="0.3">
      <c r="A113" s="269"/>
      <c r="B113" s="270"/>
      <c r="C113" s="55"/>
      <c r="D113" s="54"/>
      <c r="E113" s="54"/>
      <c r="F113" s="61"/>
      <c r="G113" s="348"/>
      <c r="H113" s="349"/>
      <c r="I113" s="350"/>
      <c r="J113" s="350"/>
      <c r="K113" s="349"/>
      <c r="L113" s="349"/>
      <c r="M113" s="349"/>
      <c r="N113" s="349"/>
      <c r="O113" s="350"/>
      <c r="P113" s="350"/>
      <c r="Q113" s="356"/>
    </row>
    <row r="114" spans="1:17" ht="15.6" x14ac:dyDescent="0.3">
      <c r="A114" s="269"/>
      <c r="B114" s="270"/>
      <c r="C114" s="55"/>
      <c r="D114" s="54"/>
      <c r="E114" s="54"/>
      <c r="F114" s="61"/>
      <c r="G114" s="348"/>
      <c r="H114" s="349"/>
      <c r="I114" s="350"/>
      <c r="J114" s="350"/>
      <c r="K114" s="349"/>
      <c r="L114" s="349"/>
      <c r="M114" s="349"/>
      <c r="N114" s="349"/>
      <c r="O114" s="350"/>
      <c r="P114" s="350"/>
      <c r="Q114" s="356"/>
    </row>
    <row r="115" spans="1:17" ht="15.6" x14ac:dyDescent="0.3">
      <c r="A115" s="269"/>
      <c r="B115" s="270"/>
      <c r="C115" s="55"/>
      <c r="D115" s="54"/>
      <c r="E115" s="54"/>
      <c r="F115" s="61"/>
      <c r="G115" s="348"/>
      <c r="H115" s="349"/>
      <c r="I115" s="350"/>
      <c r="J115" s="350"/>
      <c r="K115" s="349"/>
      <c r="L115" s="349"/>
      <c r="M115" s="349"/>
      <c r="N115" s="349"/>
      <c r="O115" s="350"/>
      <c r="P115" s="350"/>
      <c r="Q115" s="356"/>
    </row>
    <row r="116" spans="1:17" ht="15.6" x14ac:dyDescent="0.3">
      <c r="A116" s="269"/>
      <c r="B116" s="270"/>
      <c r="C116" s="55"/>
      <c r="D116" s="54"/>
      <c r="E116" s="54"/>
      <c r="F116" s="61"/>
      <c r="G116" s="348"/>
      <c r="H116" s="349"/>
      <c r="I116" s="350"/>
      <c r="J116" s="350"/>
      <c r="K116" s="349"/>
      <c r="L116" s="349"/>
      <c r="M116" s="349"/>
      <c r="N116" s="349"/>
      <c r="O116" s="350"/>
      <c r="P116" s="350"/>
      <c r="Q116" s="356"/>
    </row>
    <row r="117" spans="1:17" ht="15.6" x14ac:dyDescent="0.3">
      <c r="A117" s="269"/>
      <c r="B117" s="270"/>
      <c r="C117" s="55"/>
      <c r="D117" s="54"/>
      <c r="E117" s="54"/>
      <c r="F117" s="61"/>
      <c r="G117" s="348"/>
      <c r="H117" s="349"/>
      <c r="I117" s="350"/>
      <c r="J117" s="350"/>
      <c r="K117" s="349"/>
      <c r="L117" s="349"/>
      <c r="M117" s="349"/>
      <c r="N117" s="349"/>
      <c r="O117" s="350"/>
      <c r="P117" s="350"/>
      <c r="Q117" s="356"/>
    </row>
    <row r="118" spans="1:17" ht="15.6" x14ac:dyDescent="0.3">
      <c r="A118" s="269"/>
      <c r="B118" s="270"/>
      <c r="C118" s="55"/>
      <c r="D118" s="54"/>
      <c r="E118" s="54"/>
      <c r="F118" s="61"/>
      <c r="G118" s="348"/>
      <c r="H118" s="349"/>
      <c r="I118" s="350"/>
      <c r="J118" s="350"/>
      <c r="K118" s="349"/>
      <c r="L118" s="349"/>
      <c r="M118" s="349"/>
      <c r="N118" s="349"/>
      <c r="O118" s="350"/>
      <c r="P118" s="350"/>
      <c r="Q118" s="226" t="s">
        <v>0</v>
      </c>
    </row>
    <row r="119" spans="1:17" ht="15.6" x14ac:dyDescent="0.3">
      <c r="A119" s="269"/>
      <c r="B119" s="270"/>
      <c r="C119" s="55"/>
      <c r="D119" s="54"/>
      <c r="E119" s="54"/>
      <c r="F119" s="61"/>
      <c r="G119" s="348"/>
      <c r="H119" s="349"/>
      <c r="I119" s="350"/>
      <c r="J119" s="350"/>
      <c r="K119" s="349"/>
      <c r="L119" s="349"/>
      <c r="M119" s="349"/>
      <c r="N119" s="349"/>
      <c r="O119" s="350"/>
      <c r="P119" s="350"/>
      <c r="Q119" s="226"/>
    </row>
    <row r="120" spans="1:17" ht="15.6" x14ac:dyDescent="0.3">
      <c r="A120" s="269"/>
      <c r="B120" s="270"/>
      <c r="C120" s="55"/>
      <c r="D120" s="54"/>
      <c r="E120" s="54"/>
      <c r="F120" s="61"/>
      <c r="G120" s="348"/>
      <c r="H120" s="349"/>
      <c r="I120" s="350"/>
      <c r="J120" s="350"/>
      <c r="K120" s="349"/>
      <c r="L120" s="349"/>
      <c r="M120" s="349"/>
      <c r="N120" s="349"/>
      <c r="O120" s="350"/>
      <c r="P120" s="350"/>
      <c r="Q120" s="226"/>
    </row>
    <row r="121" spans="1:17" ht="15.6" x14ac:dyDescent="0.3">
      <c r="A121" s="269"/>
      <c r="B121" s="270"/>
      <c r="C121" s="55"/>
      <c r="D121" s="54"/>
      <c r="E121" s="54"/>
      <c r="F121" s="61"/>
      <c r="G121" s="348"/>
      <c r="H121" s="349"/>
      <c r="I121" s="350"/>
      <c r="J121" s="350"/>
      <c r="K121" s="349"/>
      <c r="L121" s="349"/>
      <c r="M121" s="349"/>
      <c r="N121" s="349"/>
      <c r="O121" s="350"/>
      <c r="P121" s="350"/>
      <c r="Q121" s="226"/>
    </row>
    <row r="122" spans="1:17" ht="15.6" x14ac:dyDescent="0.3">
      <c r="A122" s="269"/>
      <c r="B122" s="270"/>
      <c r="C122" s="55"/>
      <c r="D122" s="54"/>
      <c r="E122" s="54"/>
      <c r="F122" s="61"/>
      <c r="G122" s="348"/>
      <c r="H122" s="349"/>
      <c r="I122" s="350"/>
      <c r="J122" s="350"/>
      <c r="K122" s="349"/>
      <c r="L122" s="349"/>
      <c r="M122" s="349"/>
      <c r="N122" s="349"/>
      <c r="O122" s="350"/>
      <c r="P122" s="350"/>
      <c r="Q122" s="226"/>
    </row>
    <row r="123" spans="1:17" ht="15.6" x14ac:dyDescent="0.3">
      <c r="A123" s="269"/>
      <c r="B123" s="270"/>
      <c r="C123" s="55"/>
      <c r="D123" s="54"/>
      <c r="E123" s="54"/>
      <c r="F123" s="61"/>
      <c r="G123" s="348"/>
      <c r="H123" s="349"/>
      <c r="I123" s="350"/>
      <c r="J123" s="350"/>
      <c r="K123" s="349"/>
      <c r="L123" s="349"/>
      <c r="M123" s="349"/>
      <c r="N123" s="349"/>
      <c r="O123" s="350"/>
      <c r="P123" s="350"/>
      <c r="Q123" s="226"/>
    </row>
    <row r="124" spans="1:17" ht="15.6" x14ac:dyDescent="0.3">
      <c r="A124" s="269"/>
      <c r="B124" s="270"/>
      <c r="C124" s="55"/>
      <c r="D124" s="54"/>
      <c r="E124" s="54"/>
      <c r="F124" s="61"/>
      <c r="G124" s="348"/>
      <c r="H124" s="349"/>
      <c r="I124" s="350"/>
      <c r="J124" s="350"/>
      <c r="K124" s="349"/>
      <c r="L124" s="349"/>
      <c r="M124" s="349"/>
      <c r="N124" s="349"/>
      <c r="O124" s="350"/>
      <c r="P124" s="350"/>
      <c r="Q124" s="226"/>
    </row>
    <row r="125" spans="1:17" ht="14.4" x14ac:dyDescent="0.3">
      <c r="A125" s="269"/>
      <c r="B125" s="270"/>
      <c r="C125" s="357" t="s">
        <v>34</v>
      </c>
      <c r="D125" s="358"/>
      <c r="E125" s="358"/>
      <c r="F125" s="359"/>
      <c r="G125" s="360"/>
      <c r="H125" s="350"/>
      <c r="I125" s="349"/>
      <c r="J125" s="349"/>
      <c r="K125" s="349"/>
      <c r="L125" s="349"/>
      <c r="M125" s="350"/>
      <c r="N125" s="350"/>
      <c r="O125" s="349"/>
      <c r="P125" s="361"/>
    </row>
    <row r="126" spans="1:17" ht="15" thickBot="1" x14ac:dyDescent="0.35">
      <c r="A126" s="269"/>
      <c r="B126" s="270"/>
      <c r="C126" s="362"/>
      <c r="D126" s="362"/>
      <c r="E126" s="363"/>
      <c r="F126" s="263"/>
      <c r="G126" s="263"/>
      <c r="H126" s="263"/>
      <c r="I126" s="364"/>
      <c r="J126" s="364"/>
      <c r="K126" s="263"/>
      <c r="L126" s="263"/>
      <c r="M126" s="263"/>
      <c r="N126" s="263"/>
      <c r="O126" s="364"/>
      <c r="P126" s="364"/>
      <c r="Q126" s="226"/>
    </row>
    <row r="127" spans="1:17" ht="14.4" x14ac:dyDescent="0.3">
      <c r="A127" s="269"/>
      <c r="B127" s="270"/>
      <c r="C127" s="265"/>
      <c r="D127" s="265"/>
      <c r="E127" s="266"/>
      <c r="F127" s="265"/>
      <c r="G127" s="265"/>
      <c r="H127" s="265"/>
      <c r="I127" s="265"/>
      <c r="J127" s="265"/>
      <c r="K127" s="265"/>
      <c r="L127" s="265"/>
      <c r="M127" s="265"/>
      <c r="N127" s="265"/>
      <c r="O127" s="265"/>
      <c r="P127" s="265"/>
    </row>
    <row r="128" spans="1:17" ht="14.4" x14ac:dyDescent="0.3">
      <c r="A128" s="269"/>
      <c r="B128" s="270"/>
      <c r="C128" s="265"/>
      <c r="D128" s="173" t="s">
        <v>83</v>
      </c>
      <c r="E128" s="266"/>
      <c r="F128" s="265"/>
      <c r="G128" s="265"/>
      <c r="H128" s="265"/>
      <c r="I128" s="265"/>
      <c r="J128" s="265"/>
      <c r="K128" s="265"/>
      <c r="L128" s="265"/>
      <c r="M128" s="265"/>
      <c r="N128" s="265"/>
      <c r="O128" s="265"/>
      <c r="P128" s="265"/>
    </row>
    <row r="129" spans="1:17" ht="42" x14ac:dyDescent="0.3">
      <c r="A129" s="269"/>
      <c r="B129" s="273">
        <v>2</v>
      </c>
      <c r="C129" s="345" t="s">
        <v>148</v>
      </c>
      <c r="D129" s="346" t="s">
        <v>280</v>
      </c>
      <c r="E129" s="347"/>
      <c r="F129" s="347"/>
      <c r="G129" s="348"/>
      <c r="H129" s="349"/>
      <c r="I129" s="350"/>
      <c r="J129" s="350"/>
      <c r="K129" s="349"/>
      <c r="L129" s="349"/>
      <c r="M129" s="349"/>
      <c r="N129" s="349"/>
      <c r="O129" s="350"/>
      <c r="P129" s="350"/>
    </row>
    <row r="130" spans="1:17" ht="72" x14ac:dyDescent="0.3">
      <c r="A130" s="269"/>
      <c r="B130" s="270"/>
      <c r="C130" s="173" t="s">
        <v>7</v>
      </c>
      <c r="D130" s="173" t="s">
        <v>31</v>
      </c>
      <c r="E130" s="173" t="s">
        <v>32</v>
      </c>
      <c r="F130" s="271" t="s">
        <v>55</v>
      </c>
      <c r="G130" s="271" t="s">
        <v>54</v>
      </c>
      <c r="H130" s="271" t="s">
        <v>147</v>
      </c>
      <c r="I130" s="271" t="s">
        <v>33</v>
      </c>
      <c r="J130" s="271" t="s">
        <v>69</v>
      </c>
      <c r="K130" s="349"/>
      <c r="L130" s="271" t="s">
        <v>250</v>
      </c>
      <c r="M130" s="271" t="s">
        <v>147</v>
      </c>
      <c r="N130" s="271" t="s">
        <v>55</v>
      </c>
      <c r="O130" s="271" t="s">
        <v>235</v>
      </c>
      <c r="P130" s="271" t="s">
        <v>71</v>
      </c>
    </row>
    <row r="131" spans="1:17" ht="15" thickBot="1" x14ac:dyDescent="0.35">
      <c r="A131" s="269"/>
      <c r="B131" s="270"/>
      <c r="C131" s="55"/>
      <c r="D131" s="54"/>
      <c r="E131" s="54"/>
      <c r="F131" s="56"/>
      <c r="G131" s="57"/>
      <c r="H131" s="58"/>
      <c r="I131" s="351">
        <f>IF(ISERROR(+G131*(1-H131)),"",+G131*(1-H131))</f>
        <v>0</v>
      </c>
      <c r="J131" s="204">
        <f t="shared" ref="J131" si="44">IF(ISERROR(+I131*F131),"",+I131*F131)</f>
        <v>0</v>
      </c>
      <c r="K131" s="349"/>
      <c r="L131" s="59"/>
      <c r="M131" s="60"/>
      <c r="N131" s="352">
        <v>1</v>
      </c>
      <c r="O131" s="351">
        <f>IF(ISERROR(+L131*(1-M131)),"",+L131*(1-(M131)))</f>
        <v>0</v>
      </c>
      <c r="P131" s="204">
        <f>IF(ISERROR(+O131*N131),"",+O131*N131)</f>
        <v>0</v>
      </c>
    </row>
    <row r="132" spans="1:17" ht="16.2" thickTop="1" x14ac:dyDescent="0.3">
      <c r="A132" s="269"/>
      <c r="B132" s="270"/>
      <c r="C132" s="353" t="s">
        <v>0</v>
      </c>
      <c r="D132" s="354"/>
      <c r="E132" s="347"/>
      <c r="F132" s="347"/>
      <c r="G132" s="348"/>
      <c r="H132" s="349"/>
      <c r="I132" s="350"/>
      <c r="J132" s="350"/>
      <c r="K132" s="349"/>
      <c r="L132" s="349"/>
      <c r="M132" s="349"/>
      <c r="N132" s="349"/>
      <c r="O132" s="350"/>
      <c r="P132" s="350"/>
    </row>
    <row r="133" spans="1:17" ht="21" x14ac:dyDescent="0.3">
      <c r="A133" s="269"/>
      <c r="B133" s="270"/>
      <c r="C133" s="355" t="s">
        <v>67</v>
      </c>
      <c r="D133" s="354"/>
      <c r="E133" s="347"/>
      <c r="F133" s="347"/>
      <c r="G133" s="348"/>
      <c r="H133" s="349"/>
      <c r="I133" s="350"/>
      <c r="J133" s="350"/>
      <c r="K133" s="349"/>
      <c r="L133" s="349"/>
      <c r="M133" s="349"/>
      <c r="N133" s="349"/>
      <c r="O133" s="350"/>
      <c r="P133" s="350"/>
    </row>
    <row r="134" spans="1:17" ht="28.8" x14ac:dyDescent="0.3">
      <c r="A134" s="269"/>
      <c r="B134" s="270"/>
      <c r="C134" s="173" t="s">
        <v>7</v>
      </c>
      <c r="D134" s="173" t="s">
        <v>31</v>
      </c>
      <c r="E134" s="173" t="s">
        <v>32</v>
      </c>
      <c r="F134" s="271" t="s">
        <v>55</v>
      </c>
      <c r="G134" s="348"/>
      <c r="H134" s="349"/>
      <c r="I134" s="350"/>
      <c r="J134" s="350"/>
      <c r="K134" s="349"/>
      <c r="L134" s="349"/>
      <c r="M134" s="349"/>
      <c r="N134" s="349"/>
      <c r="O134" s="350"/>
      <c r="P134" s="350"/>
      <c r="Q134" s="226"/>
    </row>
    <row r="135" spans="1:17" ht="15.6" x14ac:dyDescent="0.3">
      <c r="A135" s="269"/>
      <c r="B135" s="270"/>
      <c r="C135" s="55"/>
      <c r="D135" s="54"/>
      <c r="E135" s="54"/>
      <c r="F135" s="61"/>
      <c r="G135" s="348"/>
      <c r="H135" s="349"/>
      <c r="I135" s="350"/>
      <c r="J135" s="350"/>
      <c r="K135" s="349"/>
      <c r="L135" s="349"/>
      <c r="M135" s="349"/>
      <c r="N135" s="349"/>
      <c r="O135" s="350"/>
      <c r="P135" s="350"/>
      <c r="Q135" s="226"/>
    </row>
    <row r="136" spans="1:17" ht="15.6" x14ac:dyDescent="0.3">
      <c r="A136" s="269"/>
      <c r="B136" s="270"/>
      <c r="C136" s="55"/>
      <c r="D136" s="54"/>
      <c r="E136" s="54"/>
      <c r="F136" s="61"/>
      <c r="G136" s="348"/>
      <c r="H136" s="349"/>
      <c r="I136" s="350"/>
      <c r="J136" s="350"/>
      <c r="K136" s="349"/>
      <c r="L136" s="349"/>
      <c r="M136" s="349"/>
      <c r="N136" s="349"/>
      <c r="O136" s="350"/>
      <c r="P136" s="350"/>
      <c r="Q136" s="226"/>
    </row>
    <row r="137" spans="1:17" ht="15.6" x14ac:dyDescent="0.3">
      <c r="A137" s="269"/>
      <c r="B137" s="270"/>
      <c r="C137" s="55"/>
      <c r="D137" s="54"/>
      <c r="E137" s="54"/>
      <c r="F137" s="61"/>
      <c r="G137" s="348"/>
      <c r="H137" s="349"/>
      <c r="I137" s="350"/>
      <c r="J137" s="350"/>
      <c r="K137" s="349"/>
      <c r="L137" s="349"/>
      <c r="M137" s="349"/>
      <c r="N137" s="349"/>
      <c r="O137" s="350"/>
      <c r="P137" s="350"/>
      <c r="Q137" s="226"/>
    </row>
    <row r="138" spans="1:17" ht="15.6" x14ac:dyDescent="0.3">
      <c r="A138" s="269"/>
      <c r="B138" s="270"/>
      <c r="C138" s="55"/>
      <c r="D138" s="54"/>
      <c r="E138" s="54"/>
      <c r="F138" s="61"/>
      <c r="G138" s="348"/>
      <c r="H138" s="349"/>
      <c r="I138" s="350"/>
      <c r="J138" s="350"/>
      <c r="K138" s="349"/>
      <c r="L138" s="349"/>
      <c r="M138" s="349"/>
      <c r="N138" s="349"/>
      <c r="O138" s="350"/>
      <c r="P138" s="350"/>
      <c r="Q138" s="226"/>
    </row>
    <row r="139" spans="1:17" ht="15.6" x14ac:dyDescent="0.3">
      <c r="A139" s="269"/>
      <c r="B139" s="270"/>
      <c r="C139" s="55"/>
      <c r="D139" s="54"/>
      <c r="E139" s="54"/>
      <c r="F139" s="61"/>
      <c r="G139" s="348"/>
      <c r="H139" s="349"/>
      <c r="I139" s="350"/>
      <c r="J139" s="350"/>
      <c r="K139" s="349"/>
      <c r="L139" s="349"/>
      <c r="M139" s="349"/>
      <c r="N139" s="349"/>
      <c r="O139" s="350"/>
      <c r="P139" s="350"/>
      <c r="Q139" s="226"/>
    </row>
    <row r="140" spans="1:17" ht="15.6" x14ac:dyDescent="0.3">
      <c r="A140" s="269"/>
      <c r="B140" s="270"/>
      <c r="C140" s="55"/>
      <c r="D140" s="54"/>
      <c r="E140" s="54"/>
      <c r="F140" s="61"/>
      <c r="G140" s="348"/>
      <c r="H140" s="349"/>
      <c r="I140" s="350"/>
      <c r="J140" s="350"/>
      <c r="K140" s="349"/>
      <c r="L140" s="349"/>
      <c r="M140" s="349"/>
      <c r="N140" s="349"/>
      <c r="O140" s="350"/>
      <c r="P140" s="350"/>
      <c r="Q140" s="226"/>
    </row>
    <row r="141" spans="1:17" ht="15.6" x14ac:dyDescent="0.3">
      <c r="A141" s="269"/>
      <c r="B141" s="270"/>
      <c r="C141" s="55"/>
      <c r="D141" s="54"/>
      <c r="E141" s="54"/>
      <c r="F141" s="61"/>
      <c r="G141" s="348"/>
      <c r="H141" s="349"/>
      <c r="I141" s="350"/>
      <c r="J141" s="350"/>
      <c r="K141" s="349"/>
      <c r="L141" s="349"/>
      <c r="M141" s="349"/>
      <c r="N141" s="349"/>
      <c r="O141" s="350"/>
      <c r="P141" s="350"/>
      <c r="Q141" s="226"/>
    </row>
    <row r="142" spans="1:17" ht="15.6" x14ac:dyDescent="0.3">
      <c r="A142" s="269"/>
      <c r="B142" s="270"/>
      <c r="C142" s="55"/>
      <c r="D142" s="54"/>
      <c r="E142" s="54"/>
      <c r="F142" s="61"/>
      <c r="G142" s="348"/>
      <c r="H142" s="349"/>
      <c r="I142" s="350"/>
      <c r="J142" s="350"/>
      <c r="K142" s="349"/>
      <c r="L142" s="349"/>
      <c r="M142" s="349"/>
      <c r="N142" s="349"/>
      <c r="O142" s="350"/>
      <c r="P142" s="350"/>
      <c r="Q142" s="226"/>
    </row>
    <row r="143" spans="1:17" ht="15.6" x14ac:dyDescent="0.3">
      <c r="A143" s="269"/>
      <c r="B143" s="270"/>
      <c r="C143" s="55"/>
      <c r="D143" s="54"/>
      <c r="E143" s="54"/>
      <c r="F143" s="61"/>
      <c r="G143" s="348"/>
      <c r="H143" s="349"/>
      <c r="I143" s="350"/>
      <c r="J143" s="350"/>
      <c r="K143" s="349"/>
      <c r="L143" s="349"/>
      <c r="M143" s="349"/>
      <c r="N143" s="349"/>
      <c r="O143" s="350"/>
      <c r="P143" s="350"/>
      <c r="Q143" s="226"/>
    </row>
    <row r="144" spans="1:17" ht="15.6" x14ac:dyDescent="0.3">
      <c r="A144" s="269"/>
      <c r="B144" s="270"/>
      <c r="C144" s="55"/>
      <c r="D144" s="54"/>
      <c r="E144" s="54"/>
      <c r="F144" s="61"/>
      <c r="G144" s="348"/>
      <c r="H144" s="349"/>
      <c r="I144" s="350"/>
      <c r="J144" s="350"/>
      <c r="K144" s="349"/>
      <c r="L144" s="349"/>
      <c r="M144" s="349"/>
      <c r="N144" s="349"/>
      <c r="O144" s="350"/>
      <c r="P144" s="350"/>
      <c r="Q144" s="226"/>
    </row>
    <row r="145" spans="1:17" ht="15.6" x14ac:dyDescent="0.3">
      <c r="A145" s="269"/>
      <c r="B145" s="270"/>
      <c r="C145" s="55"/>
      <c r="D145" s="54"/>
      <c r="E145" s="54"/>
      <c r="F145" s="61"/>
      <c r="G145" s="348"/>
      <c r="H145" s="349"/>
      <c r="I145" s="350"/>
      <c r="J145" s="350"/>
      <c r="K145" s="349"/>
      <c r="L145" s="349"/>
      <c r="M145" s="349"/>
      <c r="N145" s="349"/>
      <c r="O145" s="350"/>
      <c r="P145" s="350"/>
      <c r="Q145" s="226"/>
    </row>
    <row r="146" spans="1:17" ht="15.6" x14ac:dyDescent="0.3">
      <c r="A146" s="269"/>
      <c r="B146" s="270"/>
      <c r="C146" s="55"/>
      <c r="D146" s="54"/>
      <c r="E146" s="54"/>
      <c r="F146" s="61"/>
      <c r="G146" s="348"/>
      <c r="H146" s="349"/>
      <c r="I146" s="350"/>
      <c r="J146" s="350"/>
      <c r="K146" s="349"/>
      <c r="L146" s="349"/>
      <c r="M146" s="349"/>
      <c r="N146" s="349"/>
      <c r="O146" s="350"/>
      <c r="P146" s="350"/>
      <c r="Q146" s="226"/>
    </row>
    <row r="147" spans="1:17" ht="15.6" x14ac:dyDescent="0.3">
      <c r="A147" s="269"/>
      <c r="B147" s="270"/>
      <c r="C147" s="55"/>
      <c r="D147" s="54"/>
      <c r="E147" s="54"/>
      <c r="F147" s="61"/>
      <c r="G147" s="348"/>
      <c r="H147" s="349"/>
      <c r="I147" s="350"/>
      <c r="J147" s="350"/>
      <c r="K147" s="349"/>
      <c r="L147" s="349"/>
      <c r="M147" s="349"/>
      <c r="N147" s="349"/>
      <c r="O147" s="350"/>
      <c r="P147" s="350"/>
      <c r="Q147" s="226"/>
    </row>
    <row r="148" spans="1:17" ht="15.6" x14ac:dyDescent="0.3">
      <c r="A148" s="269"/>
      <c r="B148" s="270"/>
      <c r="C148" s="55"/>
      <c r="D148" s="54"/>
      <c r="E148" s="54"/>
      <c r="F148" s="61"/>
      <c r="G148" s="348"/>
      <c r="H148" s="349"/>
      <c r="I148" s="350"/>
      <c r="J148" s="350"/>
      <c r="K148" s="349"/>
      <c r="L148" s="349"/>
      <c r="M148" s="349"/>
      <c r="N148" s="349"/>
      <c r="O148" s="350"/>
      <c r="P148" s="350"/>
      <c r="Q148" s="226"/>
    </row>
    <row r="149" spans="1:17" ht="15.6" x14ac:dyDescent="0.3">
      <c r="A149" s="269"/>
      <c r="B149" s="270"/>
      <c r="C149" s="55"/>
      <c r="D149" s="54"/>
      <c r="E149" s="54"/>
      <c r="F149" s="61"/>
      <c r="G149" s="348"/>
      <c r="H149" s="349"/>
      <c r="I149" s="350"/>
      <c r="J149" s="350"/>
      <c r="K149" s="349"/>
      <c r="L149" s="349"/>
      <c r="M149" s="349"/>
      <c r="N149" s="349"/>
      <c r="O149" s="350"/>
      <c r="P149" s="350"/>
      <c r="Q149" s="226"/>
    </row>
    <row r="150" spans="1:17" ht="15.6" x14ac:dyDescent="0.3">
      <c r="A150" s="269"/>
      <c r="B150" s="270"/>
      <c r="C150" s="55"/>
      <c r="D150" s="54"/>
      <c r="E150" s="54"/>
      <c r="F150" s="61"/>
      <c r="G150" s="348"/>
      <c r="H150" s="349"/>
      <c r="I150" s="350"/>
      <c r="J150" s="350"/>
      <c r="K150" s="349"/>
      <c r="L150" s="349"/>
      <c r="M150" s="349"/>
      <c r="N150" s="349"/>
      <c r="O150" s="350"/>
      <c r="P150" s="350"/>
      <c r="Q150" s="226"/>
    </row>
    <row r="151" spans="1:17" ht="15.6" x14ac:dyDescent="0.3">
      <c r="A151" s="269"/>
      <c r="B151" s="270"/>
      <c r="C151" s="55"/>
      <c r="D151" s="54"/>
      <c r="E151" s="54"/>
      <c r="F151" s="61"/>
      <c r="G151" s="348"/>
      <c r="H151" s="349"/>
      <c r="I151" s="350"/>
      <c r="J151" s="350"/>
      <c r="K151" s="349"/>
      <c r="L151" s="349"/>
      <c r="M151" s="349"/>
      <c r="N151" s="349"/>
      <c r="O151" s="350"/>
      <c r="P151" s="350"/>
      <c r="Q151" s="226"/>
    </row>
    <row r="152" spans="1:17" ht="15.6" x14ac:dyDescent="0.3">
      <c r="A152" s="269"/>
      <c r="B152" s="270"/>
      <c r="C152" s="55"/>
      <c r="D152" s="54"/>
      <c r="E152" s="54"/>
      <c r="F152" s="61"/>
      <c r="G152" s="348"/>
      <c r="H152" s="349"/>
      <c r="I152" s="350"/>
      <c r="J152" s="350"/>
      <c r="K152" s="349"/>
      <c r="L152" s="349"/>
      <c r="M152" s="349"/>
      <c r="N152" s="349"/>
      <c r="O152" s="350"/>
      <c r="P152" s="350"/>
      <c r="Q152" s="356" t="s">
        <v>0</v>
      </c>
    </row>
    <row r="153" spans="1:17" ht="15.6" x14ac:dyDescent="0.3">
      <c r="A153" s="269"/>
      <c r="B153" s="270"/>
      <c r="C153" s="55"/>
      <c r="D153" s="54"/>
      <c r="E153" s="54"/>
      <c r="F153" s="61"/>
      <c r="G153" s="348"/>
      <c r="H153" s="349"/>
      <c r="I153" s="350"/>
      <c r="J153" s="350"/>
      <c r="K153" s="349"/>
      <c r="L153" s="349"/>
      <c r="M153" s="349"/>
      <c r="N153" s="349"/>
      <c r="O153" s="350"/>
      <c r="P153" s="350"/>
      <c r="Q153" s="226" t="s">
        <v>0</v>
      </c>
    </row>
    <row r="154" spans="1:17" ht="15.6" x14ac:dyDescent="0.3">
      <c r="A154" s="269"/>
      <c r="B154" s="270"/>
      <c r="C154" s="55"/>
      <c r="D154" s="54"/>
      <c r="E154" s="54"/>
      <c r="F154" s="61"/>
      <c r="G154" s="348"/>
      <c r="H154" s="349"/>
      <c r="I154" s="350"/>
      <c r="J154" s="350"/>
      <c r="K154" s="349"/>
      <c r="L154" s="349"/>
      <c r="M154" s="349"/>
      <c r="N154" s="349"/>
      <c r="O154" s="350"/>
      <c r="P154" s="350"/>
      <c r="Q154" s="226"/>
    </row>
    <row r="155" spans="1:17" ht="15.6" x14ac:dyDescent="0.3">
      <c r="A155" s="269"/>
      <c r="B155" s="270"/>
      <c r="C155" s="55"/>
      <c r="D155" s="54"/>
      <c r="E155" s="54"/>
      <c r="F155" s="61"/>
      <c r="G155" s="348"/>
      <c r="H155" s="349"/>
      <c r="I155" s="350"/>
      <c r="J155" s="350"/>
      <c r="K155" s="349"/>
      <c r="L155" s="349"/>
      <c r="M155" s="349"/>
      <c r="N155" s="349"/>
      <c r="O155" s="350"/>
      <c r="P155" s="350"/>
      <c r="Q155" s="226"/>
    </row>
    <row r="156" spans="1:17" ht="15.6" x14ac:dyDescent="0.3">
      <c r="A156" s="269"/>
      <c r="B156" s="270"/>
      <c r="C156" s="55"/>
      <c r="D156" s="54"/>
      <c r="E156" s="54"/>
      <c r="F156" s="61"/>
      <c r="G156" s="348"/>
      <c r="H156" s="349"/>
      <c r="I156" s="350"/>
      <c r="J156" s="350"/>
      <c r="K156" s="349"/>
      <c r="L156" s="349"/>
      <c r="M156" s="349"/>
      <c r="N156" s="349"/>
      <c r="O156" s="350"/>
      <c r="P156" s="350"/>
      <c r="Q156" s="226"/>
    </row>
    <row r="157" spans="1:17" ht="15.6" x14ac:dyDescent="0.3">
      <c r="A157" s="269"/>
      <c r="B157" s="270"/>
      <c r="C157" s="55"/>
      <c r="D157" s="54"/>
      <c r="E157" s="54"/>
      <c r="F157" s="61"/>
      <c r="G157" s="348"/>
      <c r="H157" s="349"/>
      <c r="I157" s="350"/>
      <c r="J157" s="350"/>
      <c r="K157" s="349"/>
      <c r="L157" s="349"/>
      <c r="M157" s="349"/>
      <c r="N157" s="349"/>
      <c r="O157" s="350"/>
      <c r="P157" s="350"/>
      <c r="Q157" s="226"/>
    </row>
    <row r="158" spans="1:17" ht="15.6" x14ac:dyDescent="0.3">
      <c r="A158" s="269"/>
      <c r="B158" s="270"/>
      <c r="C158" s="55"/>
      <c r="D158" s="54"/>
      <c r="E158" s="54"/>
      <c r="F158" s="61"/>
      <c r="G158" s="348"/>
      <c r="H158" s="349"/>
      <c r="I158" s="350"/>
      <c r="J158" s="350"/>
      <c r="K158" s="349"/>
      <c r="L158" s="349"/>
      <c r="M158" s="349"/>
      <c r="N158" s="349"/>
      <c r="O158" s="350"/>
      <c r="P158" s="350"/>
      <c r="Q158" s="226"/>
    </row>
    <row r="159" spans="1:17" ht="15.6" x14ac:dyDescent="0.3">
      <c r="A159" s="269"/>
      <c r="B159" s="270"/>
      <c r="C159" s="55"/>
      <c r="D159" s="54"/>
      <c r="E159" s="54"/>
      <c r="F159" s="61"/>
      <c r="G159" s="348"/>
      <c r="H159" s="349"/>
      <c r="I159" s="350"/>
      <c r="J159" s="350"/>
      <c r="K159" s="349"/>
      <c r="L159" s="349"/>
      <c r="M159" s="349"/>
      <c r="N159" s="349"/>
      <c r="O159" s="350"/>
      <c r="P159" s="350"/>
      <c r="Q159" s="226"/>
    </row>
    <row r="160" spans="1:17" ht="14.4" x14ac:dyDescent="0.3">
      <c r="A160" s="269"/>
      <c r="B160" s="270"/>
      <c r="C160" s="357" t="s">
        <v>34</v>
      </c>
      <c r="D160" s="358"/>
      <c r="E160" s="358"/>
      <c r="F160" s="359"/>
      <c r="G160" s="360"/>
      <c r="H160" s="350"/>
      <c r="I160" s="349"/>
      <c r="J160" s="349"/>
      <c r="K160" s="349"/>
      <c r="L160" s="349"/>
      <c r="M160" s="350"/>
      <c r="N160" s="350"/>
      <c r="O160" s="349"/>
      <c r="P160" s="361"/>
    </row>
    <row r="161" spans="1:17" ht="15" thickBot="1" x14ac:dyDescent="0.35">
      <c r="A161" s="269"/>
      <c r="B161" s="270"/>
      <c r="C161" s="362"/>
      <c r="D161" s="362"/>
      <c r="E161" s="363"/>
      <c r="F161" s="263"/>
      <c r="G161" s="263"/>
      <c r="H161" s="263"/>
      <c r="I161" s="364"/>
      <c r="J161" s="364"/>
      <c r="K161" s="263"/>
      <c r="L161" s="263"/>
      <c r="M161" s="263"/>
      <c r="N161" s="263"/>
      <c r="O161" s="364"/>
      <c r="P161" s="364"/>
      <c r="Q161" s="226"/>
    </row>
    <row r="162" spans="1:17" ht="14.4" x14ac:dyDescent="0.3">
      <c r="A162" s="269"/>
      <c r="B162" s="270"/>
      <c r="C162" s="265"/>
      <c r="D162" s="265"/>
      <c r="E162" s="266"/>
      <c r="F162" s="265"/>
      <c r="G162" s="265"/>
      <c r="H162" s="265"/>
      <c r="I162" s="265"/>
      <c r="J162" s="265"/>
      <c r="K162" s="265"/>
      <c r="L162" s="265"/>
      <c r="M162" s="265"/>
      <c r="N162" s="265"/>
      <c r="O162" s="265"/>
      <c r="P162" s="265"/>
    </row>
    <row r="163" spans="1:17" ht="14.4" x14ac:dyDescent="0.3">
      <c r="A163" s="269"/>
      <c r="B163" s="270"/>
      <c r="C163" s="265"/>
      <c r="D163" s="173" t="s">
        <v>46</v>
      </c>
      <c r="E163" s="266"/>
      <c r="F163" s="265"/>
      <c r="G163" s="265"/>
      <c r="H163" s="265"/>
      <c r="I163" s="265"/>
      <c r="J163" s="265"/>
      <c r="K163" s="265"/>
      <c r="L163" s="265"/>
      <c r="M163" s="265"/>
      <c r="N163" s="265"/>
      <c r="O163" s="265"/>
      <c r="P163" s="265"/>
    </row>
    <row r="164" spans="1:17" ht="21" x14ac:dyDescent="0.3">
      <c r="A164" s="269"/>
      <c r="B164" s="273">
        <v>3</v>
      </c>
      <c r="C164" s="345" t="s">
        <v>148</v>
      </c>
      <c r="D164" s="346" t="s">
        <v>239</v>
      </c>
      <c r="E164" s="347"/>
      <c r="F164" s="347"/>
      <c r="G164" s="348"/>
      <c r="H164" s="349"/>
      <c r="I164" s="350"/>
      <c r="J164" s="350"/>
      <c r="K164" s="349"/>
      <c r="L164" s="349"/>
      <c r="M164" s="349"/>
      <c r="N164" s="349"/>
      <c r="O164" s="350"/>
      <c r="P164" s="350"/>
    </row>
    <row r="165" spans="1:17" ht="72" x14ac:dyDescent="0.3">
      <c r="A165" s="269"/>
      <c r="B165" s="270"/>
      <c r="C165" s="173" t="s">
        <v>7</v>
      </c>
      <c r="D165" s="173" t="s">
        <v>31</v>
      </c>
      <c r="E165" s="173" t="s">
        <v>32</v>
      </c>
      <c r="F165" s="271" t="s">
        <v>55</v>
      </c>
      <c r="G165" s="271" t="s">
        <v>54</v>
      </c>
      <c r="H165" s="271" t="s">
        <v>147</v>
      </c>
      <c r="I165" s="271" t="s">
        <v>33</v>
      </c>
      <c r="J165" s="271" t="s">
        <v>69</v>
      </c>
      <c r="K165" s="349"/>
      <c r="L165" s="271" t="s">
        <v>250</v>
      </c>
      <c r="M165" s="271" t="s">
        <v>147</v>
      </c>
      <c r="N165" s="271" t="s">
        <v>55</v>
      </c>
      <c r="O165" s="271" t="s">
        <v>251</v>
      </c>
      <c r="P165" s="271" t="s">
        <v>71</v>
      </c>
    </row>
    <row r="166" spans="1:17" ht="15" thickBot="1" x14ac:dyDescent="0.35">
      <c r="A166" s="269"/>
      <c r="B166" s="270"/>
      <c r="C166" s="55"/>
      <c r="D166" s="54"/>
      <c r="E166" s="54"/>
      <c r="F166" s="56"/>
      <c r="G166" s="57"/>
      <c r="H166" s="58"/>
      <c r="I166" s="351">
        <f>IF(ISERROR(+G166*(1-H166)),"",+G166*(1-H166))</f>
        <v>0</v>
      </c>
      <c r="J166" s="365">
        <f t="shared" ref="J166" si="45">IF(ISERROR(+I166*F166),"",+I166*F166)</f>
        <v>0</v>
      </c>
      <c r="K166" s="349"/>
      <c r="L166" s="59"/>
      <c r="M166" s="60"/>
      <c r="N166" s="352">
        <f>+F166</f>
        <v>0</v>
      </c>
      <c r="O166" s="351">
        <f>IF(ISERROR(+L166*(1-M166)),"",+L166*(1-(M166)))</f>
        <v>0</v>
      </c>
      <c r="P166" s="365">
        <f>IF(ISERROR(+O166*N166),"",+O166*N166)</f>
        <v>0</v>
      </c>
    </row>
    <row r="167" spans="1:17" ht="16.2" thickTop="1" x14ac:dyDescent="0.3">
      <c r="A167" s="269"/>
      <c r="B167" s="270"/>
      <c r="C167" s="353" t="s">
        <v>0</v>
      </c>
      <c r="D167" s="354"/>
      <c r="E167" s="347"/>
      <c r="F167" s="347"/>
      <c r="G167" s="348"/>
      <c r="H167" s="349"/>
      <c r="I167" s="350"/>
      <c r="J167" s="350"/>
      <c r="K167" s="349"/>
      <c r="L167" s="349"/>
      <c r="M167" s="349"/>
      <c r="N167" s="349"/>
      <c r="O167" s="350"/>
      <c r="P167" s="350"/>
    </row>
    <row r="168" spans="1:17" ht="21" x14ac:dyDescent="0.3">
      <c r="A168" s="269"/>
      <c r="B168" s="270"/>
      <c r="C168" s="355" t="s">
        <v>67</v>
      </c>
      <c r="D168" s="354"/>
      <c r="E168" s="347"/>
      <c r="F168" s="347"/>
      <c r="G168" s="348"/>
      <c r="H168" s="349"/>
      <c r="I168" s="350"/>
      <c r="J168" s="350"/>
      <c r="K168" s="349"/>
      <c r="L168" s="349"/>
      <c r="M168" s="349"/>
      <c r="N168" s="349"/>
      <c r="O168" s="350"/>
      <c r="P168" s="350"/>
    </row>
    <row r="169" spans="1:17" ht="28.8" x14ac:dyDescent="0.3">
      <c r="A169" s="269"/>
      <c r="B169" s="270"/>
      <c r="C169" s="173" t="s">
        <v>7</v>
      </c>
      <c r="D169" s="173" t="s">
        <v>31</v>
      </c>
      <c r="E169" s="173" t="s">
        <v>32</v>
      </c>
      <c r="F169" s="271" t="s">
        <v>55</v>
      </c>
      <c r="G169" s="348"/>
      <c r="H169" s="349"/>
      <c r="I169" s="350"/>
      <c r="J169" s="350"/>
      <c r="K169" s="349"/>
      <c r="L169" s="349"/>
      <c r="M169" s="349"/>
      <c r="N169" s="349"/>
      <c r="O169" s="350"/>
      <c r="P169" s="350"/>
      <c r="Q169" s="226"/>
    </row>
    <row r="170" spans="1:17" ht="15.6" x14ac:dyDescent="0.3">
      <c r="A170" s="269"/>
      <c r="B170" s="270"/>
      <c r="C170" s="55"/>
      <c r="D170" s="55"/>
      <c r="E170" s="54"/>
      <c r="F170" s="61"/>
      <c r="G170" s="348"/>
      <c r="H170" s="349"/>
      <c r="I170" s="350"/>
      <c r="J170" s="350"/>
      <c r="K170" s="349"/>
      <c r="L170" s="349"/>
      <c r="M170" s="349"/>
      <c r="N170" s="349"/>
      <c r="O170" s="350"/>
      <c r="P170" s="350"/>
      <c r="Q170" s="226"/>
    </row>
    <row r="171" spans="1:17" ht="15.6" x14ac:dyDescent="0.3">
      <c r="A171" s="269"/>
      <c r="B171" s="270"/>
      <c r="C171" s="55"/>
      <c r="D171" s="55"/>
      <c r="E171" s="54"/>
      <c r="F171" s="61"/>
      <c r="G171" s="348"/>
      <c r="H171" s="349"/>
      <c r="I171" s="350"/>
      <c r="J171" s="350"/>
      <c r="K171" s="349"/>
      <c r="L171" s="349"/>
      <c r="M171" s="349"/>
      <c r="N171" s="349"/>
      <c r="O171" s="350"/>
      <c r="P171" s="350"/>
      <c r="Q171" s="226"/>
    </row>
    <row r="172" spans="1:17" ht="15.6" x14ac:dyDescent="0.3">
      <c r="A172" s="269"/>
      <c r="B172" s="270"/>
      <c r="C172" s="55"/>
      <c r="D172" s="55"/>
      <c r="E172" s="54"/>
      <c r="F172" s="61"/>
      <c r="G172" s="348"/>
      <c r="H172" s="349"/>
      <c r="I172" s="350"/>
      <c r="J172" s="350"/>
      <c r="K172" s="349"/>
      <c r="L172" s="349"/>
      <c r="M172" s="349"/>
      <c r="N172" s="349"/>
      <c r="O172" s="350"/>
      <c r="P172" s="350"/>
      <c r="Q172" s="226"/>
    </row>
    <row r="173" spans="1:17" ht="15.6" x14ac:dyDescent="0.3">
      <c r="A173" s="269"/>
      <c r="B173" s="270"/>
      <c r="C173" s="55"/>
      <c r="D173" s="55"/>
      <c r="E173" s="54"/>
      <c r="F173" s="61"/>
      <c r="G173" s="348"/>
      <c r="H173" s="349"/>
      <c r="I173" s="350"/>
      <c r="J173" s="350"/>
      <c r="K173" s="349"/>
      <c r="L173" s="349"/>
      <c r="M173" s="349"/>
      <c r="N173" s="349"/>
      <c r="O173" s="350"/>
      <c r="P173" s="350"/>
      <c r="Q173" s="226"/>
    </row>
    <row r="174" spans="1:17" ht="15.6" x14ac:dyDescent="0.3">
      <c r="A174" s="269"/>
      <c r="B174" s="270"/>
      <c r="C174" s="55"/>
      <c r="D174" s="55"/>
      <c r="E174" s="54"/>
      <c r="F174" s="61"/>
      <c r="G174" s="348"/>
      <c r="H174" s="349"/>
      <c r="I174" s="350"/>
      <c r="J174" s="350"/>
      <c r="K174" s="349"/>
      <c r="L174" s="349"/>
      <c r="M174" s="349"/>
      <c r="N174" s="349"/>
      <c r="O174" s="350"/>
      <c r="P174" s="350"/>
      <c r="Q174" s="226"/>
    </row>
    <row r="175" spans="1:17" ht="15.6" x14ac:dyDescent="0.3">
      <c r="A175" s="269"/>
      <c r="B175" s="270"/>
      <c r="C175" s="55"/>
      <c r="D175" s="55"/>
      <c r="E175" s="54"/>
      <c r="F175" s="61"/>
      <c r="G175" s="348"/>
      <c r="H175" s="349"/>
      <c r="I175" s="350"/>
      <c r="J175" s="350"/>
      <c r="K175" s="349"/>
      <c r="L175" s="349"/>
      <c r="M175" s="349"/>
      <c r="N175" s="349"/>
      <c r="O175" s="350"/>
      <c r="P175" s="350"/>
      <c r="Q175" s="226"/>
    </row>
    <row r="176" spans="1:17" ht="15.6" x14ac:dyDescent="0.3">
      <c r="A176" s="269"/>
      <c r="B176" s="270"/>
      <c r="C176" s="55"/>
      <c r="D176" s="55"/>
      <c r="E176" s="54"/>
      <c r="F176" s="61"/>
      <c r="G176" s="348"/>
      <c r="H176" s="349"/>
      <c r="I176" s="350"/>
      <c r="J176" s="350"/>
      <c r="K176" s="349"/>
      <c r="L176" s="349"/>
      <c r="M176" s="349"/>
      <c r="N176" s="349"/>
      <c r="O176" s="350"/>
      <c r="P176" s="350"/>
      <c r="Q176" s="226"/>
    </row>
    <row r="177" spans="1:17" ht="15.6" x14ac:dyDescent="0.3">
      <c r="A177" s="269"/>
      <c r="B177" s="270"/>
      <c r="C177" s="55"/>
      <c r="D177" s="54"/>
      <c r="E177" s="54"/>
      <c r="F177" s="61"/>
      <c r="G177" s="348"/>
      <c r="H177" s="349"/>
      <c r="I177" s="350"/>
      <c r="J177" s="350"/>
      <c r="K177" s="349"/>
      <c r="L177" s="349"/>
      <c r="M177" s="349"/>
      <c r="N177" s="349"/>
      <c r="O177" s="350"/>
      <c r="P177" s="350"/>
      <c r="Q177" s="226"/>
    </row>
    <row r="178" spans="1:17" ht="15.6" x14ac:dyDescent="0.3">
      <c r="A178" s="269"/>
      <c r="B178" s="270"/>
      <c r="C178" s="55"/>
      <c r="D178" s="54"/>
      <c r="E178" s="54"/>
      <c r="F178" s="61"/>
      <c r="G178" s="348"/>
      <c r="H178" s="349"/>
      <c r="I178" s="350"/>
      <c r="J178" s="350"/>
      <c r="K178" s="349"/>
      <c r="L178" s="349"/>
      <c r="M178" s="349"/>
      <c r="N178" s="349"/>
      <c r="O178" s="350"/>
      <c r="P178" s="350"/>
      <c r="Q178" s="226"/>
    </row>
    <row r="179" spans="1:17" ht="15.6" x14ac:dyDescent="0.3">
      <c r="A179" s="269"/>
      <c r="B179" s="270"/>
      <c r="C179" s="55"/>
      <c r="D179" s="54"/>
      <c r="E179" s="54"/>
      <c r="F179" s="61"/>
      <c r="G179" s="348"/>
      <c r="H179" s="349"/>
      <c r="I179" s="350"/>
      <c r="J179" s="350"/>
      <c r="K179" s="349"/>
      <c r="L179" s="349"/>
      <c r="M179" s="349"/>
      <c r="N179" s="349"/>
      <c r="O179" s="350"/>
      <c r="P179" s="350"/>
      <c r="Q179" s="226"/>
    </row>
    <row r="180" spans="1:17" ht="15.6" x14ac:dyDescent="0.3">
      <c r="A180" s="269"/>
      <c r="B180" s="270"/>
      <c r="C180" s="55"/>
      <c r="D180" s="54"/>
      <c r="E180" s="54"/>
      <c r="F180" s="61"/>
      <c r="G180" s="348"/>
      <c r="H180" s="349"/>
      <c r="I180" s="350"/>
      <c r="J180" s="350"/>
      <c r="K180" s="349"/>
      <c r="L180" s="349"/>
      <c r="M180" s="349"/>
      <c r="N180" s="349"/>
      <c r="O180" s="350"/>
      <c r="P180" s="350"/>
      <c r="Q180" s="226"/>
    </row>
    <row r="181" spans="1:17" ht="15.6" x14ac:dyDescent="0.3">
      <c r="A181" s="269"/>
      <c r="B181" s="270"/>
      <c r="C181" s="55"/>
      <c r="D181" s="54"/>
      <c r="E181" s="54"/>
      <c r="F181" s="61"/>
      <c r="G181" s="348"/>
      <c r="H181" s="349"/>
      <c r="I181" s="350"/>
      <c r="J181" s="350"/>
      <c r="K181" s="349"/>
      <c r="L181" s="349"/>
      <c r="M181" s="349"/>
      <c r="N181" s="349"/>
      <c r="O181" s="350"/>
      <c r="P181" s="350"/>
      <c r="Q181" s="226"/>
    </row>
    <row r="182" spans="1:17" ht="15.6" x14ac:dyDescent="0.3">
      <c r="A182" s="269"/>
      <c r="B182" s="270"/>
      <c r="C182" s="55"/>
      <c r="D182" s="54"/>
      <c r="E182" s="54"/>
      <c r="F182" s="61"/>
      <c r="G182" s="348"/>
      <c r="H182" s="349"/>
      <c r="I182" s="350"/>
      <c r="J182" s="350"/>
      <c r="K182" s="349"/>
      <c r="L182" s="349"/>
      <c r="M182" s="349"/>
      <c r="N182" s="349"/>
      <c r="O182" s="350"/>
      <c r="P182" s="350"/>
      <c r="Q182" s="226"/>
    </row>
    <row r="183" spans="1:17" ht="15.6" x14ac:dyDescent="0.3">
      <c r="A183" s="269"/>
      <c r="B183" s="270"/>
      <c r="C183" s="55"/>
      <c r="D183" s="54"/>
      <c r="E183" s="54"/>
      <c r="F183" s="61"/>
      <c r="G183" s="348"/>
      <c r="H183" s="349"/>
      <c r="I183" s="350"/>
      <c r="J183" s="350"/>
      <c r="K183" s="349"/>
      <c r="L183" s="349"/>
      <c r="M183" s="349"/>
      <c r="N183" s="349"/>
      <c r="O183" s="350"/>
      <c r="P183" s="350"/>
      <c r="Q183" s="226"/>
    </row>
    <row r="184" spans="1:17" ht="15.6" x14ac:dyDescent="0.3">
      <c r="A184" s="269"/>
      <c r="B184" s="270"/>
      <c r="C184" s="55"/>
      <c r="D184" s="54"/>
      <c r="E184" s="54"/>
      <c r="F184" s="61"/>
      <c r="G184" s="348"/>
      <c r="H184" s="349"/>
      <c r="I184" s="350"/>
      <c r="J184" s="350"/>
      <c r="K184" s="349"/>
      <c r="L184" s="349"/>
      <c r="M184" s="349"/>
      <c r="N184" s="349"/>
      <c r="O184" s="350"/>
      <c r="P184" s="350"/>
      <c r="Q184" s="226"/>
    </row>
    <row r="185" spans="1:17" ht="15.6" x14ac:dyDescent="0.3">
      <c r="A185" s="269"/>
      <c r="B185" s="270"/>
      <c r="C185" s="55"/>
      <c r="D185" s="54"/>
      <c r="E185" s="54"/>
      <c r="F185" s="61"/>
      <c r="G185" s="348"/>
      <c r="H185" s="349"/>
      <c r="I185" s="350"/>
      <c r="J185" s="350"/>
      <c r="K185" s="349"/>
      <c r="L185" s="349"/>
      <c r="M185" s="349"/>
      <c r="N185" s="349"/>
      <c r="O185" s="350"/>
      <c r="P185" s="350"/>
      <c r="Q185" s="226"/>
    </row>
    <row r="186" spans="1:17" ht="15.6" x14ac:dyDescent="0.3">
      <c r="A186" s="269"/>
      <c r="B186" s="270"/>
      <c r="C186" s="55"/>
      <c r="D186" s="54"/>
      <c r="E186" s="54"/>
      <c r="F186" s="61"/>
      <c r="G186" s="348"/>
      <c r="H186" s="349"/>
      <c r="I186" s="350"/>
      <c r="J186" s="350"/>
      <c r="K186" s="349"/>
      <c r="L186" s="349"/>
      <c r="M186" s="349"/>
      <c r="N186" s="349"/>
      <c r="O186" s="350"/>
      <c r="P186" s="350"/>
      <c r="Q186" s="226"/>
    </row>
    <row r="187" spans="1:17" ht="15.6" x14ac:dyDescent="0.3">
      <c r="A187" s="269"/>
      <c r="B187" s="270"/>
      <c r="C187" s="55"/>
      <c r="D187" s="54"/>
      <c r="E187" s="54"/>
      <c r="F187" s="61"/>
      <c r="G187" s="348"/>
      <c r="H187" s="349"/>
      <c r="I187" s="350"/>
      <c r="J187" s="350"/>
      <c r="K187" s="349"/>
      <c r="L187" s="349"/>
      <c r="M187" s="349"/>
      <c r="N187" s="349"/>
      <c r="O187" s="350"/>
      <c r="P187" s="350"/>
      <c r="Q187" s="356" t="s">
        <v>0</v>
      </c>
    </row>
    <row r="188" spans="1:17" ht="15.6" x14ac:dyDescent="0.3">
      <c r="A188" s="269"/>
      <c r="B188" s="270"/>
      <c r="C188" s="55"/>
      <c r="D188" s="54"/>
      <c r="E188" s="54"/>
      <c r="F188" s="61"/>
      <c r="G188" s="348"/>
      <c r="H188" s="349"/>
      <c r="I188" s="350"/>
      <c r="J188" s="350"/>
      <c r="K188" s="349"/>
      <c r="L188" s="349"/>
      <c r="M188" s="349"/>
      <c r="N188" s="349"/>
      <c r="O188" s="350"/>
      <c r="P188" s="350"/>
      <c r="Q188" s="226" t="s">
        <v>0</v>
      </c>
    </row>
    <row r="189" spans="1:17" ht="15.6" x14ac:dyDescent="0.3">
      <c r="A189" s="269"/>
      <c r="B189" s="270"/>
      <c r="C189" s="55"/>
      <c r="D189" s="54"/>
      <c r="E189" s="54"/>
      <c r="F189" s="61"/>
      <c r="G189" s="348"/>
      <c r="H189" s="349"/>
      <c r="I189" s="350"/>
      <c r="J189" s="350"/>
      <c r="K189" s="349"/>
      <c r="L189" s="349"/>
      <c r="M189" s="349"/>
      <c r="N189" s="349"/>
      <c r="O189" s="350"/>
      <c r="P189" s="350"/>
      <c r="Q189" s="226"/>
    </row>
    <row r="190" spans="1:17" ht="15.6" x14ac:dyDescent="0.3">
      <c r="A190" s="269"/>
      <c r="B190" s="270"/>
      <c r="C190" s="55"/>
      <c r="D190" s="54"/>
      <c r="E190" s="54"/>
      <c r="F190" s="61"/>
      <c r="G190" s="348"/>
      <c r="H190" s="349"/>
      <c r="I190" s="350"/>
      <c r="J190" s="350"/>
      <c r="K190" s="349"/>
      <c r="L190" s="349"/>
      <c r="M190" s="349"/>
      <c r="N190" s="349"/>
      <c r="O190" s="350"/>
      <c r="P190" s="350"/>
      <c r="Q190" s="226"/>
    </row>
    <row r="191" spans="1:17" ht="15.6" x14ac:dyDescent="0.3">
      <c r="A191" s="269"/>
      <c r="B191" s="270"/>
      <c r="C191" s="55"/>
      <c r="D191" s="54"/>
      <c r="E191" s="54"/>
      <c r="F191" s="61"/>
      <c r="G191" s="348"/>
      <c r="H191" s="349"/>
      <c r="I191" s="350"/>
      <c r="J191" s="350"/>
      <c r="K191" s="349"/>
      <c r="L191" s="349"/>
      <c r="M191" s="349"/>
      <c r="N191" s="349"/>
      <c r="O191" s="350"/>
      <c r="P191" s="350"/>
      <c r="Q191" s="226"/>
    </row>
    <row r="192" spans="1:17" ht="15.6" x14ac:dyDescent="0.3">
      <c r="A192" s="269"/>
      <c r="B192" s="270"/>
      <c r="C192" s="55"/>
      <c r="D192" s="54"/>
      <c r="E192" s="54"/>
      <c r="F192" s="61"/>
      <c r="G192" s="348"/>
      <c r="H192" s="349"/>
      <c r="I192" s="350"/>
      <c r="J192" s="350"/>
      <c r="K192" s="349"/>
      <c r="L192" s="349"/>
      <c r="M192" s="349"/>
      <c r="N192" s="349"/>
      <c r="O192" s="350"/>
      <c r="P192" s="350"/>
      <c r="Q192" s="226"/>
    </row>
    <row r="193" spans="1:17" ht="15.6" x14ac:dyDescent="0.3">
      <c r="A193" s="269"/>
      <c r="B193" s="270"/>
      <c r="C193" s="55"/>
      <c r="D193" s="54"/>
      <c r="E193" s="54"/>
      <c r="F193" s="61"/>
      <c r="G193" s="348"/>
      <c r="H193" s="349"/>
      <c r="I193" s="350"/>
      <c r="J193" s="350"/>
      <c r="K193" s="349"/>
      <c r="L193" s="349"/>
      <c r="M193" s="349"/>
      <c r="N193" s="349"/>
      <c r="O193" s="350"/>
      <c r="P193" s="350"/>
      <c r="Q193" s="226"/>
    </row>
    <row r="194" spans="1:17" ht="15.6" x14ac:dyDescent="0.3">
      <c r="A194" s="269"/>
      <c r="B194" s="270"/>
      <c r="C194" s="55"/>
      <c r="D194" s="54"/>
      <c r="E194" s="54"/>
      <c r="F194" s="61"/>
      <c r="G194" s="348"/>
      <c r="H194" s="349"/>
      <c r="I194" s="350"/>
      <c r="J194" s="350"/>
      <c r="K194" s="349"/>
      <c r="L194" s="349"/>
      <c r="M194" s="349"/>
      <c r="N194" s="349"/>
      <c r="O194" s="350"/>
      <c r="P194" s="350"/>
      <c r="Q194" s="226"/>
    </row>
    <row r="195" spans="1:17" ht="14.4" x14ac:dyDescent="0.3">
      <c r="A195" s="269"/>
      <c r="B195" s="270"/>
      <c r="C195" s="357" t="s">
        <v>34</v>
      </c>
      <c r="D195" s="358"/>
      <c r="E195" s="358"/>
      <c r="F195" s="359"/>
      <c r="G195" s="360"/>
      <c r="H195" s="350"/>
      <c r="I195" s="349"/>
      <c r="J195" s="349"/>
      <c r="K195" s="349"/>
      <c r="L195" s="349"/>
      <c r="M195" s="350"/>
      <c r="N195" s="350"/>
      <c r="O195" s="349"/>
      <c r="P195" s="361"/>
    </row>
    <row r="196" spans="1:17" ht="15" thickBot="1" x14ac:dyDescent="0.35">
      <c r="A196" s="269"/>
      <c r="B196" s="270"/>
      <c r="C196" s="362"/>
      <c r="D196" s="362"/>
      <c r="E196" s="363"/>
      <c r="F196" s="263"/>
      <c r="G196" s="263"/>
      <c r="H196" s="263"/>
      <c r="I196" s="364"/>
      <c r="J196" s="364"/>
      <c r="K196" s="263"/>
      <c r="L196" s="263"/>
      <c r="M196" s="263"/>
      <c r="N196" s="263"/>
      <c r="O196" s="364"/>
      <c r="P196" s="364"/>
      <c r="Q196" s="226"/>
    </row>
    <row r="197" spans="1:17" ht="14.4" x14ac:dyDescent="0.3">
      <c r="A197" s="269"/>
      <c r="B197" s="270"/>
      <c r="C197" s="265"/>
      <c r="D197" s="265"/>
      <c r="E197" s="266"/>
      <c r="F197" s="265"/>
      <c r="G197" s="265"/>
      <c r="H197" s="265"/>
      <c r="I197" s="265"/>
      <c r="J197" s="265"/>
      <c r="K197" s="265"/>
      <c r="L197" s="265"/>
      <c r="M197" s="265"/>
      <c r="N197" s="265"/>
      <c r="O197" s="265"/>
      <c r="P197" s="265"/>
    </row>
    <row r="198" spans="1:17" ht="14.4" x14ac:dyDescent="0.3">
      <c r="A198" s="269"/>
      <c r="B198" s="270"/>
      <c r="C198" s="265"/>
      <c r="D198" s="173" t="s">
        <v>46</v>
      </c>
      <c r="E198" s="266"/>
      <c r="F198" s="265"/>
      <c r="G198" s="265"/>
      <c r="H198" s="265"/>
      <c r="I198" s="265"/>
      <c r="J198" s="265"/>
      <c r="K198" s="265"/>
      <c r="L198" s="265"/>
      <c r="M198" s="265"/>
      <c r="N198" s="265"/>
      <c r="O198" s="265"/>
      <c r="P198" s="265"/>
    </row>
    <row r="199" spans="1:17" ht="21" x14ac:dyDescent="0.3">
      <c r="A199" s="269"/>
      <c r="B199" s="273">
        <v>4</v>
      </c>
      <c r="C199" s="345" t="s">
        <v>148</v>
      </c>
      <c r="D199" s="346" t="s">
        <v>278</v>
      </c>
      <c r="E199" s="347"/>
      <c r="F199" s="347"/>
      <c r="G199" s="348"/>
      <c r="H199" s="349"/>
      <c r="I199" s="350"/>
      <c r="J199" s="350"/>
      <c r="K199" s="349"/>
      <c r="L199" s="349"/>
      <c r="M199" s="349"/>
      <c r="N199" s="349"/>
      <c r="O199" s="350"/>
      <c r="P199" s="350"/>
    </row>
    <row r="200" spans="1:17" ht="72" x14ac:dyDescent="0.3">
      <c r="A200" s="269"/>
      <c r="B200" s="270"/>
      <c r="C200" s="173" t="s">
        <v>7</v>
      </c>
      <c r="D200" s="173" t="s">
        <v>31</v>
      </c>
      <c r="E200" s="173" t="s">
        <v>32</v>
      </c>
      <c r="F200" s="271" t="s">
        <v>55</v>
      </c>
      <c r="G200" s="271" t="s">
        <v>54</v>
      </c>
      <c r="H200" s="271" t="s">
        <v>147</v>
      </c>
      <c r="I200" s="271" t="s">
        <v>33</v>
      </c>
      <c r="J200" s="271" t="s">
        <v>69</v>
      </c>
      <c r="K200" s="349"/>
      <c r="L200" s="271" t="s">
        <v>250</v>
      </c>
      <c r="M200" s="271" t="s">
        <v>147</v>
      </c>
      <c r="N200" s="271" t="s">
        <v>55</v>
      </c>
      <c r="O200" s="271" t="s">
        <v>252</v>
      </c>
      <c r="P200" s="271" t="s">
        <v>71</v>
      </c>
    </row>
    <row r="201" spans="1:17" ht="15" thickBot="1" x14ac:dyDescent="0.35">
      <c r="A201" s="269"/>
      <c r="B201" s="270"/>
      <c r="C201" s="55"/>
      <c r="D201" s="54"/>
      <c r="E201" s="54"/>
      <c r="F201" s="56"/>
      <c r="G201" s="57"/>
      <c r="H201" s="58"/>
      <c r="I201" s="351">
        <f>IF(ISERROR(+G201*(1-H201)),"",+G201*(1-H201))</f>
        <v>0</v>
      </c>
      <c r="J201" s="365">
        <f t="shared" ref="J201" si="46">IF(ISERROR(+I201*F201),"",+I201*F201)</f>
        <v>0</v>
      </c>
      <c r="K201" s="349"/>
      <c r="L201" s="59"/>
      <c r="M201" s="60"/>
      <c r="N201" s="352">
        <f>+F201</f>
        <v>0</v>
      </c>
      <c r="O201" s="351">
        <f>IF(ISERROR(+L201*(1-M201)),"",+L201*(1-(M201)))</f>
        <v>0</v>
      </c>
      <c r="P201" s="365">
        <f>IF(ISERROR(+O201*N201),"",+O201*N201)</f>
        <v>0</v>
      </c>
    </row>
    <row r="202" spans="1:17" ht="16.2" thickTop="1" x14ac:dyDescent="0.3">
      <c r="A202" s="269"/>
      <c r="B202" s="270"/>
      <c r="C202" s="353" t="s">
        <v>0</v>
      </c>
      <c r="D202" s="354"/>
      <c r="E202" s="347"/>
      <c r="F202" s="347"/>
      <c r="G202" s="348"/>
      <c r="H202" s="349"/>
      <c r="I202" s="350"/>
      <c r="J202" s="350"/>
      <c r="K202" s="349"/>
      <c r="L202" s="349"/>
      <c r="M202" s="349"/>
      <c r="N202" s="349"/>
      <c r="O202" s="350"/>
      <c r="P202" s="350"/>
    </row>
    <row r="203" spans="1:17" ht="21" x14ac:dyDescent="0.3">
      <c r="A203" s="269"/>
      <c r="B203" s="270"/>
      <c r="C203" s="355" t="s">
        <v>67</v>
      </c>
      <c r="D203" s="354"/>
      <c r="E203" s="347"/>
      <c r="F203" s="347"/>
      <c r="G203" s="348"/>
      <c r="H203" s="349"/>
      <c r="I203" s="350"/>
      <c r="J203" s="350"/>
      <c r="K203" s="349"/>
      <c r="L203" s="349"/>
      <c r="M203" s="349"/>
      <c r="N203" s="349"/>
      <c r="O203" s="350"/>
      <c r="P203" s="350"/>
    </row>
    <row r="204" spans="1:17" ht="28.8" x14ac:dyDescent="0.3">
      <c r="A204" s="269"/>
      <c r="B204" s="270"/>
      <c r="C204" s="173" t="s">
        <v>7</v>
      </c>
      <c r="D204" s="173" t="s">
        <v>31</v>
      </c>
      <c r="E204" s="173" t="s">
        <v>32</v>
      </c>
      <c r="F204" s="271" t="s">
        <v>55</v>
      </c>
      <c r="G204" s="348"/>
      <c r="H204" s="349"/>
      <c r="I204" s="350"/>
      <c r="J204" s="350"/>
      <c r="K204" s="349"/>
      <c r="L204" s="349"/>
      <c r="M204" s="349"/>
      <c r="N204" s="349"/>
      <c r="O204" s="350"/>
      <c r="P204" s="350"/>
      <c r="Q204" s="226"/>
    </row>
    <row r="205" spans="1:17" ht="15.6" x14ac:dyDescent="0.3">
      <c r="A205" s="269"/>
      <c r="B205" s="270"/>
      <c r="C205" s="55"/>
      <c r="D205" s="54"/>
      <c r="E205" s="54"/>
      <c r="F205" s="61"/>
      <c r="G205" s="348"/>
      <c r="H205" s="349"/>
      <c r="I205" s="350"/>
      <c r="J205" s="350"/>
      <c r="K205" s="349"/>
      <c r="L205" s="349"/>
      <c r="M205" s="349"/>
      <c r="N205" s="349"/>
      <c r="O205" s="350"/>
      <c r="P205" s="350"/>
      <c r="Q205" s="226"/>
    </row>
    <row r="206" spans="1:17" ht="15.6" x14ac:dyDescent="0.3">
      <c r="A206" s="269"/>
      <c r="B206" s="270"/>
      <c r="C206" s="55"/>
      <c r="D206" s="54"/>
      <c r="E206" s="54"/>
      <c r="F206" s="61"/>
      <c r="G206" s="348"/>
      <c r="H206" s="349"/>
      <c r="I206" s="350"/>
      <c r="J206" s="350"/>
      <c r="K206" s="349"/>
      <c r="L206" s="349"/>
      <c r="M206" s="349"/>
      <c r="N206" s="349"/>
      <c r="O206" s="350"/>
      <c r="P206" s="350"/>
      <c r="Q206" s="226"/>
    </row>
    <row r="207" spans="1:17" ht="15.6" x14ac:dyDescent="0.3">
      <c r="A207" s="269"/>
      <c r="B207" s="270"/>
      <c r="C207" s="55"/>
      <c r="D207" s="54"/>
      <c r="E207" s="54"/>
      <c r="F207" s="61"/>
      <c r="G207" s="348"/>
      <c r="H207" s="349"/>
      <c r="I207" s="350"/>
      <c r="J207" s="350"/>
      <c r="K207" s="349"/>
      <c r="L207" s="349"/>
      <c r="M207" s="349"/>
      <c r="N207" s="349"/>
      <c r="O207" s="350"/>
      <c r="P207" s="350"/>
      <c r="Q207" s="226"/>
    </row>
    <row r="208" spans="1:17" ht="15.6" x14ac:dyDescent="0.3">
      <c r="A208" s="269"/>
      <c r="B208" s="270"/>
      <c r="C208" s="55"/>
      <c r="D208" s="54"/>
      <c r="E208" s="54"/>
      <c r="F208" s="61"/>
      <c r="G208" s="348"/>
      <c r="H208" s="349"/>
      <c r="I208" s="350"/>
      <c r="J208" s="350"/>
      <c r="K208" s="349"/>
      <c r="L208" s="349"/>
      <c r="M208" s="349"/>
      <c r="N208" s="349"/>
      <c r="O208" s="350"/>
      <c r="P208" s="350"/>
      <c r="Q208" s="226"/>
    </row>
    <row r="209" spans="1:17" ht="15.6" x14ac:dyDescent="0.3">
      <c r="A209" s="269"/>
      <c r="B209" s="270"/>
      <c r="C209" s="55"/>
      <c r="D209" s="54"/>
      <c r="E209" s="54"/>
      <c r="F209" s="61"/>
      <c r="G209" s="348"/>
      <c r="H209" s="349"/>
      <c r="I209" s="350"/>
      <c r="J209" s="350"/>
      <c r="K209" s="349"/>
      <c r="L209" s="349"/>
      <c r="M209" s="349"/>
      <c r="N209" s="349"/>
      <c r="O209" s="350"/>
      <c r="P209" s="350"/>
      <c r="Q209" s="226"/>
    </row>
    <row r="210" spans="1:17" ht="15.6" x14ac:dyDescent="0.3">
      <c r="A210" s="269"/>
      <c r="B210" s="270"/>
      <c r="C210" s="55"/>
      <c r="D210" s="54"/>
      <c r="E210" s="54"/>
      <c r="F210" s="61"/>
      <c r="G210" s="348"/>
      <c r="H210" s="349"/>
      <c r="I210" s="350"/>
      <c r="J210" s="350"/>
      <c r="K210" s="349"/>
      <c r="L210" s="349"/>
      <c r="M210" s="349"/>
      <c r="N210" s="349"/>
      <c r="O210" s="350"/>
      <c r="P210" s="350"/>
      <c r="Q210" s="226"/>
    </row>
    <row r="211" spans="1:17" ht="15.6" x14ac:dyDescent="0.3">
      <c r="A211" s="269"/>
      <c r="B211" s="270"/>
      <c r="C211" s="55"/>
      <c r="D211" s="54"/>
      <c r="E211" s="54"/>
      <c r="F211" s="61"/>
      <c r="G211" s="348"/>
      <c r="H211" s="349"/>
      <c r="I211" s="350"/>
      <c r="J211" s="350"/>
      <c r="K211" s="349"/>
      <c r="L211" s="349"/>
      <c r="M211" s="349"/>
      <c r="N211" s="349"/>
      <c r="O211" s="350"/>
      <c r="P211" s="350"/>
      <c r="Q211" s="226"/>
    </row>
    <row r="212" spans="1:17" ht="15.6" x14ac:dyDescent="0.3">
      <c r="A212" s="269"/>
      <c r="B212" s="270"/>
      <c r="C212" s="55"/>
      <c r="D212" s="54"/>
      <c r="E212" s="54"/>
      <c r="F212" s="61"/>
      <c r="G212" s="348"/>
      <c r="H212" s="349"/>
      <c r="I212" s="350"/>
      <c r="J212" s="350"/>
      <c r="K212" s="349"/>
      <c r="L212" s="349"/>
      <c r="M212" s="349"/>
      <c r="N212" s="349"/>
      <c r="O212" s="350"/>
      <c r="P212" s="350"/>
      <c r="Q212" s="226"/>
    </row>
    <row r="213" spans="1:17" ht="15.6" x14ac:dyDescent="0.3">
      <c r="A213" s="269"/>
      <c r="B213" s="270"/>
      <c r="C213" s="55"/>
      <c r="D213" s="54"/>
      <c r="E213" s="54"/>
      <c r="F213" s="61"/>
      <c r="G213" s="348"/>
      <c r="H213" s="349"/>
      <c r="I213" s="350"/>
      <c r="J213" s="350"/>
      <c r="K213" s="349"/>
      <c r="L213" s="349"/>
      <c r="M213" s="349"/>
      <c r="N213" s="349"/>
      <c r="O213" s="350"/>
      <c r="P213" s="350"/>
      <c r="Q213" s="226"/>
    </row>
    <row r="214" spans="1:17" ht="15.6" x14ac:dyDescent="0.3">
      <c r="A214" s="269"/>
      <c r="B214" s="270"/>
      <c r="C214" s="55"/>
      <c r="D214" s="54"/>
      <c r="E214" s="54"/>
      <c r="F214" s="61"/>
      <c r="G214" s="348"/>
      <c r="H214" s="349"/>
      <c r="I214" s="350"/>
      <c r="J214" s="350"/>
      <c r="K214" s="349"/>
      <c r="L214" s="349"/>
      <c r="M214" s="349"/>
      <c r="N214" s="349"/>
      <c r="O214" s="350"/>
      <c r="P214" s="350"/>
      <c r="Q214" s="226"/>
    </row>
    <row r="215" spans="1:17" ht="15.6" x14ac:dyDescent="0.3">
      <c r="A215" s="269"/>
      <c r="B215" s="270"/>
      <c r="C215" s="55"/>
      <c r="D215" s="54"/>
      <c r="E215" s="54"/>
      <c r="F215" s="61"/>
      <c r="G215" s="348"/>
      <c r="H215" s="349"/>
      <c r="I215" s="350"/>
      <c r="J215" s="350"/>
      <c r="K215" s="349"/>
      <c r="L215" s="349"/>
      <c r="M215" s="349"/>
      <c r="N215" s="349"/>
      <c r="O215" s="350"/>
      <c r="P215" s="350"/>
      <c r="Q215" s="226"/>
    </row>
    <row r="216" spans="1:17" ht="15.6" x14ac:dyDescent="0.3">
      <c r="A216" s="269"/>
      <c r="B216" s="270"/>
      <c r="C216" s="55"/>
      <c r="D216" s="54"/>
      <c r="E216" s="54"/>
      <c r="F216" s="61"/>
      <c r="G216" s="348"/>
      <c r="H216" s="349"/>
      <c r="I216" s="350"/>
      <c r="J216" s="350"/>
      <c r="K216" s="349"/>
      <c r="L216" s="349"/>
      <c r="M216" s="349"/>
      <c r="N216" s="349"/>
      <c r="O216" s="350"/>
      <c r="P216" s="350"/>
      <c r="Q216" s="226"/>
    </row>
    <row r="217" spans="1:17" ht="15.6" x14ac:dyDescent="0.3">
      <c r="A217" s="269"/>
      <c r="B217" s="270"/>
      <c r="C217" s="55"/>
      <c r="D217" s="54"/>
      <c r="E217" s="54"/>
      <c r="F217" s="61"/>
      <c r="G217" s="348"/>
      <c r="H217" s="349"/>
      <c r="I217" s="350"/>
      <c r="J217" s="350"/>
      <c r="K217" s="349"/>
      <c r="L217" s="349"/>
      <c r="M217" s="349"/>
      <c r="N217" s="349"/>
      <c r="O217" s="350"/>
      <c r="P217" s="350"/>
      <c r="Q217" s="226"/>
    </row>
    <row r="218" spans="1:17" ht="15.6" x14ac:dyDescent="0.3">
      <c r="A218" s="269"/>
      <c r="B218" s="270"/>
      <c r="C218" s="55"/>
      <c r="D218" s="54"/>
      <c r="E218" s="54"/>
      <c r="F218" s="61"/>
      <c r="G218" s="348"/>
      <c r="H218" s="349"/>
      <c r="I218" s="350"/>
      <c r="J218" s="350"/>
      <c r="K218" s="349"/>
      <c r="L218" s="349"/>
      <c r="M218" s="349"/>
      <c r="N218" s="349"/>
      <c r="O218" s="350"/>
      <c r="P218" s="350"/>
      <c r="Q218" s="226"/>
    </row>
    <row r="219" spans="1:17" ht="15.6" x14ac:dyDescent="0.3">
      <c r="A219" s="269"/>
      <c r="B219" s="270"/>
      <c r="C219" s="55"/>
      <c r="D219" s="54"/>
      <c r="E219" s="54"/>
      <c r="F219" s="61"/>
      <c r="G219" s="348"/>
      <c r="H219" s="349"/>
      <c r="I219" s="350"/>
      <c r="J219" s="350"/>
      <c r="K219" s="349"/>
      <c r="L219" s="349"/>
      <c r="M219" s="349"/>
      <c r="N219" s="349"/>
      <c r="O219" s="350"/>
      <c r="P219" s="350"/>
      <c r="Q219" s="226"/>
    </row>
    <row r="220" spans="1:17" ht="15.6" x14ac:dyDescent="0.3">
      <c r="A220" s="269"/>
      <c r="B220" s="270"/>
      <c r="C220" s="55"/>
      <c r="D220" s="54"/>
      <c r="E220" s="54"/>
      <c r="F220" s="61"/>
      <c r="G220" s="348"/>
      <c r="H220" s="349"/>
      <c r="I220" s="350"/>
      <c r="J220" s="350"/>
      <c r="K220" s="349"/>
      <c r="L220" s="349"/>
      <c r="M220" s="349"/>
      <c r="N220" s="349"/>
      <c r="O220" s="350"/>
      <c r="P220" s="350"/>
      <c r="Q220" s="226"/>
    </row>
    <row r="221" spans="1:17" ht="15.6" x14ac:dyDescent="0.3">
      <c r="A221" s="269"/>
      <c r="B221" s="270"/>
      <c r="C221" s="55"/>
      <c r="D221" s="54"/>
      <c r="E221" s="54"/>
      <c r="F221" s="61"/>
      <c r="G221" s="348"/>
      <c r="H221" s="349"/>
      <c r="I221" s="350"/>
      <c r="J221" s="350"/>
      <c r="K221" s="349"/>
      <c r="L221" s="349"/>
      <c r="M221" s="349"/>
      <c r="N221" s="349"/>
      <c r="O221" s="350"/>
      <c r="P221" s="350"/>
      <c r="Q221" s="226"/>
    </row>
    <row r="222" spans="1:17" ht="15.6" x14ac:dyDescent="0.3">
      <c r="A222" s="269"/>
      <c r="B222" s="270"/>
      <c r="C222" s="55"/>
      <c r="D222" s="54"/>
      <c r="E222" s="54"/>
      <c r="F222" s="61"/>
      <c r="G222" s="348"/>
      <c r="H222" s="349"/>
      <c r="I222" s="350"/>
      <c r="J222" s="350"/>
      <c r="K222" s="349"/>
      <c r="L222" s="349"/>
      <c r="M222" s="349"/>
      <c r="N222" s="349"/>
      <c r="O222" s="350"/>
      <c r="P222" s="350"/>
      <c r="Q222" s="356" t="s">
        <v>0</v>
      </c>
    </row>
    <row r="223" spans="1:17" ht="15.6" x14ac:dyDescent="0.3">
      <c r="A223" s="269"/>
      <c r="B223" s="270"/>
      <c r="C223" s="55"/>
      <c r="D223" s="54"/>
      <c r="E223" s="54"/>
      <c r="F223" s="61"/>
      <c r="G223" s="348"/>
      <c r="H223" s="349"/>
      <c r="I223" s="350"/>
      <c r="J223" s="350"/>
      <c r="K223" s="349"/>
      <c r="L223" s="349"/>
      <c r="M223" s="349"/>
      <c r="N223" s="349"/>
      <c r="O223" s="350"/>
      <c r="P223" s="350"/>
      <c r="Q223" s="226" t="s">
        <v>0</v>
      </c>
    </row>
    <row r="224" spans="1:17" ht="15.6" x14ac:dyDescent="0.3">
      <c r="A224" s="269"/>
      <c r="B224" s="270"/>
      <c r="C224" s="55"/>
      <c r="D224" s="54"/>
      <c r="E224" s="54"/>
      <c r="F224" s="61"/>
      <c r="G224" s="348"/>
      <c r="H224" s="349"/>
      <c r="I224" s="350"/>
      <c r="J224" s="350"/>
      <c r="K224" s="349"/>
      <c r="L224" s="349"/>
      <c r="M224" s="349"/>
      <c r="N224" s="349"/>
      <c r="O224" s="350"/>
      <c r="P224" s="350"/>
      <c r="Q224" s="226"/>
    </row>
    <row r="225" spans="1:17" ht="15.6" x14ac:dyDescent="0.3">
      <c r="A225" s="269"/>
      <c r="B225" s="270"/>
      <c r="C225" s="55"/>
      <c r="D225" s="54"/>
      <c r="E225" s="54"/>
      <c r="F225" s="61"/>
      <c r="G225" s="348"/>
      <c r="H225" s="349"/>
      <c r="I225" s="350"/>
      <c r="J225" s="350"/>
      <c r="K225" s="349"/>
      <c r="L225" s="349"/>
      <c r="M225" s="349"/>
      <c r="N225" s="349"/>
      <c r="O225" s="350"/>
      <c r="P225" s="350"/>
      <c r="Q225" s="226"/>
    </row>
    <row r="226" spans="1:17" ht="15.6" x14ac:dyDescent="0.3">
      <c r="A226" s="269"/>
      <c r="B226" s="270"/>
      <c r="C226" s="55"/>
      <c r="D226" s="54"/>
      <c r="E226" s="54"/>
      <c r="F226" s="61"/>
      <c r="G226" s="348"/>
      <c r="H226" s="349"/>
      <c r="I226" s="350"/>
      <c r="J226" s="350"/>
      <c r="K226" s="349"/>
      <c r="L226" s="349"/>
      <c r="M226" s="349"/>
      <c r="N226" s="349"/>
      <c r="O226" s="350"/>
      <c r="P226" s="350"/>
      <c r="Q226" s="226"/>
    </row>
    <row r="227" spans="1:17" ht="15.6" x14ac:dyDescent="0.3">
      <c r="A227" s="269"/>
      <c r="B227" s="270"/>
      <c r="C227" s="55"/>
      <c r="D227" s="54"/>
      <c r="E227" s="54"/>
      <c r="F227" s="61"/>
      <c r="G227" s="348"/>
      <c r="H227" s="349"/>
      <c r="I227" s="350"/>
      <c r="J227" s="350"/>
      <c r="K227" s="349"/>
      <c r="L227" s="349"/>
      <c r="M227" s="349"/>
      <c r="N227" s="349"/>
      <c r="O227" s="350"/>
      <c r="P227" s="350"/>
      <c r="Q227" s="226"/>
    </row>
    <row r="228" spans="1:17" ht="15.6" x14ac:dyDescent="0.3">
      <c r="A228" s="269"/>
      <c r="B228" s="270"/>
      <c r="C228" s="55"/>
      <c r="D228" s="54"/>
      <c r="E228" s="54"/>
      <c r="F228" s="61"/>
      <c r="G228" s="348"/>
      <c r="H228" s="349"/>
      <c r="I228" s="350"/>
      <c r="J228" s="350"/>
      <c r="K228" s="349"/>
      <c r="L228" s="349"/>
      <c r="M228" s="349"/>
      <c r="N228" s="349"/>
      <c r="O228" s="350"/>
      <c r="P228" s="350"/>
      <c r="Q228" s="226"/>
    </row>
    <row r="229" spans="1:17" ht="15.6" x14ac:dyDescent="0.3">
      <c r="A229" s="269"/>
      <c r="B229" s="270"/>
      <c r="C229" s="55"/>
      <c r="D229" s="54"/>
      <c r="E229" s="54"/>
      <c r="F229" s="61"/>
      <c r="G229" s="348"/>
      <c r="H229" s="349"/>
      <c r="I229" s="350"/>
      <c r="J229" s="350"/>
      <c r="K229" s="349"/>
      <c r="L229" s="349"/>
      <c r="M229" s="349"/>
      <c r="N229" s="349"/>
      <c r="O229" s="350"/>
      <c r="P229" s="350"/>
      <c r="Q229" s="226"/>
    </row>
    <row r="230" spans="1:17" ht="14.4" x14ac:dyDescent="0.3">
      <c r="A230" s="269"/>
      <c r="B230" s="270"/>
      <c r="C230" s="357" t="s">
        <v>34</v>
      </c>
      <c r="D230" s="358"/>
      <c r="E230" s="358"/>
      <c r="F230" s="359"/>
      <c r="G230" s="360"/>
      <c r="H230" s="350"/>
      <c r="I230" s="349"/>
      <c r="J230" s="349"/>
      <c r="K230" s="349"/>
      <c r="L230" s="349"/>
      <c r="M230" s="350"/>
      <c r="N230" s="350"/>
      <c r="O230" s="349"/>
      <c r="P230" s="361"/>
    </row>
    <row r="231" spans="1:17" ht="15" thickBot="1" x14ac:dyDescent="0.35">
      <c r="A231" s="269"/>
      <c r="B231" s="270"/>
      <c r="C231" s="362"/>
      <c r="D231" s="362"/>
      <c r="E231" s="363"/>
      <c r="F231" s="263"/>
      <c r="G231" s="263"/>
      <c r="H231" s="263"/>
      <c r="I231" s="364"/>
      <c r="J231" s="364"/>
      <c r="K231" s="263"/>
      <c r="L231" s="263"/>
      <c r="M231" s="263"/>
      <c r="N231" s="263"/>
      <c r="O231" s="364"/>
      <c r="P231" s="364"/>
      <c r="Q231" s="226"/>
    </row>
    <row r="232" spans="1:17" ht="14.4" x14ac:dyDescent="0.3">
      <c r="A232" s="269"/>
      <c r="B232" s="270"/>
      <c r="C232" s="265"/>
      <c r="D232" s="265"/>
      <c r="E232" s="266"/>
      <c r="F232" s="265"/>
      <c r="G232" s="265"/>
      <c r="H232" s="265"/>
      <c r="I232" s="265"/>
      <c r="J232" s="265"/>
      <c r="K232" s="265"/>
      <c r="L232" s="265"/>
      <c r="M232" s="265"/>
      <c r="N232" s="265"/>
      <c r="O232" s="265"/>
      <c r="P232" s="265"/>
    </row>
    <row r="233" spans="1:17" ht="14.4" x14ac:dyDescent="0.3">
      <c r="A233" s="269"/>
      <c r="B233" s="270"/>
      <c r="C233" s="265"/>
      <c r="D233" s="173" t="s">
        <v>46</v>
      </c>
      <c r="E233" s="266"/>
      <c r="F233" s="265"/>
      <c r="G233" s="265"/>
      <c r="H233" s="265"/>
      <c r="I233" s="265"/>
      <c r="J233" s="265"/>
      <c r="K233" s="265"/>
      <c r="L233" s="265"/>
      <c r="M233" s="265"/>
      <c r="N233" s="265"/>
      <c r="O233" s="265"/>
      <c r="P233" s="265"/>
    </row>
    <row r="234" spans="1:17" ht="21" x14ac:dyDescent="0.3">
      <c r="A234" s="269"/>
      <c r="B234" s="273">
        <v>5</v>
      </c>
      <c r="C234" s="345" t="s">
        <v>148</v>
      </c>
      <c r="D234" s="346" t="s">
        <v>279</v>
      </c>
      <c r="E234" s="347"/>
      <c r="F234" s="347"/>
      <c r="G234" s="348"/>
      <c r="H234" s="349"/>
      <c r="I234" s="350"/>
      <c r="J234" s="350"/>
      <c r="K234" s="349"/>
      <c r="L234" s="349"/>
      <c r="M234" s="349"/>
      <c r="N234" s="349"/>
      <c r="O234" s="350"/>
      <c r="P234" s="350"/>
    </row>
    <row r="235" spans="1:17" ht="72" x14ac:dyDescent="0.3">
      <c r="A235" s="269"/>
      <c r="B235" s="270"/>
      <c r="C235" s="173" t="s">
        <v>7</v>
      </c>
      <c r="D235" s="173" t="s">
        <v>31</v>
      </c>
      <c r="E235" s="173" t="s">
        <v>32</v>
      </c>
      <c r="F235" s="271" t="s">
        <v>55</v>
      </c>
      <c r="G235" s="271" t="s">
        <v>54</v>
      </c>
      <c r="H235" s="271" t="s">
        <v>147</v>
      </c>
      <c r="I235" s="271" t="s">
        <v>33</v>
      </c>
      <c r="J235" s="271" t="s">
        <v>69</v>
      </c>
      <c r="K235" s="349"/>
      <c r="L235" s="271" t="s">
        <v>250</v>
      </c>
      <c r="M235" s="271" t="s">
        <v>147</v>
      </c>
      <c r="N235" s="271" t="s">
        <v>55</v>
      </c>
      <c r="O235" s="271" t="s">
        <v>252</v>
      </c>
      <c r="P235" s="271" t="s">
        <v>70</v>
      </c>
    </row>
    <row r="236" spans="1:17" ht="15" thickBot="1" x14ac:dyDescent="0.35">
      <c r="A236" s="269"/>
      <c r="B236" s="270"/>
      <c r="C236" s="55"/>
      <c r="D236" s="54"/>
      <c r="E236" s="54"/>
      <c r="F236" s="56"/>
      <c r="G236" s="57"/>
      <c r="H236" s="58"/>
      <c r="I236" s="351">
        <f>IF(ISERROR(+G236*(1-H236)),"",+G236*(1-H236))</f>
        <v>0</v>
      </c>
      <c r="J236" s="204">
        <f t="shared" ref="J236" si="47">IF(ISERROR(+I236*F236),"",+I236*F236)</f>
        <v>0</v>
      </c>
      <c r="K236" s="349"/>
      <c r="L236" s="59"/>
      <c r="M236" s="60"/>
      <c r="N236" s="352">
        <f>+F236</f>
        <v>0</v>
      </c>
      <c r="O236" s="351">
        <f>IF(ISERROR(+L236*(1-M236)),"",+L236*(1-(M236)))</f>
        <v>0</v>
      </c>
      <c r="P236" s="204">
        <f>IF(ISERROR(+O236*N236),"",+O236*N236)</f>
        <v>0</v>
      </c>
    </row>
    <row r="237" spans="1:17" ht="16.2" thickTop="1" x14ac:dyDescent="0.3">
      <c r="A237" s="269"/>
      <c r="B237" s="270"/>
      <c r="C237" s="353" t="s">
        <v>0</v>
      </c>
      <c r="D237" s="354"/>
      <c r="E237" s="347"/>
      <c r="F237" s="347"/>
      <c r="G237" s="348"/>
      <c r="H237" s="349"/>
      <c r="I237" s="350"/>
      <c r="J237" s="350"/>
      <c r="K237" s="349"/>
      <c r="L237" s="349"/>
      <c r="M237" s="349"/>
      <c r="N237" s="349"/>
      <c r="O237" s="350"/>
      <c r="P237" s="350"/>
    </row>
    <row r="238" spans="1:17" ht="21" x14ac:dyDescent="0.3">
      <c r="A238" s="269"/>
      <c r="B238" s="270"/>
      <c r="C238" s="355" t="s">
        <v>67</v>
      </c>
      <c r="D238" s="354"/>
      <c r="E238" s="347"/>
      <c r="F238" s="347"/>
      <c r="G238" s="348"/>
      <c r="H238" s="349"/>
      <c r="I238" s="350"/>
      <c r="J238" s="350"/>
      <c r="K238" s="349"/>
      <c r="L238" s="349"/>
      <c r="M238" s="349"/>
      <c r="N238" s="349"/>
      <c r="O238" s="350"/>
      <c r="P238" s="350"/>
    </row>
    <row r="239" spans="1:17" ht="28.8" x14ac:dyDescent="0.3">
      <c r="A239" s="269"/>
      <c r="B239" s="270"/>
      <c r="C239" s="173" t="s">
        <v>7</v>
      </c>
      <c r="D239" s="173" t="s">
        <v>31</v>
      </c>
      <c r="E239" s="173" t="s">
        <v>32</v>
      </c>
      <c r="F239" s="271" t="s">
        <v>55</v>
      </c>
      <c r="G239" s="348"/>
      <c r="H239" s="349"/>
      <c r="I239" s="350"/>
      <c r="J239" s="350"/>
      <c r="K239" s="349"/>
      <c r="L239" s="349"/>
      <c r="M239" s="349"/>
      <c r="N239" s="349"/>
      <c r="O239" s="350"/>
      <c r="P239" s="350"/>
      <c r="Q239" s="226"/>
    </row>
    <row r="240" spans="1:17" ht="15.6" x14ac:dyDescent="0.3">
      <c r="A240" s="269"/>
      <c r="B240" s="270"/>
      <c r="C240" s="55"/>
      <c r="D240" s="54"/>
      <c r="E240" s="54"/>
      <c r="F240" s="61"/>
      <c r="G240" s="348"/>
      <c r="H240" s="349"/>
      <c r="I240" s="350"/>
      <c r="J240" s="350"/>
      <c r="K240" s="349"/>
      <c r="L240" s="349"/>
      <c r="M240" s="349"/>
      <c r="N240" s="349"/>
      <c r="O240" s="350"/>
      <c r="P240" s="350"/>
      <c r="Q240" s="226"/>
    </row>
    <row r="241" spans="1:17" ht="15.6" x14ac:dyDescent="0.3">
      <c r="A241" s="269"/>
      <c r="B241" s="270"/>
      <c r="C241" s="55"/>
      <c r="D241" s="54"/>
      <c r="E241" s="54"/>
      <c r="F241" s="61"/>
      <c r="G241" s="348"/>
      <c r="H241" s="349"/>
      <c r="I241" s="350"/>
      <c r="J241" s="350"/>
      <c r="K241" s="349"/>
      <c r="L241" s="349"/>
      <c r="M241" s="349"/>
      <c r="N241" s="349"/>
      <c r="O241" s="350"/>
      <c r="P241" s="350"/>
      <c r="Q241" s="226"/>
    </row>
    <row r="242" spans="1:17" ht="15.6" x14ac:dyDescent="0.3">
      <c r="A242" s="269"/>
      <c r="B242" s="270"/>
      <c r="C242" s="55"/>
      <c r="D242" s="54"/>
      <c r="E242" s="54"/>
      <c r="F242" s="61"/>
      <c r="G242" s="348"/>
      <c r="H242" s="349"/>
      <c r="I242" s="350"/>
      <c r="J242" s="350"/>
      <c r="K242" s="349"/>
      <c r="L242" s="349"/>
      <c r="M242" s="349"/>
      <c r="N242" s="349"/>
      <c r="O242" s="350"/>
      <c r="P242" s="350"/>
      <c r="Q242" s="226"/>
    </row>
    <row r="243" spans="1:17" ht="15.6" x14ac:dyDescent="0.3">
      <c r="A243" s="269"/>
      <c r="B243" s="270"/>
      <c r="C243" s="55"/>
      <c r="D243" s="54"/>
      <c r="E243" s="54"/>
      <c r="F243" s="61"/>
      <c r="G243" s="348"/>
      <c r="H243" s="349"/>
      <c r="I243" s="350"/>
      <c r="J243" s="350"/>
      <c r="K243" s="349"/>
      <c r="L243" s="349"/>
      <c r="M243" s="349"/>
      <c r="N243" s="349"/>
      <c r="O243" s="350"/>
      <c r="P243" s="350"/>
      <c r="Q243" s="226"/>
    </row>
    <row r="244" spans="1:17" ht="15.6" x14ac:dyDescent="0.3">
      <c r="A244" s="269"/>
      <c r="B244" s="270"/>
      <c r="C244" s="55"/>
      <c r="D244" s="54"/>
      <c r="E244" s="54"/>
      <c r="F244" s="61"/>
      <c r="G244" s="348"/>
      <c r="H244" s="349"/>
      <c r="I244" s="350"/>
      <c r="J244" s="350"/>
      <c r="K244" s="349"/>
      <c r="L244" s="349"/>
      <c r="M244" s="349"/>
      <c r="N244" s="349"/>
      <c r="O244" s="350"/>
      <c r="P244" s="350"/>
      <c r="Q244" s="226"/>
    </row>
    <row r="245" spans="1:17" ht="15.6" x14ac:dyDescent="0.3">
      <c r="A245" s="269"/>
      <c r="B245" s="270"/>
      <c r="C245" s="55"/>
      <c r="D245" s="54"/>
      <c r="E245" s="54"/>
      <c r="F245" s="61"/>
      <c r="G245" s="348"/>
      <c r="H245" s="349"/>
      <c r="I245" s="350"/>
      <c r="J245" s="350"/>
      <c r="K245" s="349"/>
      <c r="L245" s="349"/>
      <c r="M245" s="349"/>
      <c r="N245" s="349"/>
      <c r="O245" s="350"/>
      <c r="P245" s="350"/>
      <c r="Q245" s="226"/>
    </row>
    <row r="246" spans="1:17" ht="15.6" x14ac:dyDescent="0.3">
      <c r="A246" s="269"/>
      <c r="B246" s="270"/>
      <c r="C246" s="55"/>
      <c r="D246" s="54"/>
      <c r="E246" s="54"/>
      <c r="F246" s="61"/>
      <c r="G246" s="348"/>
      <c r="H246" s="349"/>
      <c r="I246" s="350"/>
      <c r="J246" s="350"/>
      <c r="K246" s="349"/>
      <c r="L246" s="349"/>
      <c r="M246" s="349"/>
      <c r="N246" s="349"/>
      <c r="O246" s="350"/>
      <c r="P246" s="350"/>
      <c r="Q246" s="226"/>
    </row>
    <row r="247" spans="1:17" ht="15.6" x14ac:dyDescent="0.3">
      <c r="A247" s="269"/>
      <c r="B247" s="270"/>
      <c r="C247" s="55"/>
      <c r="D247" s="54"/>
      <c r="E247" s="54"/>
      <c r="F247" s="61"/>
      <c r="G247" s="348"/>
      <c r="H247" s="349"/>
      <c r="I247" s="350"/>
      <c r="J247" s="350"/>
      <c r="K247" s="349"/>
      <c r="L247" s="349"/>
      <c r="M247" s="349"/>
      <c r="N247" s="349"/>
      <c r="O247" s="350"/>
      <c r="P247" s="350"/>
      <c r="Q247" s="226"/>
    </row>
    <row r="248" spans="1:17" ht="15.6" x14ac:dyDescent="0.3">
      <c r="A248" s="269"/>
      <c r="B248" s="270"/>
      <c r="C248" s="55"/>
      <c r="D248" s="54"/>
      <c r="E248" s="54"/>
      <c r="F248" s="61"/>
      <c r="G248" s="348"/>
      <c r="H248" s="349"/>
      <c r="I248" s="350"/>
      <c r="J248" s="350"/>
      <c r="K248" s="349"/>
      <c r="L248" s="349"/>
      <c r="M248" s="349"/>
      <c r="N248" s="349"/>
      <c r="O248" s="350"/>
      <c r="P248" s="350"/>
      <c r="Q248" s="226"/>
    </row>
    <row r="249" spans="1:17" ht="15.6" x14ac:dyDescent="0.3">
      <c r="A249" s="269"/>
      <c r="B249" s="270"/>
      <c r="C249" s="55"/>
      <c r="D249" s="54"/>
      <c r="E249" s="54"/>
      <c r="F249" s="61"/>
      <c r="G249" s="348"/>
      <c r="H249" s="349"/>
      <c r="I249" s="350"/>
      <c r="J249" s="350"/>
      <c r="K249" s="349"/>
      <c r="L249" s="349"/>
      <c r="M249" s="349"/>
      <c r="N249" s="349"/>
      <c r="O249" s="350"/>
      <c r="P249" s="350"/>
      <c r="Q249" s="226"/>
    </row>
    <row r="250" spans="1:17" ht="15.6" x14ac:dyDescent="0.3">
      <c r="A250" s="269"/>
      <c r="B250" s="270"/>
      <c r="C250" s="55"/>
      <c r="D250" s="54"/>
      <c r="E250" s="54"/>
      <c r="F250" s="61"/>
      <c r="G250" s="348"/>
      <c r="H250" s="349"/>
      <c r="I250" s="350"/>
      <c r="J250" s="350"/>
      <c r="K250" s="349"/>
      <c r="L250" s="349"/>
      <c r="M250" s="349"/>
      <c r="N250" s="349"/>
      <c r="O250" s="350"/>
      <c r="P250" s="350"/>
      <c r="Q250" s="226"/>
    </row>
    <row r="251" spans="1:17" ht="15.6" x14ac:dyDescent="0.3">
      <c r="A251" s="269"/>
      <c r="B251" s="270"/>
      <c r="C251" s="55"/>
      <c r="D251" s="54"/>
      <c r="E251" s="54"/>
      <c r="F251" s="61"/>
      <c r="G251" s="348"/>
      <c r="H251" s="349"/>
      <c r="I251" s="350"/>
      <c r="J251" s="350"/>
      <c r="K251" s="349"/>
      <c r="L251" s="349"/>
      <c r="M251" s="349"/>
      <c r="N251" s="349"/>
      <c r="O251" s="350"/>
      <c r="P251" s="350"/>
      <c r="Q251" s="226"/>
    </row>
    <row r="252" spans="1:17" ht="15.6" x14ac:dyDescent="0.3">
      <c r="A252" s="269"/>
      <c r="B252" s="270"/>
      <c r="C252" s="55"/>
      <c r="D252" s="54"/>
      <c r="E252" s="54"/>
      <c r="F252" s="61"/>
      <c r="G252" s="348"/>
      <c r="H252" s="349"/>
      <c r="I252" s="350"/>
      <c r="J252" s="350"/>
      <c r="K252" s="349"/>
      <c r="L252" s="349"/>
      <c r="M252" s="349"/>
      <c r="N252" s="349"/>
      <c r="O252" s="350"/>
      <c r="P252" s="350"/>
      <c r="Q252" s="226"/>
    </row>
    <row r="253" spans="1:17" ht="15.6" x14ac:dyDescent="0.3">
      <c r="A253" s="269"/>
      <c r="B253" s="270"/>
      <c r="C253" s="55"/>
      <c r="D253" s="54"/>
      <c r="E253" s="54"/>
      <c r="F253" s="61"/>
      <c r="G253" s="348"/>
      <c r="H253" s="349"/>
      <c r="I253" s="350"/>
      <c r="J253" s="350"/>
      <c r="K253" s="349"/>
      <c r="L253" s="349"/>
      <c r="M253" s="349"/>
      <c r="N253" s="349"/>
      <c r="O253" s="350"/>
      <c r="P253" s="350"/>
      <c r="Q253" s="226"/>
    </row>
    <row r="254" spans="1:17" ht="15.6" x14ac:dyDescent="0.3">
      <c r="A254" s="269"/>
      <c r="B254" s="270"/>
      <c r="C254" s="55"/>
      <c r="D254" s="54"/>
      <c r="E254" s="54"/>
      <c r="F254" s="61"/>
      <c r="G254" s="348"/>
      <c r="H254" s="349"/>
      <c r="I254" s="350"/>
      <c r="J254" s="350"/>
      <c r="K254" s="349"/>
      <c r="L254" s="349"/>
      <c r="M254" s="349"/>
      <c r="N254" s="349"/>
      <c r="O254" s="350"/>
      <c r="P254" s="350"/>
      <c r="Q254" s="226"/>
    </row>
    <row r="255" spans="1:17" ht="15.6" x14ac:dyDescent="0.3">
      <c r="A255" s="269"/>
      <c r="B255" s="270"/>
      <c r="C255" s="55"/>
      <c r="D255" s="54"/>
      <c r="E255" s="54"/>
      <c r="F255" s="61"/>
      <c r="G255" s="348"/>
      <c r="H255" s="349"/>
      <c r="I255" s="350"/>
      <c r="J255" s="350"/>
      <c r="K255" s="349"/>
      <c r="L255" s="349"/>
      <c r="M255" s="349"/>
      <c r="N255" s="349"/>
      <c r="O255" s="350"/>
      <c r="P255" s="350"/>
      <c r="Q255" s="226"/>
    </row>
    <row r="256" spans="1:17" ht="15.6" x14ac:dyDescent="0.3">
      <c r="A256" s="269"/>
      <c r="B256" s="270"/>
      <c r="C256" s="55"/>
      <c r="D256" s="54"/>
      <c r="E256" s="54"/>
      <c r="F256" s="61"/>
      <c r="G256" s="348"/>
      <c r="H256" s="349"/>
      <c r="I256" s="350"/>
      <c r="J256" s="350"/>
      <c r="K256" s="349"/>
      <c r="L256" s="349"/>
      <c r="M256" s="349"/>
      <c r="N256" s="349"/>
      <c r="O256" s="350"/>
      <c r="P256" s="350"/>
      <c r="Q256" s="226"/>
    </row>
    <row r="257" spans="1:17" ht="15.6" x14ac:dyDescent="0.3">
      <c r="A257" s="269"/>
      <c r="B257" s="270"/>
      <c r="C257" s="55"/>
      <c r="D257" s="54"/>
      <c r="E257" s="54"/>
      <c r="F257" s="61"/>
      <c r="G257" s="348"/>
      <c r="H257" s="349"/>
      <c r="I257" s="350"/>
      <c r="J257" s="350"/>
      <c r="K257" s="349"/>
      <c r="L257" s="349"/>
      <c r="M257" s="349"/>
      <c r="N257" s="349"/>
      <c r="O257" s="350"/>
      <c r="P257" s="350"/>
      <c r="Q257" s="356" t="s">
        <v>0</v>
      </c>
    </row>
    <row r="258" spans="1:17" ht="15.6" x14ac:dyDescent="0.3">
      <c r="A258" s="269"/>
      <c r="B258" s="270"/>
      <c r="C258" s="55"/>
      <c r="D258" s="54"/>
      <c r="E258" s="54"/>
      <c r="F258" s="61"/>
      <c r="G258" s="348"/>
      <c r="H258" s="349"/>
      <c r="I258" s="350"/>
      <c r="J258" s="350"/>
      <c r="K258" s="349"/>
      <c r="L258" s="349"/>
      <c r="M258" s="349"/>
      <c r="N258" s="349"/>
      <c r="O258" s="350"/>
      <c r="P258" s="350"/>
      <c r="Q258" s="226" t="s">
        <v>0</v>
      </c>
    </row>
    <row r="259" spans="1:17" ht="15.6" x14ac:dyDescent="0.3">
      <c r="A259" s="269"/>
      <c r="B259" s="270"/>
      <c r="C259" s="55"/>
      <c r="D259" s="54"/>
      <c r="E259" s="54"/>
      <c r="F259" s="61"/>
      <c r="G259" s="348"/>
      <c r="H259" s="349"/>
      <c r="I259" s="350"/>
      <c r="J259" s="350"/>
      <c r="K259" s="349"/>
      <c r="L259" s="349"/>
      <c r="M259" s="349"/>
      <c r="N259" s="349"/>
      <c r="O259" s="350"/>
      <c r="P259" s="350"/>
      <c r="Q259" s="226"/>
    </row>
    <row r="260" spans="1:17" ht="15.6" x14ac:dyDescent="0.3">
      <c r="A260" s="269"/>
      <c r="B260" s="270"/>
      <c r="C260" s="55"/>
      <c r="D260" s="54"/>
      <c r="E260" s="54"/>
      <c r="F260" s="61"/>
      <c r="G260" s="348"/>
      <c r="H260" s="349"/>
      <c r="I260" s="350"/>
      <c r="J260" s="350"/>
      <c r="K260" s="349"/>
      <c r="L260" s="349"/>
      <c r="M260" s="349"/>
      <c r="N260" s="349"/>
      <c r="O260" s="350"/>
      <c r="P260" s="350"/>
      <c r="Q260" s="226"/>
    </row>
    <row r="261" spans="1:17" ht="15.6" x14ac:dyDescent="0.3">
      <c r="A261" s="269"/>
      <c r="B261" s="270"/>
      <c r="C261" s="55"/>
      <c r="D261" s="54"/>
      <c r="E261" s="54"/>
      <c r="F261" s="61"/>
      <c r="G261" s="348"/>
      <c r="H261" s="349"/>
      <c r="I261" s="350"/>
      <c r="J261" s="350"/>
      <c r="K261" s="349"/>
      <c r="L261" s="349"/>
      <c r="M261" s="349"/>
      <c r="N261" s="349"/>
      <c r="O261" s="350"/>
      <c r="P261" s="350"/>
      <c r="Q261" s="226"/>
    </row>
    <row r="262" spans="1:17" ht="15.6" x14ac:dyDescent="0.3">
      <c r="A262" s="269"/>
      <c r="B262" s="270"/>
      <c r="C262" s="55"/>
      <c r="D262" s="54"/>
      <c r="E262" s="54"/>
      <c r="F262" s="61"/>
      <c r="G262" s="348"/>
      <c r="H262" s="349"/>
      <c r="I262" s="350"/>
      <c r="J262" s="350"/>
      <c r="K262" s="349"/>
      <c r="L262" s="349"/>
      <c r="M262" s="349"/>
      <c r="N262" s="349"/>
      <c r="O262" s="350"/>
      <c r="P262" s="350"/>
      <c r="Q262" s="226"/>
    </row>
    <row r="263" spans="1:17" ht="15.6" x14ac:dyDescent="0.3">
      <c r="A263" s="269"/>
      <c r="B263" s="270"/>
      <c r="C263" s="55"/>
      <c r="D263" s="54"/>
      <c r="E263" s="54"/>
      <c r="F263" s="61"/>
      <c r="G263" s="348"/>
      <c r="H263" s="349"/>
      <c r="I263" s="350"/>
      <c r="J263" s="350"/>
      <c r="K263" s="349"/>
      <c r="L263" s="349"/>
      <c r="M263" s="349"/>
      <c r="N263" s="349"/>
      <c r="O263" s="350"/>
      <c r="P263" s="350"/>
      <c r="Q263" s="226"/>
    </row>
    <row r="264" spans="1:17" ht="15.6" x14ac:dyDescent="0.3">
      <c r="A264" s="269"/>
      <c r="B264" s="270"/>
      <c r="C264" s="55"/>
      <c r="D264" s="54"/>
      <c r="E264" s="54"/>
      <c r="F264" s="61"/>
      <c r="G264" s="348"/>
      <c r="H264" s="349"/>
      <c r="I264" s="350"/>
      <c r="J264" s="350"/>
      <c r="K264" s="349"/>
      <c r="L264" s="349"/>
      <c r="M264" s="349"/>
      <c r="N264" s="349"/>
      <c r="O264" s="350"/>
      <c r="P264" s="350"/>
      <c r="Q264" s="226"/>
    </row>
    <row r="265" spans="1:17" ht="14.4" x14ac:dyDescent="0.3">
      <c r="A265" s="269"/>
      <c r="B265" s="270"/>
      <c r="C265" s="357" t="s">
        <v>34</v>
      </c>
      <c r="D265" s="358"/>
      <c r="E265" s="358"/>
      <c r="F265" s="359"/>
      <c r="G265" s="360"/>
      <c r="H265" s="350"/>
      <c r="I265" s="349"/>
      <c r="J265" s="349"/>
      <c r="K265" s="349"/>
      <c r="L265" s="349"/>
      <c r="M265" s="350"/>
      <c r="N265" s="350"/>
      <c r="O265" s="349"/>
      <c r="P265" s="361"/>
    </row>
    <row r="266" spans="1:17" ht="15" thickBot="1" x14ac:dyDescent="0.35">
      <c r="A266" s="269"/>
      <c r="B266" s="270"/>
      <c r="C266" s="362"/>
      <c r="D266" s="362"/>
      <c r="E266" s="363"/>
      <c r="F266" s="263"/>
      <c r="G266" s="263"/>
      <c r="H266" s="263"/>
      <c r="I266" s="364"/>
      <c r="J266" s="364"/>
      <c r="K266" s="263"/>
      <c r="L266" s="263"/>
      <c r="M266" s="263"/>
      <c r="N266" s="263"/>
      <c r="O266" s="364"/>
      <c r="P266" s="364"/>
      <c r="Q266" s="226"/>
    </row>
    <row r="267" spans="1:17" ht="14.4" x14ac:dyDescent="0.3">
      <c r="A267" s="269"/>
      <c r="B267" s="270"/>
      <c r="C267" s="265"/>
      <c r="D267" s="265"/>
      <c r="E267" s="266"/>
      <c r="F267" s="265"/>
      <c r="G267" s="265"/>
      <c r="H267" s="265"/>
      <c r="I267" s="265"/>
      <c r="J267" s="265"/>
      <c r="K267" s="265"/>
      <c r="L267" s="265"/>
      <c r="M267" s="265"/>
      <c r="N267" s="265"/>
      <c r="O267" s="265"/>
      <c r="P267" s="265"/>
    </row>
    <row r="268" spans="1:17" ht="15.6" x14ac:dyDescent="0.3">
      <c r="A268" s="269"/>
      <c r="B268" s="270"/>
      <c r="C268" s="468" t="s">
        <v>214</v>
      </c>
      <c r="D268" s="469"/>
      <c r="E268" s="469"/>
      <c r="F268" s="366" t="s">
        <v>36</v>
      </c>
      <c r="G268" s="265"/>
      <c r="H268" s="265"/>
      <c r="I268" s="367"/>
      <c r="J268" s="367"/>
      <c r="K268" s="265"/>
      <c r="L268" s="265"/>
      <c r="M268" s="265"/>
      <c r="N268" s="265"/>
      <c r="O268" s="367"/>
      <c r="P268" s="367"/>
    </row>
    <row r="269" spans="1:17" ht="15" thickBot="1" x14ac:dyDescent="0.35">
      <c r="A269" s="269"/>
      <c r="B269" s="270"/>
      <c r="C269" s="465" t="s">
        <v>35</v>
      </c>
      <c r="D269" s="466"/>
      <c r="E269" s="467"/>
      <c r="F269" s="176">
        <f>2*(E26+H26+I26+J26+K26+L26+M26+N26+H34+I34+J34+K34+L34+M34+N34+E42+H47+I47+J47+K47+L47+M47+N47+E42+E42)</f>
        <v>0</v>
      </c>
      <c r="G269" s="265"/>
      <c r="H269" s="265"/>
      <c r="I269" s="367"/>
      <c r="J269" s="367"/>
      <c r="K269" s="265"/>
      <c r="L269" s="265"/>
      <c r="M269" s="265"/>
      <c r="N269" s="265"/>
      <c r="O269" s="367"/>
      <c r="P269" s="367"/>
    </row>
    <row r="270" spans="1:17" ht="15.6" thickTop="1" thickBot="1" x14ac:dyDescent="0.35">
      <c r="A270" s="269"/>
      <c r="B270" s="270"/>
      <c r="C270" s="362"/>
      <c r="D270" s="362"/>
      <c r="E270" s="363"/>
      <c r="F270" s="263"/>
      <c r="G270" s="263"/>
      <c r="H270" s="263"/>
      <c r="I270" s="364"/>
      <c r="J270" s="364"/>
      <c r="K270" s="263"/>
      <c r="L270" s="263"/>
      <c r="M270" s="263"/>
      <c r="N270" s="263"/>
      <c r="O270" s="364"/>
      <c r="P270" s="364"/>
    </row>
    <row r="271" spans="1:17" ht="14.4" x14ac:dyDescent="0.3">
      <c r="A271" s="269"/>
      <c r="B271" s="270"/>
      <c r="C271" s="368"/>
      <c r="D271" s="368"/>
      <c r="E271" s="369"/>
      <c r="F271" s="265"/>
      <c r="G271" s="265"/>
      <c r="H271" s="265"/>
      <c r="I271" s="367"/>
      <c r="J271" s="367"/>
      <c r="K271" s="265"/>
      <c r="L271" s="265"/>
      <c r="M271" s="265"/>
      <c r="N271" s="265"/>
      <c r="O271" s="367"/>
      <c r="P271" s="367"/>
    </row>
    <row r="272" spans="1:17" ht="14.4" hidden="1" x14ac:dyDescent="0.3">
      <c r="A272" s="269"/>
      <c r="B272" s="270"/>
      <c r="C272" s="368"/>
      <c r="D272" s="368"/>
      <c r="E272" s="369"/>
      <c r="F272" s="265"/>
      <c r="G272" s="265"/>
      <c r="H272" s="265"/>
      <c r="I272" s="367"/>
      <c r="J272" s="367"/>
      <c r="K272" s="265"/>
      <c r="L272" s="265"/>
      <c r="M272" s="265"/>
      <c r="N272" s="265"/>
      <c r="O272" s="367"/>
      <c r="P272" s="367"/>
    </row>
    <row r="273" spans="1:16" ht="14.4" hidden="1" x14ac:dyDescent="0.3">
      <c r="A273" s="269"/>
      <c r="B273" s="270"/>
      <c r="C273" s="368"/>
      <c r="D273" s="368"/>
      <c r="E273" s="369"/>
      <c r="F273" s="265"/>
      <c r="G273" s="265"/>
      <c r="H273" s="265"/>
      <c r="I273" s="367"/>
      <c r="J273" s="367"/>
      <c r="K273" s="265"/>
      <c r="L273" s="265"/>
      <c r="M273" s="265"/>
      <c r="N273" s="265"/>
      <c r="O273" s="367"/>
      <c r="P273" s="367"/>
    </row>
    <row r="274" spans="1:16" ht="14.4" hidden="1" x14ac:dyDescent="0.3">
      <c r="A274" s="269"/>
      <c r="B274" s="270"/>
      <c r="C274" s="368"/>
      <c r="D274" s="368"/>
      <c r="E274" s="369"/>
      <c r="F274" s="265"/>
      <c r="G274" s="265"/>
      <c r="H274" s="265"/>
      <c r="I274" s="367"/>
      <c r="J274" s="367"/>
      <c r="K274" s="265"/>
      <c r="L274" s="265"/>
      <c r="M274" s="265"/>
      <c r="N274" s="265"/>
      <c r="O274" s="367"/>
      <c r="P274" s="367"/>
    </row>
    <row r="275" spans="1:16" ht="14.4" hidden="1" x14ac:dyDescent="0.3">
      <c r="A275" s="269"/>
      <c r="B275" s="270"/>
      <c r="C275" s="368"/>
      <c r="D275" s="368"/>
      <c r="E275" s="369"/>
      <c r="F275" s="265"/>
      <c r="G275" s="265"/>
      <c r="H275" s="265"/>
      <c r="I275" s="367"/>
      <c r="J275" s="367"/>
      <c r="K275" s="265"/>
      <c r="L275" s="265"/>
      <c r="M275" s="265"/>
      <c r="N275" s="265"/>
      <c r="O275" s="367"/>
      <c r="P275" s="367"/>
    </row>
    <row r="276" spans="1:16" ht="14.4" hidden="1" x14ac:dyDescent="0.3">
      <c r="A276" s="269"/>
      <c r="B276" s="270"/>
      <c r="C276" s="368"/>
      <c r="D276" s="368"/>
      <c r="E276" s="369"/>
      <c r="F276" s="265"/>
      <c r="G276" s="265"/>
      <c r="H276" s="265"/>
      <c r="I276" s="367"/>
      <c r="J276" s="367"/>
      <c r="K276" s="265"/>
      <c r="L276" s="265"/>
      <c r="M276" s="265"/>
      <c r="N276" s="265"/>
      <c r="O276" s="367"/>
      <c r="P276" s="367"/>
    </row>
    <row r="277" spans="1:16" ht="14.4" hidden="1" x14ac:dyDescent="0.3">
      <c r="A277" s="269"/>
      <c r="B277" s="270"/>
      <c r="C277" s="368"/>
      <c r="D277" s="368"/>
      <c r="E277" s="369"/>
      <c r="F277" s="265"/>
      <c r="G277" s="265"/>
      <c r="H277" s="265"/>
      <c r="I277" s="367"/>
      <c r="J277" s="367"/>
      <c r="K277" s="265"/>
      <c r="L277" s="265"/>
      <c r="M277" s="265"/>
      <c r="N277" s="265"/>
      <c r="O277" s="367"/>
      <c r="P277" s="367"/>
    </row>
    <row r="278" spans="1:16" ht="14.4" hidden="1" x14ac:dyDescent="0.3">
      <c r="A278" s="269"/>
      <c r="B278" s="270"/>
      <c r="C278" s="368"/>
      <c r="D278" s="368"/>
      <c r="E278" s="369"/>
      <c r="F278" s="265"/>
      <c r="G278" s="265"/>
      <c r="H278" s="265"/>
      <c r="I278" s="367"/>
      <c r="J278" s="367"/>
      <c r="K278" s="265"/>
      <c r="L278" s="265"/>
      <c r="M278" s="265"/>
      <c r="N278" s="265"/>
      <c r="O278" s="367"/>
      <c r="P278" s="367"/>
    </row>
    <row r="279" spans="1:16" ht="14.4" hidden="1" x14ac:dyDescent="0.3">
      <c r="A279" s="269"/>
      <c r="B279" s="270"/>
      <c r="C279" s="368"/>
      <c r="D279" s="368"/>
      <c r="E279" s="369"/>
      <c r="F279" s="265"/>
      <c r="G279" s="265"/>
      <c r="H279" s="265"/>
      <c r="I279" s="367"/>
      <c r="J279" s="367"/>
      <c r="K279" s="265"/>
      <c r="L279" s="265"/>
      <c r="M279" s="265"/>
      <c r="N279" s="265"/>
      <c r="O279" s="367"/>
      <c r="P279" s="367"/>
    </row>
    <row r="280" spans="1:16" ht="14.4" hidden="1" x14ac:dyDescent="0.3">
      <c r="A280" s="269"/>
      <c r="B280" s="270"/>
      <c r="C280" s="368"/>
      <c r="D280" s="368"/>
      <c r="E280" s="369"/>
      <c r="F280" s="265"/>
      <c r="G280" s="265"/>
      <c r="H280" s="265"/>
      <c r="I280" s="367"/>
      <c r="J280" s="367"/>
      <c r="K280" s="265"/>
      <c r="L280" s="265"/>
      <c r="M280" s="265"/>
      <c r="N280" s="265"/>
      <c r="O280" s="367"/>
      <c r="P280" s="367"/>
    </row>
    <row r="281" spans="1:16" ht="14.4" hidden="1" x14ac:dyDescent="0.3">
      <c r="A281" s="269"/>
      <c r="B281" s="270"/>
      <c r="C281" s="368"/>
      <c r="D281" s="368"/>
      <c r="E281" s="369"/>
      <c r="F281" s="265"/>
      <c r="G281" s="265"/>
      <c r="H281" s="265"/>
      <c r="I281" s="367"/>
      <c r="J281" s="367"/>
      <c r="K281" s="265"/>
      <c r="L281" s="265"/>
      <c r="M281" s="265"/>
      <c r="N281" s="265"/>
      <c r="O281" s="367"/>
      <c r="P281" s="367"/>
    </row>
    <row r="282" spans="1:16" ht="14.4" hidden="1" x14ac:dyDescent="0.3">
      <c r="A282" s="269"/>
      <c r="B282" s="270"/>
      <c r="C282" s="368"/>
      <c r="D282" s="368"/>
      <c r="E282" s="369"/>
      <c r="F282" s="265"/>
      <c r="G282" s="265"/>
      <c r="H282" s="265"/>
      <c r="I282" s="367"/>
      <c r="J282" s="367"/>
      <c r="K282" s="265"/>
      <c r="L282" s="265"/>
      <c r="M282" s="265"/>
      <c r="N282" s="265"/>
      <c r="O282" s="367"/>
      <c r="P282" s="367"/>
    </row>
    <row r="283" spans="1:16" ht="14.4" hidden="1" x14ac:dyDescent="0.3">
      <c r="A283" s="269"/>
      <c r="B283" s="270"/>
      <c r="C283" s="368"/>
      <c r="D283" s="368"/>
      <c r="E283" s="369"/>
      <c r="F283" s="265"/>
      <c r="G283" s="265"/>
      <c r="H283" s="265"/>
      <c r="I283" s="367"/>
      <c r="J283" s="367"/>
      <c r="K283" s="265"/>
      <c r="L283" s="265"/>
      <c r="M283" s="265"/>
      <c r="N283" s="265"/>
      <c r="O283" s="367"/>
      <c r="P283" s="367"/>
    </row>
    <row r="284" spans="1:16" ht="14.4" hidden="1" x14ac:dyDescent="0.3">
      <c r="A284" s="269"/>
      <c r="B284" s="270"/>
      <c r="C284" s="368"/>
      <c r="D284" s="368"/>
      <c r="E284" s="369"/>
      <c r="F284" s="265"/>
      <c r="G284" s="265"/>
      <c r="H284" s="265"/>
      <c r="I284" s="367"/>
      <c r="J284" s="367"/>
      <c r="K284" s="265"/>
      <c r="L284" s="265"/>
      <c r="M284" s="265"/>
      <c r="N284" s="265"/>
      <c r="O284" s="367"/>
      <c r="P284" s="367"/>
    </row>
    <row r="285" spans="1:16" ht="14.4" hidden="1" x14ac:dyDescent="0.3">
      <c r="A285" s="269"/>
      <c r="B285" s="270"/>
      <c r="C285" s="368"/>
      <c r="D285" s="368"/>
      <c r="E285" s="369"/>
      <c r="F285" s="265"/>
      <c r="G285" s="265"/>
      <c r="H285" s="265"/>
      <c r="I285" s="367"/>
      <c r="J285" s="367"/>
      <c r="K285" s="265"/>
      <c r="L285" s="265"/>
      <c r="M285" s="265"/>
      <c r="N285" s="265"/>
      <c r="O285" s="367"/>
      <c r="P285" s="367"/>
    </row>
    <row r="286" spans="1:16" ht="14.4" hidden="1" x14ac:dyDescent="0.3">
      <c r="A286" s="269"/>
      <c r="B286" s="270"/>
      <c r="C286" s="368"/>
      <c r="D286" s="368"/>
      <c r="E286" s="369"/>
      <c r="F286" s="265"/>
      <c r="G286" s="265"/>
      <c r="H286" s="265"/>
      <c r="I286" s="367"/>
      <c r="J286" s="367"/>
      <c r="K286" s="265"/>
      <c r="L286" s="265"/>
      <c r="M286" s="265"/>
      <c r="N286" s="265"/>
      <c r="O286" s="367"/>
      <c r="P286" s="367"/>
    </row>
    <row r="287" spans="1:16" ht="14.4" hidden="1" x14ac:dyDescent="0.3">
      <c r="A287" s="269"/>
      <c r="B287" s="270"/>
      <c r="C287" s="368"/>
      <c r="D287" s="368"/>
      <c r="E287" s="369"/>
      <c r="F287" s="265"/>
      <c r="G287" s="265"/>
      <c r="H287" s="265"/>
      <c r="I287" s="367"/>
      <c r="J287" s="367"/>
      <c r="K287" s="265"/>
      <c r="L287" s="265"/>
      <c r="M287" s="265"/>
      <c r="N287" s="265"/>
      <c r="O287" s="367"/>
      <c r="P287" s="367"/>
    </row>
    <row r="288" spans="1:16" ht="14.4" hidden="1" x14ac:dyDescent="0.3">
      <c r="A288" s="269"/>
      <c r="B288" s="270"/>
      <c r="C288" s="368"/>
      <c r="D288" s="368"/>
      <c r="E288" s="369"/>
      <c r="F288" s="265"/>
      <c r="G288" s="265"/>
      <c r="H288" s="265"/>
      <c r="I288" s="367"/>
      <c r="J288" s="367"/>
      <c r="K288" s="265"/>
      <c r="L288" s="265"/>
      <c r="M288" s="265"/>
      <c r="N288" s="265"/>
      <c r="O288" s="367"/>
      <c r="P288" s="367"/>
    </row>
    <row r="289" spans="1:16" ht="14.4" hidden="1" x14ac:dyDescent="0.3">
      <c r="A289" s="269"/>
      <c r="B289" s="270"/>
      <c r="C289" s="368"/>
      <c r="D289" s="368"/>
      <c r="E289" s="369"/>
      <c r="F289" s="265"/>
      <c r="G289" s="265"/>
      <c r="H289" s="265"/>
      <c r="I289" s="367"/>
      <c r="J289" s="367"/>
      <c r="K289" s="265"/>
      <c r="L289" s="265"/>
      <c r="M289" s="265"/>
      <c r="N289" s="265"/>
      <c r="O289" s="367"/>
      <c r="P289" s="367"/>
    </row>
    <row r="290" spans="1:16" ht="14.4" hidden="1" x14ac:dyDescent="0.3">
      <c r="A290" s="269"/>
      <c r="B290" s="270"/>
      <c r="C290" s="368"/>
      <c r="D290" s="368"/>
      <c r="E290" s="369"/>
      <c r="F290" s="265"/>
      <c r="G290" s="265"/>
      <c r="H290" s="265"/>
      <c r="I290" s="367"/>
      <c r="J290" s="367"/>
      <c r="K290" s="265"/>
      <c r="L290" s="265"/>
      <c r="M290" s="265"/>
      <c r="N290" s="265"/>
      <c r="O290" s="367"/>
      <c r="P290" s="367"/>
    </row>
    <row r="291" spans="1:16" ht="14.4" hidden="1" x14ac:dyDescent="0.3">
      <c r="A291" s="269"/>
      <c r="B291" s="270"/>
      <c r="C291" s="368"/>
      <c r="D291" s="368"/>
      <c r="E291" s="369"/>
      <c r="F291" s="265"/>
      <c r="G291" s="265"/>
      <c r="H291" s="265"/>
      <c r="I291" s="367"/>
      <c r="J291" s="367"/>
      <c r="K291" s="265"/>
      <c r="L291" s="265"/>
      <c r="M291" s="265"/>
      <c r="N291" s="265"/>
      <c r="O291" s="367"/>
      <c r="P291" s="367"/>
    </row>
    <row r="292" spans="1:16" ht="14.4" hidden="1" x14ac:dyDescent="0.3">
      <c r="A292" s="269"/>
      <c r="B292" s="270"/>
      <c r="C292" s="368"/>
      <c r="D292" s="368"/>
      <c r="E292" s="369"/>
      <c r="F292" s="265"/>
      <c r="G292" s="265"/>
      <c r="H292" s="265"/>
      <c r="I292" s="367"/>
      <c r="J292" s="367"/>
      <c r="K292" s="265"/>
      <c r="L292" s="265"/>
      <c r="M292" s="265"/>
      <c r="N292" s="265"/>
      <c r="O292" s="367"/>
      <c r="P292" s="367"/>
    </row>
    <row r="293" spans="1:16" ht="14.4" hidden="1" x14ac:dyDescent="0.3">
      <c r="A293" s="269"/>
      <c r="B293" s="270"/>
      <c r="C293" s="368"/>
      <c r="D293" s="368"/>
      <c r="E293" s="369"/>
      <c r="F293" s="265"/>
      <c r="G293" s="265"/>
      <c r="H293" s="265"/>
      <c r="I293" s="367"/>
      <c r="J293" s="367"/>
      <c r="K293" s="265"/>
      <c r="L293" s="265"/>
      <c r="M293" s="265"/>
      <c r="N293" s="265"/>
      <c r="O293" s="367"/>
      <c r="P293" s="367"/>
    </row>
    <row r="294" spans="1:16" ht="14.4" hidden="1" x14ac:dyDescent="0.3">
      <c r="A294" s="269"/>
      <c r="B294" s="270"/>
      <c r="C294" s="368"/>
      <c r="D294" s="368"/>
      <c r="E294" s="369"/>
      <c r="F294" s="265"/>
      <c r="G294" s="265"/>
      <c r="H294" s="265"/>
      <c r="I294" s="367"/>
      <c r="J294" s="367"/>
      <c r="K294" s="265"/>
      <c r="L294" s="265"/>
      <c r="M294" s="265"/>
      <c r="N294" s="265"/>
      <c r="O294" s="367"/>
      <c r="P294" s="367"/>
    </row>
    <row r="295" spans="1:16" ht="14.4" hidden="1" x14ac:dyDescent="0.3">
      <c r="A295" s="269"/>
      <c r="B295" s="270"/>
      <c r="C295" s="368"/>
      <c r="D295" s="368"/>
      <c r="E295" s="369"/>
      <c r="F295" s="265"/>
      <c r="G295" s="265"/>
      <c r="H295" s="265"/>
      <c r="I295" s="367"/>
      <c r="J295" s="367"/>
      <c r="K295" s="265"/>
      <c r="L295" s="265"/>
      <c r="M295" s="265"/>
      <c r="N295" s="265"/>
      <c r="O295" s="367"/>
      <c r="P295" s="367"/>
    </row>
    <row r="296" spans="1:16" ht="14.4" hidden="1" x14ac:dyDescent="0.3">
      <c r="A296" s="269"/>
      <c r="B296" s="270"/>
      <c r="C296" s="368"/>
      <c r="D296" s="368"/>
      <c r="E296" s="369"/>
      <c r="F296" s="265"/>
      <c r="G296" s="265"/>
      <c r="H296" s="265"/>
      <c r="I296" s="367"/>
      <c r="J296" s="367"/>
      <c r="K296" s="265"/>
      <c r="L296" s="265"/>
      <c r="M296" s="265"/>
      <c r="N296" s="265"/>
      <c r="O296" s="367"/>
      <c r="P296" s="367"/>
    </row>
    <row r="297" spans="1:16" ht="14.4" hidden="1" x14ac:dyDescent="0.3">
      <c r="A297" s="269"/>
      <c r="B297" s="270"/>
      <c r="C297" s="368"/>
      <c r="D297" s="368"/>
      <c r="E297" s="369"/>
      <c r="F297" s="265"/>
      <c r="G297" s="265"/>
      <c r="H297" s="265"/>
      <c r="I297" s="367"/>
      <c r="J297" s="367"/>
      <c r="K297" s="265"/>
      <c r="L297" s="265"/>
      <c r="M297" s="265"/>
      <c r="N297" s="265"/>
      <c r="O297" s="367"/>
      <c r="P297" s="367"/>
    </row>
    <row r="298" spans="1:16" ht="14.4" hidden="1" x14ac:dyDescent="0.3">
      <c r="A298" s="269"/>
      <c r="B298" s="270"/>
      <c r="C298" s="368"/>
      <c r="D298" s="368"/>
      <c r="E298" s="369"/>
      <c r="F298" s="265"/>
      <c r="G298" s="265"/>
      <c r="H298" s="265"/>
      <c r="I298" s="367"/>
      <c r="J298" s="367"/>
      <c r="K298" s="265"/>
      <c r="L298" s="265"/>
      <c r="M298" s="265"/>
      <c r="N298" s="265"/>
      <c r="O298" s="367"/>
      <c r="P298" s="367"/>
    </row>
    <row r="299" spans="1:16" ht="14.4" hidden="1" x14ac:dyDescent="0.3">
      <c r="A299" s="269"/>
      <c r="B299" s="270"/>
      <c r="C299" s="368"/>
      <c r="D299" s="368"/>
      <c r="E299" s="369"/>
      <c r="F299" s="265"/>
      <c r="G299" s="265"/>
      <c r="H299" s="265"/>
      <c r="I299" s="367"/>
      <c r="J299" s="367"/>
      <c r="K299" s="265"/>
      <c r="L299" s="265"/>
      <c r="M299" s="265"/>
      <c r="N299" s="265"/>
      <c r="O299" s="367"/>
      <c r="P299" s="367"/>
    </row>
    <row r="300" spans="1:16" ht="14.4" hidden="1" x14ac:dyDescent="0.3">
      <c r="A300" s="269"/>
      <c r="B300" s="270"/>
      <c r="C300" s="368"/>
      <c r="D300" s="368"/>
      <c r="E300" s="369"/>
      <c r="F300" s="265"/>
      <c r="G300" s="265"/>
      <c r="H300" s="265"/>
      <c r="I300" s="367"/>
      <c r="J300" s="367"/>
      <c r="K300" s="265"/>
      <c r="L300" s="265"/>
      <c r="M300" s="265"/>
      <c r="N300" s="265"/>
      <c r="O300" s="367"/>
      <c r="P300" s="367"/>
    </row>
    <row r="301" spans="1:16" ht="14.4" hidden="1" x14ac:dyDescent="0.3">
      <c r="A301" s="269"/>
      <c r="B301" s="270"/>
      <c r="C301" s="368"/>
      <c r="D301" s="368"/>
      <c r="E301" s="369"/>
      <c r="F301" s="265"/>
      <c r="G301" s="265"/>
      <c r="H301" s="265"/>
      <c r="I301" s="367"/>
      <c r="J301" s="367"/>
      <c r="K301" s="265"/>
      <c r="L301" s="265"/>
      <c r="M301" s="265"/>
      <c r="N301" s="265"/>
      <c r="O301" s="367"/>
      <c r="P301" s="367"/>
    </row>
    <row r="302" spans="1:16" ht="14.4" hidden="1" x14ac:dyDescent="0.3">
      <c r="A302" s="269"/>
      <c r="B302" s="270"/>
      <c r="C302" s="368"/>
      <c r="D302" s="368"/>
      <c r="E302" s="369"/>
      <c r="F302" s="265"/>
      <c r="G302" s="265"/>
      <c r="H302" s="265"/>
      <c r="I302" s="367"/>
      <c r="J302" s="367"/>
      <c r="K302" s="265"/>
      <c r="L302" s="265"/>
      <c r="M302" s="265"/>
      <c r="N302" s="265"/>
      <c r="O302" s="367"/>
      <c r="P302" s="367"/>
    </row>
    <row r="303" spans="1:16" ht="14.4" hidden="1" x14ac:dyDescent="0.3">
      <c r="A303" s="269"/>
      <c r="B303" s="270"/>
      <c r="C303" s="368"/>
      <c r="D303" s="368"/>
      <c r="E303" s="369"/>
      <c r="F303" s="265"/>
      <c r="G303" s="265"/>
      <c r="H303" s="265"/>
      <c r="I303" s="367"/>
      <c r="J303" s="367"/>
      <c r="K303" s="265"/>
      <c r="L303" s="265"/>
      <c r="M303" s="265"/>
      <c r="N303" s="265"/>
      <c r="O303" s="367"/>
      <c r="P303" s="367"/>
    </row>
    <row r="304" spans="1:16" ht="14.4" hidden="1" x14ac:dyDescent="0.3">
      <c r="A304" s="269"/>
      <c r="B304" s="270"/>
      <c r="C304" s="368"/>
      <c r="D304" s="368"/>
      <c r="E304" s="369"/>
      <c r="F304" s="265"/>
      <c r="G304" s="265"/>
      <c r="H304" s="265"/>
      <c r="I304" s="367"/>
      <c r="J304" s="367"/>
      <c r="K304" s="265"/>
      <c r="L304" s="265"/>
      <c r="M304" s="265"/>
      <c r="N304" s="265"/>
      <c r="O304" s="367"/>
      <c r="P304" s="367"/>
    </row>
    <row r="305" spans="1:16" ht="14.4" hidden="1" x14ac:dyDescent="0.3">
      <c r="A305" s="269"/>
      <c r="B305" s="270"/>
      <c r="C305" s="368"/>
      <c r="D305" s="368"/>
      <c r="E305" s="369"/>
      <c r="F305" s="265"/>
      <c r="G305" s="265"/>
      <c r="H305" s="265"/>
      <c r="I305" s="367"/>
      <c r="J305" s="367"/>
      <c r="K305" s="265"/>
      <c r="L305" s="265"/>
      <c r="M305" s="265"/>
      <c r="N305" s="265"/>
      <c r="O305" s="367"/>
      <c r="P305" s="367"/>
    </row>
    <row r="306" spans="1:16" ht="14.4" hidden="1" x14ac:dyDescent="0.3">
      <c r="A306" s="269"/>
      <c r="B306" s="270"/>
      <c r="C306" s="368"/>
      <c r="D306" s="368"/>
      <c r="E306" s="369"/>
      <c r="F306" s="265"/>
      <c r="G306" s="265"/>
      <c r="H306" s="265"/>
      <c r="I306" s="367"/>
      <c r="J306" s="367"/>
      <c r="K306" s="265"/>
      <c r="L306" s="265"/>
      <c r="M306" s="265"/>
      <c r="N306" s="265"/>
      <c r="O306" s="367"/>
      <c r="P306" s="367"/>
    </row>
    <row r="307" spans="1:16" ht="14.4" hidden="1" x14ac:dyDescent="0.3">
      <c r="A307" s="269"/>
      <c r="B307" s="270"/>
      <c r="C307" s="368"/>
      <c r="D307" s="368"/>
      <c r="E307" s="369"/>
      <c r="F307" s="265"/>
      <c r="G307" s="265"/>
      <c r="H307" s="265"/>
      <c r="I307" s="367"/>
      <c r="J307" s="367"/>
      <c r="K307" s="265"/>
      <c r="L307" s="265"/>
      <c r="M307" s="265"/>
      <c r="N307" s="265"/>
      <c r="O307" s="367"/>
      <c r="P307" s="367"/>
    </row>
    <row r="308" spans="1:16" ht="14.4" hidden="1" x14ac:dyDescent="0.3">
      <c r="A308" s="269"/>
      <c r="B308" s="270"/>
      <c r="C308" s="368"/>
      <c r="D308" s="368"/>
      <c r="E308" s="369"/>
      <c r="F308" s="265"/>
      <c r="G308" s="265"/>
      <c r="H308" s="265"/>
      <c r="I308" s="367"/>
      <c r="J308" s="367"/>
      <c r="K308" s="265"/>
      <c r="L308" s="265"/>
      <c r="M308" s="265"/>
      <c r="N308" s="265"/>
      <c r="O308" s="367"/>
      <c r="P308" s="367"/>
    </row>
    <row r="309" spans="1:16" ht="14.4" hidden="1" x14ac:dyDescent="0.3">
      <c r="A309" s="269"/>
      <c r="B309" s="270"/>
      <c r="C309" s="368"/>
      <c r="D309" s="368"/>
      <c r="E309" s="369"/>
      <c r="F309" s="265"/>
      <c r="G309" s="265"/>
      <c r="H309" s="265"/>
      <c r="I309" s="367"/>
      <c r="J309" s="367"/>
      <c r="K309" s="265"/>
      <c r="L309" s="265"/>
      <c r="M309" s="265"/>
      <c r="N309" s="265"/>
      <c r="O309" s="367"/>
      <c r="P309" s="367"/>
    </row>
    <row r="310" spans="1:16" ht="14.4" hidden="1" x14ac:dyDescent="0.3">
      <c r="A310" s="269"/>
      <c r="B310" s="270"/>
      <c r="C310" s="368"/>
      <c r="D310" s="368"/>
      <c r="E310" s="369"/>
      <c r="F310" s="265"/>
      <c r="G310" s="265"/>
      <c r="H310" s="265"/>
      <c r="I310" s="367"/>
      <c r="J310" s="367"/>
      <c r="K310" s="265"/>
      <c r="L310" s="265"/>
      <c r="M310" s="265"/>
      <c r="N310" s="265"/>
      <c r="O310" s="367"/>
      <c r="P310" s="367"/>
    </row>
    <row r="311" spans="1:16" ht="14.4" hidden="1" x14ac:dyDescent="0.3">
      <c r="A311" s="269"/>
      <c r="B311" s="270"/>
      <c r="C311" s="368"/>
      <c r="D311" s="368"/>
      <c r="E311" s="369"/>
      <c r="F311" s="265"/>
      <c r="G311" s="265"/>
      <c r="H311" s="265"/>
      <c r="I311" s="367"/>
      <c r="J311" s="367"/>
      <c r="K311" s="265"/>
      <c r="L311" s="265"/>
      <c r="M311" s="265"/>
      <c r="N311" s="265"/>
      <c r="O311" s="367"/>
      <c r="P311" s="367"/>
    </row>
    <row r="312" spans="1:16" ht="14.4" hidden="1" x14ac:dyDescent="0.3">
      <c r="A312" s="269"/>
      <c r="B312" s="270"/>
      <c r="C312" s="368"/>
      <c r="D312" s="368"/>
      <c r="E312" s="369"/>
      <c r="F312" s="265"/>
      <c r="G312" s="265"/>
      <c r="H312" s="265"/>
      <c r="I312" s="367"/>
      <c r="J312" s="367"/>
      <c r="K312" s="265"/>
      <c r="L312" s="265"/>
      <c r="M312" s="265"/>
      <c r="N312" s="265"/>
      <c r="O312" s="367"/>
      <c r="P312" s="367"/>
    </row>
    <row r="313" spans="1:16" ht="14.4" hidden="1" x14ac:dyDescent="0.3">
      <c r="A313" s="269"/>
      <c r="B313" s="270"/>
      <c r="C313" s="368"/>
      <c r="D313" s="368"/>
      <c r="E313" s="369"/>
      <c r="F313" s="265"/>
      <c r="G313" s="265"/>
      <c r="H313" s="265"/>
      <c r="I313" s="367"/>
      <c r="J313" s="367"/>
      <c r="K313" s="265"/>
      <c r="L313" s="265"/>
      <c r="M313" s="265"/>
      <c r="N313" s="265"/>
      <c r="O313" s="367"/>
      <c r="P313" s="367"/>
    </row>
    <row r="314" spans="1:16" ht="14.4" hidden="1" x14ac:dyDescent="0.3">
      <c r="A314" s="269"/>
      <c r="B314" s="270"/>
      <c r="C314" s="368"/>
      <c r="D314" s="368"/>
      <c r="E314" s="369"/>
      <c r="F314" s="265"/>
      <c r="G314" s="265"/>
      <c r="H314" s="265"/>
      <c r="I314" s="367"/>
      <c r="J314" s="367"/>
      <c r="K314" s="265"/>
      <c r="L314" s="265"/>
      <c r="M314" s="265"/>
      <c r="N314" s="265"/>
      <c r="O314" s="367"/>
      <c r="P314" s="367"/>
    </row>
    <row r="315" spans="1:16" ht="14.4" hidden="1" x14ac:dyDescent="0.3">
      <c r="A315" s="269"/>
      <c r="B315" s="270"/>
      <c r="C315" s="368"/>
      <c r="D315" s="368"/>
      <c r="E315" s="369"/>
      <c r="F315" s="265"/>
      <c r="G315" s="265"/>
      <c r="H315" s="265"/>
      <c r="I315" s="367"/>
      <c r="J315" s="367"/>
      <c r="K315" s="265"/>
      <c r="L315" s="265"/>
      <c r="M315" s="265"/>
      <c r="N315" s="265"/>
      <c r="O315" s="367"/>
      <c r="P315" s="367"/>
    </row>
    <row r="316" spans="1:16" ht="14.4" hidden="1" x14ac:dyDescent="0.3">
      <c r="A316" s="269"/>
      <c r="B316" s="270"/>
      <c r="C316" s="368"/>
      <c r="D316" s="368"/>
      <c r="E316" s="369"/>
      <c r="F316" s="265"/>
      <c r="G316" s="265"/>
      <c r="H316" s="265"/>
      <c r="I316" s="367"/>
      <c r="J316" s="367"/>
      <c r="K316" s="265"/>
      <c r="L316" s="265"/>
      <c r="M316" s="265"/>
      <c r="N316" s="265"/>
      <c r="O316" s="367"/>
      <c r="P316" s="367"/>
    </row>
    <row r="317" spans="1:16" ht="14.4" hidden="1" x14ac:dyDescent="0.3">
      <c r="A317" s="269"/>
      <c r="B317" s="270"/>
      <c r="C317" s="368"/>
      <c r="D317" s="368"/>
      <c r="E317" s="369"/>
      <c r="F317" s="265"/>
      <c r="G317" s="265"/>
      <c r="H317" s="265"/>
      <c r="I317" s="367"/>
      <c r="J317" s="367"/>
      <c r="K317" s="265"/>
      <c r="L317" s="265"/>
      <c r="M317" s="265"/>
      <c r="N317" s="265"/>
      <c r="O317" s="367"/>
      <c r="P317" s="367"/>
    </row>
    <row r="318" spans="1:16" ht="14.4" hidden="1" x14ac:dyDescent="0.3">
      <c r="A318" s="269"/>
      <c r="B318" s="270"/>
      <c r="C318" s="368"/>
      <c r="D318" s="368"/>
      <c r="E318" s="369"/>
      <c r="F318" s="265"/>
      <c r="G318" s="265"/>
      <c r="H318" s="265"/>
      <c r="I318" s="367"/>
      <c r="J318" s="367"/>
      <c r="K318" s="265"/>
      <c r="L318" s="265"/>
      <c r="M318" s="265"/>
      <c r="N318" s="265"/>
      <c r="O318" s="367"/>
      <c r="P318" s="367"/>
    </row>
    <row r="319" spans="1:16" ht="14.4" hidden="1" x14ac:dyDescent="0.3">
      <c r="A319" s="269"/>
      <c r="B319" s="270"/>
      <c r="C319" s="368"/>
      <c r="D319" s="368"/>
      <c r="E319" s="369"/>
      <c r="F319" s="265"/>
      <c r="G319" s="265"/>
      <c r="H319" s="265"/>
      <c r="I319" s="367"/>
      <c r="J319" s="367"/>
      <c r="K319" s="265"/>
      <c r="L319" s="265"/>
      <c r="M319" s="265"/>
      <c r="N319" s="265"/>
      <c r="O319" s="367"/>
      <c r="P319" s="367"/>
    </row>
    <row r="320" spans="1:16" ht="14.4" hidden="1" x14ac:dyDescent="0.3">
      <c r="A320" s="269"/>
      <c r="B320" s="270"/>
      <c r="C320" s="368"/>
      <c r="D320" s="368"/>
      <c r="E320" s="369"/>
      <c r="F320" s="265"/>
      <c r="G320" s="265"/>
      <c r="H320" s="265"/>
      <c r="I320" s="367"/>
      <c r="J320" s="367"/>
      <c r="K320" s="265"/>
      <c r="L320" s="265"/>
      <c r="M320" s="265"/>
      <c r="N320" s="265"/>
      <c r="O320" s="367"/>
      <c r="P320" s="367"/>
    </row>
    <row r="321" spans="1:16" ht="14.4" hidden="1" x14ac:dyDescent="0.3">
      <c r="A321" s="269"/>
      <c r="B321" s="270"/>
      <c r="C321" s="368"/>
      <c r="D321" s="368"/>
      <c r="E321" s="369"/>
      <c r="F321" s="265"/>
      <c r="G321" s="265"/>
      <c r="H321" s="265"/>
      <c r="I321" s="367"/>
      <c r="J321" s="367"/>
      <c r="K321" s="265"/>
      <c r="L321" s="265"/>
      <c r="M321" s="265"/>
      <c r="N321" s="265"/>
      <c r="O321" s="367"/>
      <c r="P321" s="367"/>
    </row>
    <row r="322" spans="1:16" ht="14.4" hidden="1" x14ac:dyDescent="0.3">
      <c r="A322" s="269"/>
      <c r="B322" s="270"/>
      <c r="C322" s="368"/>
      <c r="D322" s="368"/>
      <c r="E322" s="369"/>
      <c r="F322" s="265"/>
      <c r="G322" s="265"/>
      <c r="H322" s="265"/>
      <c r="I322" s="367"/>
      <c r="J322" s="367"/>
      <c r="K322" s="265"/>
      <c r="L322" s="265"/>
      <c r="M322" s="265"/>
      <c r="N322" s="265"/>
      <c r="O322" s="367"/>
      <c r="P322" s="367"/>
    </row>
    <row r="323" spans="1:16" ht="14.4" hidden="1" x14ac:dyDescent="0.3">
      <c r="A323" s="269"/>
      <c r="B323" s="270"/>
      <c r="C323" s="368"/>
      <c r="D323" s="368"/>
      <c r="E323" s="369"/>
      <c r="F323" s="265"/>
      <c r="G323" s="265"/>
      <c r="H323" s="265"/>
      <c r="I323" s="367"/>
      <c r="J323" s="367"/>
      <c r="K323" s="265"/>
      <c r="L323" s="265"/>
      <c r="M323" s="265"/>
      <c r="N323" s="265"/>
      <c r="O323" s="367"/>
      <c r="P323" s="367"/>
    </row>
    <row r="324" spans="1:16" ht="14.4" hidden="1" x14ac:dyDescent="0.3">
      <c r="A324" s="269"/>
      <c r="B324" s="270"/>
      <c r="C324" s="368"/>
      <c r="D324" s="368"/>
      <c r="E324" s="369"/>
      <c r="F324" s="265"/>
      <c r="G324" s="265"/>
      <c r="H324" s="265"/>
      <c r="I324" s="367"/>
      <c r="J324" s="367"/>
      <c r="K324" s="265"/>
      <c r="L324" s="265"/>
      <c r="M324" s="265"/>
      <c r="N324" s="265"/>
      <c r="O324" s="367"/>
      <c r="P324" s="367"/>
    </row>
    <row r="325" spans="1:16" ht="14.4" hidden="1" x14ac:dyDescent="0.3">
      <c r="A325" s="269"/>
      <c r="B325" s="270"/>
      <c r="C325" s="368"/>
      <c r="D325" s="368"/>
      <c r="E325" s="369"/>
      <c r="F325" s="265"/>
      <c r="G325" s="265"/>
      <c r="H325" s="265"/>
      <c r="I325" s="367"/>
      <c r="J325" s="367"/>
      <c r="K325" s="265"/>
      <c r="L325" s="265"/>
      <c r="M325" s="265"/>
      <c r="N325" s="265"/>
      <c r="O325" s="367"/>
      <c r="P325" s="367"/>
    </row>
    <row r="326" spans="1:16" ht="14.4" hidden="1" x14ac:dyDescent="0.3">
      <c r="A326" s="269"/>
      <c r="B326" s="270"/>
      <c r="C326" s="368"/>
      <c r="D326" s="368"/>
      <c r="E326" s="369"/>
      <c r="F326" s="265"/>
      <c r="G326" s="265"/>
      <c r="H326" s="265"/>
      <c r="I326" s="367"/>
      <c r="J326" s="367"/>
      <c r="K326" s="265"/>
      <c r="L326" s="265"/>
      <c r="M326" s="265"/>
      <c r="N326" s="265"/>
      <c r="O326" s="367"/>
      <c r="P326" s="367"/>
    </row>
    <row r="327" spans="1:16" ht="14.4" hidden="1" x14ac:dyDescent="0.3">
      <c r="A327" s="269"/>
      <c r="B327" s="270"/>
      <c r="C327" s="368"/>
      <c r="D327" s="368"/>
      <c r="E327" s="369"/>
      <c r="F327" s="265"/>
      <c r="G327" s="265"/>
      <c r="H327" s="265"/>
      <c r="I327" s="367"/>
      <c r="J327" s="367"/>
      <c r="K327" s="265"/>
      <c r="L327" s="265"/>
      <c r="M327" s="265"/>
      <c r="N327" s="265"/>
      <c r="O327" s="367"/>
      <c r="P327" s="367"/>
    </row>
    <row r="328" spans="1:16" ht="14.4" hidden="1" x14ac:dyDescent="0.3">
      <c r="A328" s="269"/>
      <c r="B328" s="270"/>
      <c r="C328" s="368"/>
      <c r="D328" s="368"/>
      <c r="E328" s="369"/>
      <c r="F328" s="265"/>
      <c r="G328" s="265"/>
      <c r="H328" s="265"/>
      <c r="I328" s="367"/>
      <c r="J328" s="367"/>
      <c r="K328" s="265"/>
      <c r="L328" s="265"/>
      <c r="M328" s="265"/>
      <c r="N328" s="265"/>
      <c r="O328" s="367"/>
      <c r="P328" s="367"/>
    </row>
    <row r="329" spans="1:16" ht="14.4" hidden="1" x14ac:dyDescent="0.3">
      <c r="A329" s="269"/>
      <c r="B329" s="270"/>
      <c r="C329" s="368"/>
      <c r="D329" s="368"/>
      <c r="E329" s="369"/>
      <c r="F329" s="265"/>
      <c r="G329" s="265"/>
      <c r="H329" s="265"/>
      <c r="I329" s="367"/>
      <c r="J329" s="367"/>
      <c r="K329" s="265"/>
      <c r="L329" s="265"/>
      <c r="M329" s="265"/>
      <c r="N329" s="265"/>
      <c r="O329" s="367"/>
      <c r="P329" s="367"/>
    </row>
    <row r="330" spans="1:16" ht="14.4" hidden="1" x14ac:dyDescent="0.3">
      <c r="A330" s="269"/>
      <c r="B330" s="270"/>
      <c r="C330" s="368"/>
      <c r="D330" s="368"/>
      <c r="E330" s="369"/>
      <c r="F330" s="265"/>
      <c r="G330" s="265"/>
      <c r="H330" s="265"/>
      <c r="I330" s="367"/>
      <c r="J330" s="367"/>
      <c r="K330" s="265"/>
      <c r="L330" s="265"/>
      <c r="M330" s="265"/>
      <c r="N330" s="265"/>
      <c r="O330" s="367"/>
      <c r="P330" s="367"/>
    </row>
    <row r="331" spans="1:16" ht="14.4" hidden="1" x14ac:dyDescent="0.3">
      <c r="A331" s="269"/>
      <c r="B331" s="270"/>
      <c r="C331" s="368"/>
      <c r="D331" s="368"/>
      <c r="E331" s="369"/>
      <c r="F331" s="265"/>
      <c r="G331" s="265"/>
      <c r="H331" s="265"/>
      <c r="I331" s="367"/>
      <c r="J331" s="367"/>
      <c r="K331" s="265"/>
      <c r="L331" s="265"/>
      <c r="M331" s="265"/>
      <c r="N331" s="265"/>
      <c r="O331" s="367"/>
      <c r="P331" s="367"/>
    </row>
    <row r="332" spans="1:16" ht="14.4" hidden="1" x14ac:dyDescent="0.3">
      <c r="A332" s="269"/>
      <c r="B332" s="270"/>
      <c r="C332" s="368"/>
      <c r="D332" s="368"/>
      <c r="E332" s="369"/>
      <c r="F332" s="265"/>
      <c r="G332" s="265"/>
      <c r="H332" s="265"/>
      <c r="I332" s="367"/>
      <c r="J332" s="367"/>
      <c r="K332" s="265"/>
      <c r="L332" s="265"/>
      <c r="M332" s="265"/>
      <c r="N332" s="265"/>
      <c r="O332" s="367"/>
      <c r="P332" s="367"/>
    </row>
    <row r="333" spans="1:16" ht="14.4" hidden="1" x14ac:dyDescent="0.3">
      <c r="A333" s="269"/>
      <c r="B333" s="270"/>
      <c r="C333" s="368"/>
      <c r="D333" s="368"/>
      <c r="E333" s="369"/>
      <c r="F333" s="265"/>
      <c r="G333" s="265"/>
      <c r="H333" s="265"/>
      <c r="I333" s="367"/>
      <c r="J333" s="367"/>
      <c r="K333" s="265"/>
      <c r="L333" s="265"/>
      <c r="M333" s="265"/>
      <c r="N333" s="265"/>
      <c r="O333" s="367"/>
      <c r="P333" s="367"/>
    </row>
    <row r="334" spans="1:16" ht="14.4" hidden="1" x14ac:dyDescent="0.3">
      <c r="A334" s="269"/>
      <c r="B334" s="270"/>
      <c r="C334" s="368"/>
      <c r="D334" s="368"/>
      <c r="E334" s="369"/>
      <c r="F334" s="265"/>
      <c r="G334" s="265"/>
      <c r="H334" s="265"/>
      <c r="I334" s="367"/>
      <c r="J334" s="367"/>
      <c r="K334" s="265"/>
      <c r="L334" s="265"/>
      <c r="M334" s="265"/>
      <c r="N334" s="265"/>
      <c r="O334" s="367"/>
      <c r="P334" s="367"/>
    </row>
    <row r="335" spans="1:16" ht="14.4" hidden="1" x14ac:dyDescent="0.3">
      <c r="A335" s="269"/>
      <c r="B335" s="270"/>
      <c r="C335" s="368"/>
      <c r="D335" s="368"/>
      <c r="E335" s="369"/>
      <c r="F335" s="265"/>
      <c r="G335" s="265"/>
      <c r="H335" s="265"/>
      <c r="I335" s="367"/>
      <c r="J335" s="367"/>
      <c r="K335" s="265"/>
      <c r="L335" s="265"/>
      <c r="M335" s="265"/>
      <c r="N335" s="265"/>
      <c r="O335" s="367"/>
      <c r="P335" s="367"/>
    </row>
    <row r="336" spans="1:16" ht="14.4" hidden="1" x14ac:dyDescent="0.3">
      <c r="A336" s="269"/>
      <c r="B336" s="270"/>
      <c r="C336" s="368"/>
      <c r="D336" s="368"/>
      <c r="E336" s="369"/>
      <c r="F336" s="265"/>
      <c r="G336" s="265"/>
      <c r="H336" s="265"/>
      <c r="I336" s="367"/>
      <c r="J336" s="367"/>
      <c r="K336" s="265"/>
      <c r="L336" s="265"/>
      <c r="M336" s="265"/>
      <c r="N336" s="265"/>
      <c r="O336" s="367"/>
      <c r="P336" s="367"/>
    </row>
    <row r="337" spans="1:16" ht="14.4" hidden="1" x14ac:dyDescent="0.3">
      <c r="A337" s="269"/>
      <c r="B337" s="270"/>
      <c r="C337" s="368"/>
      <c r="D337" s="368"/>
      <c r="E337" s="369"/>
      <c r="F337" s="265"/>
      <c r="G337" s="265"/>
      <c r="H337" s="265"/>
      <c r="I337" s="367"/>
      <c r="J337" s="367"/>
      <c r="K337" s="265"/>
      <c r="L337" s="265"/>
      <c r="M337" s="265"/>
      <c r="N337" s="265"/>
      <c r="O337" s="367"/>
      <c r="P337" s="367"/>
    </row>
    <row r="338" spans="1:16" ht="14.4" hidden="1" x14ac:dyDescent="0.3">
      <c r="A338" s="269"/>
      <c r="B338" s="270"/>
      <c r="C338" s="368"/>
      <c r="D338" s="368"/>
      <c r="E338" s="369"/>
      <c r="F338" s="265"/>
      <c r="G338" s="265"/>
      <c r="H338" s="265"/>
      <c r="I338" s="367"/>
      <c r="J338" s="367"/>
      <c r="K338" s="265"/>
      <c r="L338" s="265"/>
      <c r="M338" s="265"/>
      <c r="N338" s="265"/>
      <c r="O338" s="367"/>
      <c r="P338" s="367"/>
    </row>
    <row r="339" spans="1:16" ht="14.4" hidden="1" x14ac:dyDescent="0.3">
      <c r="A339" s="269"/>
      <c r="B339" s="270"/>
      <c r="C339" s="368"/>
      <c r="D339" s="368"/>
      <c r="E339" s="369"/>
      <c r="F339" s="265"/>
      <c r="G339" s="265"/>
      <c r="H339" s="265"/>
      <c r="I339" s="367"/>
      <c r="J339" s="367"/>
      <c r="K339" s="265"/>
      <c r="L339" s="265"/>
      <c r="M339" s="265"/>
      <c r="N339" s="265"/>
      <c r="O339" s="367"/>
      <c r="P339" s="367"/>
    </row>
    <row r="340" spans="1:16" ht="14.4" hidden="1" x14ac:dyDescent="0.3">
      <c r="A340" s="269"/>
      <c r="B340" s="270"/>
      <c r="C340" s="368"/>
      <c r="D340" s="368"/>
      <c r="E340" s="369"/>
      <c r="F340" s="265"/>
      <c r="G340" s="265"/>
      <c r="H340" s="265"/>
      <c r="I340" s="367"/>
      <c r="J340" s="367"/>
      <c r="K340" s="265"/>
      <c r="L340" s="265"/>
      <c r="M340" s="265"/>
      <c r="N340" s="265"/>
      <c r="O340" s="367"/>
      <c r="P340" s="367"/>
    </row>
    <row r="341" spans="1:16" ht="14.4" hidden="1" x14ac:dyDescent="0.3">
      <c r="A341" s="269"/>
      <c r="B341" s="270"/>
      <c r="C341" s="368"/>
      <c r="D341" s="368"/>
      <c r="E341" s="369"/>
      <c r="F341" s="265"/>
      <c r="G341" s="265"/>
      <c r="H341" s="265"/>
      <c r="I341" s="367"/>
      <c r="J341" s="367"/>
      <c r="K341" s="265"/>
      <c r="L341" s="265"/>
      <c r="M341" s="265"/>
      <c r="N341" s="265"/>
      <c r="O341" s="367"/>
      <c r="P341" s="367"/>
    </row>
    <row r="342" spans="1:16" ht="14.4" hidden="1" x14ac:dyDescent="0.3">
      <c r="A342" s="269"/>
      <c r="B342" s="270"/>
      <c r="C342" s="368"/>
      <c r="D342" s="368"/>
      <c r="E342" s="369"/>
      <c r="F342" s="265"/>
      <c r="G342" s="265"/>
      <c r="H342" s="265"/>
      <c r="I342" s="367"/>
      <c r="J342" s="367"/>
      <c r="K342" s="265"/>
      <c r="L342" s="265"/>
      <c r="M342" s="265"/>
      <c r="N342" s="265"/>
      <c r="O342" s="367"/>
      <c r="P342" s="367"/>
    </row>
    <row r="343" spans="1:16" ht="14.4" hidden="1" x14ac:dyDescent="0.3">
      <c r="A343" s="269"/>
      <c r="B343" s="270"/>
      <c r="C343" s="368"/>
      <c r="D343" s="368"/>
      <c r="E343" s="369"/>
      <c r="F343" s="265"/>
      <c r="G343" s="265"/>
      <c r="H343" s="265"/>
      <c r="I343" s="367"/>
      <c r="J343" s="367"/>
      <c r="K343" s="265"/>
      <c r="L343" s="265"/>
      <c r="M343" s="265"/>
      <c r="N343" s="265"/>
      <c r="O343" s="367"/>
      <c r="P343" s="367"/>
    </row>
    <row r="344" spans="1:16" ht="14.4" hidden="1" x14ac:dyDescent="0.3">
      <c r="A344" s="269"/>
      <c r="B344" s="270"/>
      <c r="C344" s="368"/>
      <c r="D344" s="368"/>
      <c r="E344" s="369"/>
      <c r="F344" s="265"/>
      <c r="G344" s="265"/>
      <c r="H344" s="265"/>
      <c r="I344" s="367"/>
      <c r="J344" s="367"/>
      <c r="K344" s="265"/>
      <c r="L344" s="265"/>
      <c r="M344" s="265"/>
      <c r="N344" s="265"/>
      <c r="O344" s="367"/>
      <c r="P344" s="367"/>
    </row>
    <row r="345" spans="1:16" ht="14.4" hidden="1" x14ac:dyDescent="0.3">
      <c r="A345" s="269"/>
      <c r="B345" s="270"/>
      <c r="C345" s="368"/>
      <c r="D345" s="368"/>
      <c r="E345" s="369"/>
      <c r="F345" s="265"/>
      <c r="G345" s="265"/>
      <c r="H345" s="265"/>
      <c r="I345" s="367"/>
      <c r="J345" s="367"/>
      <c r="K345" s="265"/>
      <c r="L345" s="265"/>
      <c r="M345" s="265"/>
      <c r="N345" s="265"/>
      <c r="O345" s="367"/>
      <c r="P345" s="367"/>
    </row>
    <row r="346" spans="1:16" ht="14.4" hidden="1" x14ac:dyDescent="0.3">
      <c r="A346" s="269"/>
      <c r="B346" s="270"/>
      <c r="C346" s="368"/>
      <c r="D346" s="368"/>
      <c r="E346" s="369"/>
      <c r="F346" s="265"/>
      <c r="G346" s="265"/>
      <c r="H346" s="265"/>
      <c r="I346" s="367"/>
      <c r="J346" s="367"/>
      <c r="K346" s="265"/>
      <c r="L346" s="265"/>
      <c r="M346" s="265"/>
      <c r="N346" s="265"/>
      <c r="O346" s="367"/>
      <c r="P346" s="367"/>
    </row>
    <row r="347" spans="1:16" ht="14.4" hidden="1" x14ac:dyDescent="0.3">
      <c r="A347" s="269"/>
      <c r="B347" s="270"/>
      <c r="C347" s="368"/>
      <c r="D347" s="368"/>
      <c r="E347" s="369"/>
      <c r="F347" s="265"/>
      <c r="G347" s="265"/>
      <c r="H347" s="265"/>
      <c r="I347" s="367"/>
      <c r="J347" s="367"/>
      <c r="K347" s="265"/>
      <c r="L347" s="265"/>
      <c r="M347" s="265"/>
      <c r="N347" s="265"/>
      <c r="O347" s="367"/>
      <c r="P347" s="367"/>
    </row>
    <row r="348" spans="1:16" ht="14.4" hidden="1" x14ac:dyDescent="0.3">
      <c r="A348" s="269"/>
      <c r="B348" s="270"/>
      <c r="C348" s="368"/>
      <c r="D348" s="368"/>
      <c r="E348" s="369"/>
      <c r="F348" s="265"/>
      <c r="G348" s="265"/>
      <c r="H348" s="265"/>
      <c r="I348" s="367"/>
      <c r="J348" s="367"/>
      <c r="K348" s="265"/>
      <c r="L348" s="265"/>
      <c r="M348" s="265"/>
      <c r="N348" s="265"/>
      <c r="O348" s="367"/>
      <c r="P348" s="367"/>
    </row>
    <row r="349" spans="1:16" ht="14.4" hidden="1" x14ac:dyDescent="0.3">
      <c r="A349" s="269"/>
      <c r="B349" s="270"/>
      <c r="C349" s="368"/>
      <c r="D349" s="368"/>
      <c r="E349" s="369"/>
      <c r="F349" s="265"/>
      <c r="G349" s="265"/>
      <c r="H349" s="265"/>
      <c r="I349" s="367"/>
      <c r="J349" s="367"/>
      <c r="K349" s="265"/>
      <c r="L349" s="265"/>
      <c r="M349" s="265"/>
      <c r="N349" s="265"/>
      <c r="O349" s="367"/>
      <c r="P349" s="367"/>
    </row>
    <row r="350" spans="1:16" ht="14.4" hidden="1" x14ac:dyDescent="0.3">
      <c r="A350" s="269"/>
      <c r="B350" s="270"/>
      <c r="C350" s="368"/>
      <c r="D350" s="368"/>
      <c r="E350" s="369"/>
      <c r="F350" s="265"/>
      <c r="G350" s="265"/>
      <c r="H350" s="265"/>
      <c r="I350" s="367"/>
      <c r="J350" s="367"/>
      <c r="K350" s="265"/>
      <c r="L350" s="265"/>
      <c r="M350" s="265"/>
      <c r="N350" s="265"/>
      <c r="O350" s="367"/>
      <c r="P350" s="367"/>
    </row>
    <row r="351" spans="1:16" ht="14.4" hidden="1" x14ac:dyDescent="0.3">
      <c r="A351" s="269"/>
      <c r="B351" s="270"/>
      <c r="C351" s="368"/>
      <c r="D351" s="368"/>
      <c r="E351" s="369"/>
      <c r="F351" s="265"/>
      <c r="G351" s="265"/>
      <c r="H351" s="265"/>
      <c r="I351" s="367"/>
      <c r="J351" s="367"/>
      <c r="K351" s="265"/>
      <c r="L351" s="265"/>
      <c r="M351" s="265"/>
      <c r="N351" s="265"/>
      <c r="O351" s="367"/>
      <c r="P351" s="367"/>
    </row>
    <row r="352" spans="1:16" ht="14.4" hidden="1" x14ac:dyDescent="0.3">
      <c r="A352" s="269"/>
      <c r="B352" s="270"/>
      <c r="C352" s="368"/>
      <c r="D352" s="368"/>
      <c r="E352" s="369"/>
      <c r="F352" s="265"/>
      <c r="G352" s="265"/>
      <c r="H352" s="265"/>
      <c r="I352" s="367"/>
      <c r="J352" s="367"/>
      <c r="K352" s="265"/>
      <c r="L352" s="265"/>
      <c r="M352" s="265"/>
      <c r="N352" s="265"/>
      <c r="O352" s="367"/>
      <c r="P352" s="367"/>
    </row>
    <row r="353" spans="1:16" ht="14.4" hidden="1" x14ac:dyDescent="0.3">
      <c r="A353" s="269"/>
      <c r="B353" s="270"/>
      <c r="C353" s="368"/>
      <c r="D353" s="368"/>
      <c r="E353" s="369"/>
      <c r="F353" s="265"/>
      <c r="G353" s="265"/>
      <c r="H353" s="265"/>
      <c r="I353" s="367"/>
      <c r="J353" s="367"/>
      <c r="K353" s="265"/>
      <c r="L353" s="265"/>
      <c r="M353" s="265"/>
      <c r="N353" s="265"/>
      <c r="O353" s="367"/>
      <c r="P353" s="367"/>
    </row>
    <row r="354" spans="1:16" ht="14.4" hidden="1" x14ac:dyDescent="0.3">
      <c r="A354" s="269"/>
      <c r="B354" s="270"/>
      <c r="C354" s="368"/>
      <c r="D354" s="368"/>
      <c r="E354" s="369"/>
      <c r="F354" s="265"/>
      <c r="G354" s="265"/>
      <c r="H354" s="265"/>
      <c r="I354" s="367"/>
      <c r="J354" s="367"/>
      <c r="K354" s="265"/>
      <c r="L354" s="265"/>
      <c r="M354" s="265"/>
      <c r="N354" s="265"/>
      <c r="O354" s="367"/>
      <c r="P354" s="367"/>
    </row>
    <row r="355" spans="1:16" ht="14.4" hidden="1" x14ac:dyDescent="0.3">
      <c r="A355" s="269"/>
      <c r="B355" s="270"/>
      <c r="C355" s="368"/>
      <c r="D355" s="368"/>
      <c r="E355" s="369"/>
      <c r="F355" s="265"/>
      <c r="G355" s="265"/>
      <c r="H355" s="265"/>
      <c r="I355" s="367"/>
      <c r="J355" s="367"/>
      <c r="K355" s="265"/>
      <c r="L355" s="265"/>
      <c r="M355" s="265"/>
      <c r="N355" s="265"/>
      <c r="O355" s="367"/>
      <c r="P355" s="367"/>
    </row>
    <row r="356" spans="1:16" ht="14.4" hidden="1" x14ac:dyDescent="0.3">
      <c r="A356" s="269"/>
      <c r="B356" s="270"/>
      <c r="C356" s="368"/>
      <c r="D356" s="368"/>
      <c r="E356" s="369"/>
      <c r="F356" s="265"/>
      <c r="G356" s="265"/>
      <c r="H356" s="265"/>
      <c r="I356" s="367"/>
      <c r="J356" s="367"/>
      <c r="K356" s="265"/>
      <c r="L356" s="265"/>
      <c r="M356" s="265"/>
      <c r="N356" s="265"/>
      <c r="O356" s="367"/>
      <c r="P356" s="367"/>
    </row>
    <row r="357" spans="1:16" ht="14.4" hidden="1" x14ac:dyDescent="0.3">
      <c r="A357" s="269"/>
      <c r="B357" s="270"/>
      <c r="C357" s="368"/>
      <c r="D357" s="368"/>
      <c r="E357" s="369"/>
      <c r="F357" s="265"/>
      <c r="G357" s="265"/>
      <c r="H357" s="265"/>
      <c r="I357" s="367"/>
      <c r="J357" s="367"/>
      <c r="K357" s="265"/>
      <c r="L357" s="265"/>
      <c r="M357" s="265"/>
      <c r="N357" s="265"/>
      <c r="O357" s="367"/>
      <c r="P357" s="367"/>
    </row>
    <row r="358" spans="1:16" ht="14.4" hidden="1" x14ac:dyDescent="0.3">
      <c r="A358" s="269"/>
      <c r="B358" s="270"/>
      <c r="C358" s="368"/>
      <c r="D358" s="368"/>
      <c r="E358" s="369"/>
      <c r="F358" s="265"/>
      <c r="G358" s="265"/>
      <c r="H358" s="265"/>
      <c r="I358" s="367"/>
      <c r="J358" s="367"/>
      <c r="K358" s="265"/>
      <c r="L358" s="265"/>
      <c r="M358" s="265"/>
      <c r="N358" s="265"/>
      <c r="O358" s="367"/>
      <c r="P358" s="367"/>
    </row>
    <row r="359" spans="1:16" ht="14.4" hidden="1" x14ac:dyDescent="0.3">
      <c r="A359" s="269"/>
      <c r="B359" s="270"/>
      <c r="C359" s="368"/>
      <c r="D359" s="368"/>
      <c r="E359" s="369"/>
      <c r="F359" s="265"/>
      <c r="G359" s="265"/>
      <c r="H359" s="265"/>
      <c r="I359" s="367"/>
      <c r="J359" s="367"/>
      <c r="K359" s="265"/>
      <c r="L359" s="265"/>
      <c r="M359" s="265"/>
      <c r="N359" s="265"/>
      <c r="O359" s="367"/>
      <c r="P359" s="367"/>
    </row>
    <row r="360" spans="1:16" ht="14.4" hidden="1" x14ac:dyDescent="0.3">
      <c r="A360" s="269"/>
      <c r="B360" s="270"/>
      <c r="C360" s="368"/>
      <c r="D360" s="368"/>
      <c r="E360" s="369"/>
      <c r="F360" s="265"/>
      <c r="G360" s="265"/>
      <c r="H360" s="265"/>
      <c r="I360" s="367"/>
      <c r="J360" s="367"/>
      <c r="K360" s="265"/>
      <c r="L360" s="265"/>
      <c r="M360" s="265"/>
      <c r="N360" s="265"/>
      <c r="O360" s="367"/>
      <c r="P360" s="367"/>
    </row>
    <row r="361" spans="1:16" ht="14.4" hidden="1" x14ac:dyDescent="0.3">
      <c r="A361" s="269"/>
      <c r="B361" s="270"/>
      <c r="C361" s="368"/>
      <c r="D361" s="368"/>
      <c r="E361" s="369"/>
      <c r="F361" s="265"/>
      <c r="G361" s="265"/>
      <c r="H361" s="265"/>
      <c r="I361" s="367"/>
      <c r="J361" s="367"/>
      <c r="K361" s="265"/>
      <c r="L361" s="265"/>
      <c r="M361" s="265"/>
      <c r="N361" s="265"/>
      <c r="O361" s="367"/>
      <c r="P361" s="367"/>
    </row>
    <row r="362" spans="1:16" ht="14.4" hidden="1" x14ac:dyDescent="0.3">
      <c r="A362" s="269"/>
      <c r="B362" s="270"/>
      <c r="C362" s="368"/>
      <c r="D362" s="368"/>
      <c r="E362" s="369"/>
      <c r="F362" s="265"/>
      <c r="G362" s="265"/>
      <c r="H362" s="265"/>
      <c r="I362" s="367"/>
      <c r="J362" s="367"/>
      <c r="K362" s="265"/>
      <c r="L362" s="265"/>
      <c r="M362" s="265"/>
      <c r="N362" s="265"/>
      <c r="O362" s="367"/>
      <c r="P362" s="367"/>
    </row>
    <row r="363" spans="1:16" ht="14.4" hidden="1" x14ac:dyDescent="0.3">
      <c r="A363" s="269"/>
      <c r="B363" s="270"/>
      <c r="C363" s="368"/>
      <c r="D363" s="368"/>
      <c r="E363" s="369"/>
      <c r="F363" s="265"/>
      <c r="G363" s="265"/>
      <c r="H363" s="265"/>
      <c r="I363" s="367"/>
      <c r="J363" s="367"/>
      <c r="K363" s="265"/>
      <c r="L363" s="265"/>
      <c r="M363" s="265"/>
      <c r="N363" s="265"/>
      <c r="O363" s="367"/>
      <c r="P363" s="367"/>
    </row>
    <row r="364" spans="1:16" ht="14.4" hidden="1" x14ac:dyDescent="0.3">
      <c r="A364" s="269"/>
      <c r="B364" s="270"/>
      <c r="C364" s="368"/>
      <c r="D364" s="368"/>
      <c r="E364" s="369"/>
      <c r="F364" s="265"/>
      <c r="G364" s="265"/>
      <c r="H364" s="265"/>
      <c r="I364" s="367"/>
      <c r="J364" s="367"/>
      <c r="K364" s="265"/>
      <c r="L364" s="265"/>
      <c r="M364" s="265"/>
      <c r="N364" s="265"/>
      <c r="O364" s="367"/>
      <c r="P364" s="367"/>
    </row>
    <row r="365" spans="1:16" ht="14.4" hidden="1" x14ac:dyDescent="0.3">
      <c r="A365" s="269"/>
      <c r="B365" s="270"/>
      <c r="C365" s="368"/>
      <c r="D365" s="368"/>
      <c r="E365" s="369"/>
      <c r="F365" s="265"/>
      <c r="G365" s="265"/>
      <c r="H365" s="265"/>
      <c r="I365" s="367"/>
      <c r="J365" s="367"/>
      <c r="K365" s="265"/>
      <c r="L365" s="265"/>
      <c r="M365" s="265"/>
      <c r="N365" s="265"/>
      <c r="O365" s="367"/>
      <c r="P365" s="367"/>
    </row>
    <row r="366" spans="1:16" ht="14.4" hidden="1" x14ac:dyDescent="0.3">
      <c r="A366" s="269"/>
      <c r="B366" s="270"/>
      <c r="C366" s="368"/>
      <c r="D366" s="368"/>
      <c r="E366" s="369"/>
      <c r="F366" s="265"/>
      <c r="G366" s="265"/>
      <c r="H366" s="265"/>
      <c r="I366" s="367"/>
      <c r="J366" s="367"/>
      <c r="K366" s="265"/>
      <c r="L366" s="265"/>
      <c r="M366" s="265"/>
      <c r="N366" s="265"/>
      <c r="O366" s="367"/>
      <c r="P366" s="367"/>
    </row>
    <row r="367" spans="1:16" ht="14.4" hidden="1" x14ac:dyDescent="0.3">
      <c r="A367" s="269"/>
      <c r="B367" s="270"/>
      <c r="C367" s="368"/>
      <c r="D367" s="368"/>
      <c r="E367" s="369"/>
      <c r="F367" s="265"/>
      <c r="G367" s="265"/>
      <c r="H367" s="265"/>
      <c r="I367" s="367"/>
      <c r="J367" s="367"/>
      <c r="K367" s="265"/>
      <c r="L367" s="265"/>
      <c r="M367" s="265"/>
      <c r="N367" s="265"/>
      <c r="O367" s="367"/>
      <c r="P367" s="367"/>
    </row>
    <row r="368" spans="1:16" ht="14.4" hidden="1" x14ac:dyDescent="0.3">
      <c r="A368" s="269"/>
      <c r="B368" s="270"/>
      <c r="C368" s="368"/>
      <c r="D368" s="368"/>
      <c r="E368" s="369"/>
      <c r="F368" s="265"/>
      <c r="G368" s="265"/>
      <c r="H368" s="265"/>
      <c r="I368" s="367"/>
      <c r="J368" s="367"/>
      <c r="K368" s="265"/>
      <c r="L368" s="265"/>
      <c r="M368" s="265"/>
      <c r="N368" s="265"/>
      <c r="O368" s="367"/>
      <c r="P368" s="367"/>
    </row>
    <row r="369" spans="1:16" ht="14.4" hidden="1" x14ac:dyDescent="0.3">
      <c r="A369" s="269"/>
      <c r="B369" s="270"/>
      <c r="C369" s="368"/>
      <c r="D369" s="368"/>
      <c r="E369" s="369"/>
      <c r="F369" s="265"/>
      <c r="G369" s="265"/>
      <c r="H369" s="265"/>
      <c r="I369" s="367"/>
      <c r="J369" s="367"/>
      <c r="K369" s="265"/>
      <c r="L369" s="265"/>
      <c r="M369" s="265"/>
      <c r="N369" s="265"/>
      <c r="O369" s="367"/>
      <c r="P369" s="367"/>
    </row>
    <row r="370" spans="1:16" ht="14.4" hidden="1" x14ac:dyDescent="0.3">
      <c r="A370" s="269"/>
      <c r="B370" s="270"/>
      <c r="C370" s="368"/>
      <c r="D370" s="368"/>
      <c r="E370" s="369"/>
      <c r="F370" s="265"/>
      <c r="G370" s="265"/>
      <c r="H370" s="265"/>
      <c r="I370" s="367"/>
      <c r="J370" s="367"/>
      <c r="K370" s="265"/>
      <c r="L370" s="265"/>
      <c r="M370" s="265"/>
      <c r="N370" s="265"/>
      <c r="O370" s="367"/>
      <c r="P370" s="367"/>
    </row>
    <row r="371" spans="1:16" ht="14.4" hidden="1" x14ac:dyDescent="0.3">
      <c r="A371" s="269"/>
      <c r="B371" s="270"/>
      <c r="C371" s="368"/>
      <c r="D371" s="368"/>
      <c r="E371" s="369"/>
      <c r="F371" s="265"/>
      <c r="G371" s="265"/>
      <c r="H371" s="265"/>
      <c r="I371" s="367"/>
      <c r="J371" s="367"/>
      <c r="K371" s="265"/>
      <c r="L371" s="265"/>
      <c r="M371" s="265"/>
      <c r="N371" s="265"/>
      <c r="O371" s="367"/>
      <c r="P371" s="367"/>
    </row>
    <row r="372" spans="1:16" ht="14.4" hidden="1" x14ac:dyDescent="0.3">
      <c r="A372" s="269"/>
      <c r="B372" s="270"/>
      <c r="C372" s="368"/>
      <c r="D372" s="368"/>
      <c r="E372" s="369"/>
      <c r="F372" s="265"/>
      <c r="G372" s="265"/>
      <c r="H372" s="265"/>
      <c r="I372" s="367"/>
      <c r="J372" s="367"/>
      <c r="K372" s="265"/>
      <c r="L372" s="265"/>
      <c r="M372" s="265"/>
      <c r="N372" s="265"/>
      <c r="O372" s="367"/>
      <c r="P372" s="367"/>
    </row>
    <row r="373" spans="1:16" ht="14.4" hidden="1" x14ac:dyDescent="0.3">
      <c r="A373" s="269"/>
      <c r="B373" s="270"/>
      <c r="C373" s="368"/>
      <c r="D373" s="368"/>
      <c r="E373" s="369"/>
      <c r="F373" s="265"/>
      <c r="G373" s="265"/>
      <c r="H373" s="265"/>
      <c r="I373" s="367"/>
      <c r="J373" s="367"/>
      <c r="K373" s="265"/>
      <c r="L373" s="265"/>
      <c r="M373" s="265"/>
      <c r="N373" s="265"/>
      <c r="O373" s="367"/>
      <c r="P373" s="367"/>
    </row>
    <row r="374" spans="1:16" ht="14.4" hidden="1" x14ac:dyDescent="0.3">
      <c r="A374" s="269"/>
      <c r="B374" s="270"/>
      <c r="C374" s="368"/>
      <c r="D374" s="368"/>
      <c r="E374" s="369"/>
      <c r="F374" s="265"/>
      <c r="G374" s="265"/>
      <c r="H374" s="265"/>
      <c r="I374" s="367"/>
      <c r="J374" s="367"/>
      <c r="K374" s="265"/>
      <c r="L374" s="265"/>
      <c r="M374" s="265"/>
      <c r="N374" s="265"/>
      <c r="O374" s="367"/>
      <c r="P374" s="367"/>
    </row>
    <row r="375" spans="1:16" ht="14.4" hidden="1" x14ac:dyDescent="0.3">
      <c r="A375" s="269"/>
      <c r="B375" s="270"/>
      <c r="C375" s="368"/>
      <c r="D375" s="368"/>
      <c r="E375" s="369"/>
      <c r="F375" s="265"/>
      <c r="G375" s="265"/>
      <c r="H375" s="265"/>
      <c r="I375" s="367"/>
      <c r="J375" s="367"/>
      <c r="K375" s="265"/>
      <c r="L375" s="265"/>
      <c r="M375" s="265"/>
      <c r="N375" s="265"/>
      <c r="O375" s="367"/>
      <c r="P375" s="367"/>
    </row>
    <row r="376" spans="1:16" ht="14.4" hidden="1" x14ac:dyDescent="0.3">
      <c r="A376" s="269"/>
      <c r="B376" s="270"/>
      <c r="C376" s="368"/>
      <c r="D376" s="368"/>
      <c r="E376" s="369"/>
      <c r="F376" s="265"/>
      <c r="G376" s="265"/>
      <c r="H376" s="265"/>
      <c r="I376" s="367"/>
      <c r="J376" s="367"/>
      <c r="K376" s="265"/>
      <c r="L376" s="265"/>
      <c r="M376" s="265"/>
      <c r="N376" s="265"/>
      <c r="O376" s="367"/>
      <c r="P376" s="367"/>
    </row>
    <row r="377" spans="1:16" ht="14.4" hidden="1" x14ac:dyDescent="0.3">
      <c r="A377" s="269"/>
      <c r="B377" s="270"/>
      <c r="C377" s="368"/>
      <c r="D377" s="368"/>
      <c r="E377" s="369"/>
      <c r="F377" s="265"/>
      <c r="G377" s="265"/>
      <c r="H377" s="265"/>
      <c r="I377" s="367"/>
      <c r="J377" s="367"/>
      <c r="K377" s="265"/>
      <c r="L377" s="265"/>
      <c r="M377" s="265"/>
      <c r="N377" s="265"/>
      <c r="O377" s="367"/>
      <c r="P377" s="367"/>
    </row>
    <row r="378" spans="1:16" ht="14.4" hidden="1" x14ac:dyDescent="0.3">
      <c r="A378" s="269"/>
      <c r="B378" s="270"/>
      <c r="C378" s="368"/>
      <c r="D378" s="368"/>
      <c r="E378" s="369"/>
      <c r="F378" s="265"/>
      <c r="G378" s="265"/>
      <c r="H378" s="265"/>
      <c r="I378" s="367"/>
      <c r="J378" s="367"/>
      <c r="K378" s="265"/>
      <c r="L378" s="265"/>
      <c r="M378" s="265"/>
      <c r="N378" s="265"/>
      <c r="O378" s="367"/>
      <c r="P378" s="367"/>
    </row>
    <row r="379" spans="1:16" ht="14.4" hidden="1" x14ac:dyDescent="0.3">
      <c r="A379" s="269"/>
      <c r="B379" s="270"/>
      <c r="C379" s="368"/>
      <c r="D379" s="368"/>
      <c r="E379" s="369"/>
      <c r="F379" s="265"/>
      <c r="G379" s="265"/>
      <c r="H379" s="265"/>
      <c r="I379" s="367"/>
      <c r="J379" s="367"/>
      <c r="K379" s="265"/>
      <c r="L379" s="265"/>
      <c r="M379" s="265"/>
      <c r="N379" s="265"/>
      <c r="O379" s="367"/>
      <c r="P379" s="367"/>
    </row>
    <row r="380" spans="1:16" ht="14.4" hidden="1" x14ac:dyDescent="0.3">
      <c r="A380" s="269"/>
      <c r="B380" s="270"/>
      <c r="C380" s="368"/>
      <c r="D380" s="368"/>
      <c r="E380" s="369"/>
      <c r="F380" s="265"/>
      <c r="G380" s="265"/>
      <c r="H380" s="265"/>
      <c r="I380" s="367"/>
      <c r="J380" s="367"/>
      <c r="K380" s="265"/>
      <c r="L380" s="265"/>
      <c r="M380" s="265"/>
      <c r="N380" s="265"/>
      <c r="O380" s="367"/>
      <c r="P380" s="367"/>
    </row>
    <row r="381" spans="1:16" ht="14.4" hidden="1" x14ac:dyDescent="0.3">
      <c r="A381" s="269"/>
      <c r="B381" s="270"/>
      <c r="C381" s="368"/>
      <c r="D381" s="368"/>
      <c r="E381" s="369"/>
      <c r="F381" s="265"/>
      <c r="G381" s="265"/>
      <c r="H381" s="265"/>
      <c r="I381" s="367"/>
      <c r="J381" s="367"/>
      <c r="K381" s="265"/>
      <c r="L381" s="265"/>
      <c r="M381" s="265"/>
      <c r="N381" s="265"/>
      <c r="O381" s="367"/>
      <c r="P381" s="367"/>
    </row>
    <row r="382" spans="1:16" ht="14.4" hidden="1" x14ac:dyDescent="0.3">
      <c r="A382" s="269"/>
      <c r="B382" s="270"/>
      <c r="C382" s="368"/>
      <c r="D382" s="368"/>
      <c r="E382" s="369"/>
      <c r="F382" s="265"/>
      <c r="G382" s="265"/>
      <c r="H382" s="265"/>
      <c r="I382" s="367"/>
      <c r="J382" s="367"/>
      <c r="K382" s="265"/>
      <c r="L382" s="265"/>
      <c r="M382" s="265"/>
      <c r="N382" s="265"/>
      <c r="O382" s="367"/>
      <c r="P382" s="367"/>
    </row>
    <row r="383" spans="1:16" ht="14.4" hidden="1" x14ac:dyDescent="0.3">
      <c r="A383" s="269"/>
      <c r="B383" s="270"/>
      <c r="C383" s="368"/>
      <c r="D383" s="368"/>
      <c r="E383" s="369"/>
      <c r="F383" s="265"/>
      <c r="G383" s="265"/>
      <c r="H383" s="265"/>
      <c r="I383" s="367"/>
      <c r="J383" s="367"/>
      <c r="K383" s="265"/>
      <c r="L383" s="265"/>
      <c r="M383" s="265"/>
      <c r="N383" s="265"/>
      <c r="O383" s="367"/>
      <c r="P383" s="367"/>
    </row>
    <row r="384" spans="1:16" ht="14.4" hidden="1" x14ac:dyDescent="0.3">
      <c r="A384" s="269"/>
      <c r="B384" s="270"/>
      <c r="C384" s="368"/>
      <c r="D384" s="368"/>
      <c r="E384" s="369"/>
      <c r="F384" s="265"/>
      <c r="G384" s="265"/>
      <c r="H384" s="265"/>
      <c r="I384" s="367"/>
      <c r="J384" s="367"/>
      <c r="K384" s="265"/>
      <c r="L384" s="265"/>
      <c r="M384" s="265"/>
      <c r="N384" s="265"/>
      <c r="O384" s="367"/>
      <c r="P384" s="367"/>
    </row>
    <row r="385" spans="1:16" ht="14.4" hidden="1" x14ac:dyDescent="0.3">
      <c r="A385" s="269"/>
      <c r="B385" s="270"/>
      <c r="C385" s="368"/>
      <c r="D385" s="368"/>
      <c r="E385" s="369"/>
      <c r="F385" s="265"/>
      <c r="G385" s="265"/>
      <c r="H385" s="265"/>
      <c r="I385" s="367"/>
      <c r="J385" s="367"/>
      <c r="K385" s="265"/>
      <c r="L385" s="265"/>
      <c r="M385" s="265"/>
      <c r="N385" s="265"/>
      <c r="O385" s="367"/>
      <c r="P385" s="367"/>
    </row>
    <row r="386" spans="1:16" ht="14.4" hidden="1" x14ac:dyDescent="0.3">
      <c r="A386" s="269"/>
      <c r="B386" s="270"/>
      <c r="C386" s="368"/>
      <c r="D386" s="368"/>
      <c r="E386" s="369"/>
      <c r="F386" s="265"/>
      <c r="G386" s="265"/>
      <c r="H386" s="265"/>
      <c r="I386" s="367"/>
      <c r="J386" s="367"/>
      <c r="K386" s="265"/>
      <c r="L386" s="265"/>
      <c r="M386" s="265"/>
      <c r="N386" s="265"/>
      <c r="O386" s="367"/>
      <c r="P386" s="367"/>
    </row>
    <row r="387" spans="1:16" ht="14.4" hidden="1" x14ac:dyDescent="0.3">
      <c r="A387" s="269"/>
      <c r="B387" s="270"/>
      <c r="C387" s="368"/>
      <c r="D387" s="368"/>
      <c r="E387" s="369"/>
      <c r="F387" s="265"/>
      <c r="G387" s="265"/>
      <c r="H387" s="265"/>
      <c r="I387" s="367"/>
      <c r="J387" s="367"/>
      <c r="K387" s="265"/>
      <c r="L387" s="265"/>
      <c r="M387" s="265"/>
      <c r="N387" s="265"/>
      <c r="O387" s="367"/>
      <c r="P387" s="367"/>
    </row>
    <row r="388" spans="1:16" ht="14.4" hidden="1" x14ac:dyDescent="0.3">
      <c r="A388" s="269"/>
      <c r="B388" s="270"/>
      <c r="C388" s="368"/>
      <c r="D388" s="368"/>
      <c r="E388" s="369"/>
      <c r="F388" s="265"/>
      <c r="G388" s="265"/>
      <c r="H388" s="265"/>
      <c r="I388" s="367"/>
      <c r="J388" s="367"/>
      <c r="K388" s="265"/>
      <c r="L388" s="265"/>
      <c r="M388" s="265"/>
      <c r="N388" s="265"/>
      <c r="O388" s="367"/>
      <c r="P388" s="367"/>
    </row>
    <row r="389" spans="1:16" ht="14.4" hidden="1" x14ac:dyDescent="0.3">
      <c r="A389" s="269"/>
      <c r="B389" s="270"/>
      <c r="C389" s="368"/>
      <c r="D389" s="368"/>
      <c r="E389" s="369"/>
      <c r="F389" s="265"/>
      <c r="G389" s="265"/>
      <c r="H389" s="265"/>
      <c r="I389" s="367"/>
      <c r="J389" s="367"/>
      <c r="K389" s="265"/>
      <c r="L389" s="265"/>
      <c r="M389" s="265"/>
      <c r="N389" s="265"/>
      <c r="O389" s="367"/>
      <c r="P389" s="367"/>
    </row>
    <row r="390" spans="1:16" ht="14.4" hidden="1" x14ac:dyDescent="0.3">
      <c r="A390" s="269"/>
      <c r="B390" s="270"/>
      <c r="C390" s="368"/>
      <c r="D390" s="368"/>
      <c r="E390" s="369"/>
      <c r="F390" s="265"/>
      <c r="G390" s="265"/>
      <c r="H390" s="265"/>
      <c r="I390" s="367"/>
      <c r="J390" s="367"/>
      <c r="K390" s="265"/>
      <c r="L390" s="265"/>
      <c r="M390" s="265"/>
      <c r="N390" s="265"/>
      <c r="O390" s="367"/>
      <c r="P390" s="367"/>
    </row>
    <row r="391" spans="1:16" ht="14.4" hidden="1" x14ac:dyDescent="0.3">
      <c r="A391" s="269"/>
      <c r="B391" s="270"/>
      <c r="C391" s="368"/>
      <c r="D391" s="368"/>
      <c r="E391" s="369"/>
      <c r="F391" s="265"/>
      <c r="G391" s="265"/>
      <c r="H391" s="265"/>
      <c r="I391" s="367"/>
      <c r="J391" s="367"/>
      <c r="K391" s="265"/>
      <c r="L391" s="265"/>
      <c r="M391" s="265"/>
      <c r="N391" s="265"/>
      <c r="O391" s="367"/>
      <c r="P391" s="367"/>
    </row>
    <row r="392" spans="1:16" ht="14.4" hidden="1" x14ac:dyDescent="0.3">
      <c r="A392" s="269"/>
      <c r="B392" s="270"/>
      <c r="C392" s="368"/>
      <c r="D392" s="368"/>
      <c r="E392" s="369"/>
      <c r="F392" s="265"/>
      <c r="G392" s="265"/>
      <c r="H392" s="265"/>
      <c r="I392" s="367"/>
      <c r="J392" s="367"/>
      <c r="K392" s="265"/>
      <c r="L392" s="265"/>
      <c r="M392" s="265"/>
      <c r="N392" s="265"/>
      <c r="O392" s="367"/>
      <c r="P392" s="367"/>
    </row>
    <row r="393" spans="1:16" ht="14.4" hidden="1" x14ac:dyDescent="0.3">
      <c r="A393" s="269"/>
      <c r="B393" s="270"/>
      <c r="C393" s="368"/>
      <c r="D393" s="368"/>
      <c r="E393" s="369"/>
      <c r="F393" s="265"/>
      <c r="G393" s="265"/>
      <c r="H393" s="265"/>
      <c r="I393" s="367"/>
      <c r="J393" s="367"/>
      <c r="K393" s="265"/>
      <c r="L393" s="265"/>
      <c r="M393" s="265"/>
      <c r="N393" s="265"/>
      <c r="O393" s="367"/>
      <c r="P393" s="367"/>
    </row>
    <row r="394" spans="1:16" ht="14.4" hidden="1" x14ac:dyDescent="0.3">
      <c r="A394" s="269"/>
      <c r="B394" s="270"/>
      <c r="C394" s="368"/>
      <c r="D394" s="368"/>
      <c r="E394" s="369"/>
      <c r="F394" s="265"/>
      <c r="G394" s="265"/>
      <c r="H394" s="265"/>
      <c r="I394" s="367"/>
      <c r="J394" s="367"/>
      <c r="K394" s="265"/>
      <c r="L394" s="265"/>
      <c r="M394" s="265"/>
      <c r="N394" s="265"/>
      <c r="O394" s="367"/>
      <c r="P394" s="367"/>
    </row>
    <row r="395" spans="1:16" ht="14.4" hidden="1" x14ac:dyDescent="0.3">
      <c r="A395" s="269"/>
      <c r="B395" s="270"/>
      <c r="C395" s="368"/>
      <c r="D395" s="368"/>
      <c r="E395" s="369"/>
      <c r="F395" s="265"/>
      <c r="G395" s="265"/>
      <c r="H395" s="265"/>
      <c r="I395" s="367"/>
      <c r="J395" s="367"/>
      <c r="K395" s="265"/>
      <c r="L395" s="265"/>
      <c r="M395" s="265"/>
      <c r="N395" s="265"/>
      <c r="O395" s="367"/>
      <c r="P395" s="367"/>
    </row>
    <row r="396" spans="1:16" ht="14.4" hidden="1" x14ac:dyDescent="0.3">
      <c r="A396" s="269"/>
      <c r="B396" s="270"/>
      <c r="C396" s="368"/>
      <c r="D396" s="368"/>
      <c r="E396" s="369"/>
      <c r="F396" s="265"/>
      <c r="G396" s="265"/>
      <c r="H396" s="265"/>
      <c r="I396" s="367"/>
      <c r="J396" s="367"/>
      <c r="K396" s="265"/>
      <c r="L396" s="265"/>
      <c r="M396" s="265"/>
      <c r="N396" s="265"/>
      <c r="O396" s="367"/>
      <c r="P396" s="367"/>
    </row>
    <row r="397" spans="1:16" ht="14.4" hidden="1" x14ac:dyDescent="0.3">
      <c r="A397" s="269"/>
      <c r="B397" s="270"/>
      <c r="C397" s="368"/>
      <c r="D397" s="368"/>
      <c r="E397" s="369"/>
      <c r="F397" s="265"/>
      <c r="G397" s="265"/>
      <c r="H397" s="265"/>
      <c r="I397" s="367"/>
      <c r="J397" s="367"/>
      <c r="K397" s="265"/>
      <c r="L397" s="265"/>
      <c r="M397" s="265"/>
      <c r="N397" s="265"/>
      <c r="O397" s="367"/>
      <c r="P397" s="367"/>
    </row>
    <row r="398" spans="1:16" ht="14.4" hidden="1" x14ac:dyDescent="0.3">
      <c r="A398" s="269"/>
      <c r="B398" s="270"/>
      <c r="C398" s="368"/>
      <c r="D398" s="368"/>
      <c r="E398" s="369"/>
      <c r="F398" s="265"/>
      <c r="G398" s="265"/>
      <c r="H398" s="265"/>
      <c r="I398" s="367"/>
      <c r="J398" s="367"/>
      <c r="K398" s="265"/>
      <c r="L398" s="265"/>
      <c r="M398" s="265"/>
      <c r="N398" s="265"/>
      <c r="O398" s="367"/>
      <c r="P398" s="367"/>
    </row>
    <row r="399" spans="1:16" ht="14.4" hidden="1" x14ac:dyDescent="0.3">
      <c r="A399" s="269"/>
      <c r="B399" s="270"/>
      <c r="C399" s="368"/>
      <c r="D399" s="368"/>
      <c r="E399" s="369"/>
      <c r="F399" s="265"/>
      <c r="G399" s="265"/>
      <c r="H399" s="265"/>
      <c r="I399" s="367"/>
      <c r="J399" s="367"/>
      <c r="K399" s="265"/>
      <c r="L399" s="265"/>
      <c r="M399" s="265"/>
      <c r="N399" s="265"/>
      <c r="O399" s="367"/>
      <c r="P399" s="367"/>
    </row>
    <row r="400" spans="1:16" ht="14.4" hidden="1" x14ac:dyDescent="0.3">
      <c r="A400" s="269"/>
      <c r="B400" s="270"/>
      <c r="C400" s="368"/>
      <c r="D400" s="368"/>
      <c r="E400" s="369"/>
      <c r="F400" s="265"/>
      <c r="G400" s="265"/>
      <c r="H400" s="265"/>
      <c r="I400" s="367"/>
      <c r="J400" s="367"/>
      <c r="K400" s="265"/>
      <c r="L400" s="265"/>
      <c r="M400" s="265"/>
      <c r="N400" s="265"/>
      <c r="O400" s="367"/>
      <c r="P400" s="367"/>
    </row>
    <row r="401" spans="1:16" ht="14.4" hidden="1" x14ac:dyDescent="0.3">
      <c r="A401" s="269"/>
      <c r="B401" s="270"/>
      <c r="C401" s="368"/>
      <c r="D401" s="368"/>
      <c r="E401" s="369"/>
      <c r="F401" s="265"/>
      <c r="G401" s="265"/>
      <c r="H401" s="265"/>
      <c r="I401" s="367"/>
      <c r="J401" s="367"/>
      <c r="K401" s="265"/>
      <c r="L401" s="265"/>
      <c r="M401" s="265"/>
      <c r="N401" s="265"/>
      <c r="O401" s="367"/>
      <c r="P401" s="367"/>
    </row>
    <row r="402" spans="1:16" ht="14.4" hidden="1" x14ac:dyDescent="0.3">
      <c r="A402" s="269"/>
      <c r="B402" s="270"/>
      <c r="C402" s="368"/>
      <c r="D402" s="368"/>
      <c r="E402" s="369"/>
      <c r="F402" s="265"/>
      <c r="G402" s="265"/>
      <c r="H402" s="265"/>
      <c r="I402" s="367"/>
      <c r="J402" s="367"/>
      <c r="K402" s="265"/>
      <c r="L402" s="265"/>
      <c r="M402" s="265"/>
      <c r="N402" s="265"/>
      <c r="O402" s="367"/>
      <c r="P402" s="367"/>
    </row>
    <row r="403" spans="1:16" ht="14.4" hidden="1" x14ac:dyDescent="0.3">
      <c r="A403" s="269"/>
      <c r="B403" s="270"/>
      <c r="C403" s="368"/>
      <c r="D403" s="368"/>
      <c r="E403" s="369"/>
      <c r="F403" s="265"/>
      <c r="G403" s="265"/>
      <c r="H403" s="265"/>
      <c r="I403" s="367"/>
      <c r="J403" s="367"/>
      <c r="K403" s="265"/>
      <c r="L403" s="265"/>
      <c r="M403" s="265"/>
      <c r="N403" s="265"/>
      <c r="O403" s="367"/>
      <c r="P403" s="367"/>
    </row>
    <row r="404" spans="1:16" ht="14.4" hidden="1" x14ac:dyDescent="0.3">
      <c r="A404" s="269"/>
      <c r="B404" s="270"/>
      <c r="C404" s="368"/>
      <c r="D404" s="368"/>
      <c r="E404" s="369"/>
      <c r="F404" s="265"/>
      <c r="G404" s="265"/>
      <c r="H404" s="265"/>
      <c r="I404" s="367"/>
      <c r="J404" s="367"/>
      <c r="K404" s="265"/>
      <c r="L404" s="265"/>
      <c r="M404" s="265"/>
      <c r="N404" s="265"/>
      <c r="O404" s="367"/>
      <c r="P404" s="367"/>
    </row>
    <row r="405" spans="1:16" ht="14.4" hidden="1" x14ac:dyDescent="0.3">
      <c r="A405" s="269"/>
      <c r="B405" s="270"/>
      <c r="C405" s="368"/>
      <c r="D405" s="368"/>
      <c r="E405" s="369"/>
      <c r="F405" s="265"/>
      <c r="G405" s="265"/>
      <c r="H405" s="265"/>
      <c r="I405" s="367"/>
      <c r="J405" s="367"/>
      <c r="K405" s="265"/>
      <c r="L405" s="265"/>
      <c r="M405" s="265"/>
      <c r="N405" s="265"/>
      <c r="O405" s="367"/>
      <c r="P405" s="367"/>
    </row>
    <row r="406" spans="1:16" ht="14.4" hidden="1" x14ac:dyDescent="0.3">
      <c r="A406" s="269"/>
      <c r="B406" s="270"/>
      <c r="C406" s="368"/>
      <c r="D406" s="368"/>
      <c r="E406" s="369"/>
      <c r="F406" s="265"/>
      <c r="G406" s="265"/>
      <c r="H406" s="265"/>
      <c r="I406" s="367"/>
      <c r="J406" s="367"/>
      <c r="K406" s="265"/>
      <c r="L406" s="265"/>
      <c r="M406" s="265"/>
      <c r="N406" s="265"/>
      <c r="O406" s="367"/>
      <c r="P406" s="367"/>
    </row>
    <row r="407" spans="1:16" ht="14.4" hidden="1" x14ac:dyDescent="0.3">
      <c r="A407" s="269"/>
      <c r="B407" s="270"/>
      <c r="C407" s="368"/>
      <c r="D407" s="368"/>
      <c r="E407" s="369"/>
      <c r="F407" s="265"/>
      <c r="G407" s="265"/>
      <c r="H407" s="265"/>
      <c r="I407" s="367"/>
      <c r="J407" s="367"/>
      <c r="K407" s="265"/>
      <c r="L407" s="265"/>
      <c r="M407" s="265"/>
      <c r="N407" s="265"/>
      <c r="O407" s="367"/>
      <c r="P407" s="367"/>
    </row>
    <row r="408" spans="1:16" ht="14.4" hidden="1" x14ac:dyDescent="0.3">
      <c r="A408" s="269"/>
      <c r="B408" s="270"/>
      <c r="C408" s="368"/>
      <c r="D408" s="368"/>
      <c r="E408" s="369"/>
      <c r="F408" s="265"/>
      <c r="G408" s="265"/>
      <c r="H408" s="265"/>
      <c r="I408" s="367"/>
      <c r="J408" s="367"/>
      <c r="K408" s="265"/>
      <c r="L408" s="265"/>
      <c r="M408" s="265"/>
      <c r="N408" s="265"/>
      <c r="O408" s="367"/>
      <c r="P408" s="367"/>
    </row>
    <row r="409" spans="1:16" ht="14.4" hidden="1" x14ac:dyDescent="0.3">
      <c r="A409" s="269"/>
      <c r="B409" s="270"/>
      <c r="C409" s="368"/>
      <c r="D409" s="368"/>
      <c r="E409" s="369"/>
      <c r="F409" s="265"/>
      <c r="G409" s="265"/>
      <c r="H409" s="265"/>
      <c r="I409" s="367"/>
      <c r="J409" s="367"/>
      <c r="K409" s="265"/>
      <c r="L409" s="265"/>
      <c r="M409" s="265"/>
      <c r="N409" s="265"/>
      <c r="O409" s="367"/>
      <c r="P409" s="367"/>
    </row>
    <row r="410" spans="1:16" ht="14.4" hidden="1" x14ac:dyDescent="0.3">
      <c r="A410" s="269"/>
      <c r="B410" s="270"/>
      <c r="C410" s="368"/>
      <c r="D410" s="368"/>
      <c r="E410" s="369"/>
      <c r="F410" s="265"/>
      <c r="G410" s="265"/>
      <c r="H410" s="265"/>
      <c r="I410" s="367"/>
      <c r="J410" s="367"/>
      <c r="K410" s="265"/>
      <c r="L410" s="265"/>
      <c r="M410" s="265"/>
      <c r="N410" s="265"/>
      <c r="O410" s="367"/>
      <c r="P410" s="367"/>
    </row>
    <row r="411" spans="1:16" ht="14.4" hidden="1" x14ac:dyDescent="0.3">
      <c r="A411" s="269"/>
      <c r="B411" s="270"/>
      <c r="C411" s="368"/>
      <c r="D411" s="368"/>
      <c r="E411" s="369"/>
      <c r="F411" s="265"/>
      <c r="G411" s="265"/>
      <c r="H411" s="265"/>
      <c r="I411" s="367"/>
      <c r="J411" s="367"/>
      <c r="K411" s="265"/>
      <c r="L411" s="265"/>
      <c r="M411" s="265"/>
      <c r="N411" s="265"/>
      <c r="O411" s="367"/>
      <c r="P411" s="367"/>
    </row>
    <row r="412" spans="1:16" ht="14.4" hidden="1" x14ac:dyDescent="0.3">
      <c r="A412" s="269"/>
      <c r="B412" s="270"/>
      <c r="C412" s="368"/>
      <c r="D412" s="368"/>
      <c r="E412" s="369"/>
      <c r="F412" s="265"/>
      <c r="G412" s="265"/>
      <c r="H412" s="265"/>
      <c r="I412" s="367"/>
      <c r="J412" s="367"/>
      <c r="K412" s="265"/>
      <c r="L412" s="265"/>
      <c r="M412" s="265"/>
      <c r="N412" s="265"/>
      <c r="O412" s="367"/>
      <c r="P412" s="367"/>
    </row>
    <row r="413" spans="1:16" ht="14.4" hidden="1" x14ac:dyDescent="0.3">
      <c r="A413" s="269"/>
      <c r="B413" s="270"/>
      <c r="C413" s="368"/>
      <c r="D413" s="368"/>
      <c r="E413" s="369"/>
      <c r="F413" s="265"/>
      <c r="G413" s="265"/>
      <c r="H413" s="265"/>
      <c r="I413" s="367"/>
      <c r="J413" s="367"/>
      <c r="K413" s="265"/>
      <c r="L413" s="265"/>
      <c r="M413" s="265"/>
      <c r="N413" s="265"/>
      <c r="O413" s="367"/>
      <c r="P413" s="367"/>
    </row>
    <row r="414" spans="1:16" ht="14.4" hidden="1" x14ac:dyDescent="0.3">
      <c r="A414" s="269"/>
      <c r="B414" s="270"/>
      <c r="C414" s="368"/>
      <c r="D414" s="368"/>
      <c r="E414" s="369"/>
      <c r="F414" s="265"/>
      <c r="G414" s="265"/>
      <c r="H414" s="265"/>
      <c r="I414" s="367"/>
      <c r="J414" s="367"/>
      <c r="K414" s="265"/>
      <c r="L414" s="265"/>
      <c r="M414" s="265"/>
      <c r="N414" s="265"/>
      <c r="O414" s="367"/>
      <c r="P414" s="367"/>
    </row>
    <row r="415" spans="1:16" ht="14.4" hidden="1" x14ac:dyDescent="0.3">
      <c r="A415" s="269"/>
      <c r="B415" s="270"/>
      <c r="C415" s="368"/>
      <c r="D415" s="368"/>
      <c r="E415" s="369"/>
      <c r="F415" s="265"/>
      <c r="G415" s="265"/>
      <c r="H415" s="265"/>
      <c r="I415" s="367"/>
      <c r="J415" s="367"/>
      <c r="K415" s="265"/>
      <c r="L415" s="265"/>
      <c r="M415" s="265"/>
      <c r="N415" s="265"/>
      <c r="O415" s="367"/>
      <c r="P415" s="367"/>
    </row>
    <row r="416" spans="1:16" ht="14.4" hidden="1" x14ac:dyDescent="0.3">
      <c r="A416" s="269"/>
      <c r="B416" s="270"/>
      <c r="C416" s="368"/>
      <c r="D416" s="368"/>
      <c r="E416" s="369"/>
      <c r="F416" s="265"/>
      <c r="G416" s="265"/>
      <c r="H416" s="265"/>
      <c r="I416" s="367"/>
      <c r="J416" s="367"/>
      <c r="K416" s="265"/>
      <c r="L416" s="265"/>
      <c r="M416" s="265"/>
      <c r="N416" s="265"/>
      <c r="O416" s="367"/>
      <c r="P416" s="367"/>
    </row>
    <row r="417" spans="1:16" ht="14.4" hidden="1" x14ac:dyDescent="0.3">
      <c r="A417" s="269"/>
      <c r="B417" s="270"/>
      <c r="C417" s="368"/>
      <c r="D417" s="368"/>
      <c r="E417" s="369"/>
      <c r="F417" s="265"/>
      <c r="G417" s="265"/>
      <c r="H417" s="265"/>
      <c r="I417" s="367"/>
      <c r="J417" s="367"/>
      <c r="K417" s="265"/>
      <c r="L417" s="265"/>
      <c r="M417" s="265"/>
      <c r="N417" s="265"/>
      <c r="O417" s="367"/>
      <c r="P417" s="367"/>
    </row>
    <row r="418" spans="1:16" ht="14.4" hidden="1" x14ac:dyDescent="0.3">
      <c r="A418" s="269"/>
      <c r="B418" s="270"/>
      <c r="C418" s="368"/>
      <c r="D418" s="368"/>
      <c r="E418" s="369"/>
      <c r="F418" s="265"/>
      <c r="G418" s="265"/>
      <c r="H418" s="265"/>
      <c r="I418" s="367"/>
      <c r="J418" s="367"/>
      <c r="K418" s="265"/>
      <c r="L418" s="265"/>
      <c r="M418" s="265"/>
      <c r="N418" s="265"/>
      <c r="O418" s="367"/>
      <c r="P418" s="367"/>
    </row>
    <row r="419" spans="1:16" ht="14.4" hidden="1" x14ac:dyDescent="0.3">
      <c r="A419" s="269"/>
      <c r="B419" s="270"/>
      <c r="C419" s="368"/>
      <c r="D419" s="368"/>
      <c r="E419" s="369"/>
      <c r="F419" s="265"/>
      <c r="G419" s="265"/>
      <c r="H419" s="265"/>
      <c r="I419" s="367"/>
      <c r="J419" s="367"/>
      <c r="K419" s="265"/>
      <c r="L419" s="265"/>
      <c r="M419" s="265"/>
      <c r="N419" s="265"/>
      <c r="O419" s="367"/>
      <c r="P419" s="367"/>
    </row>
    <row r="420" spans="1:16" ht="14.4" hidden="1" x14ac:dyDescent="0.3">
      <c r="A420" s="269"/>
      <c r="B420" s="270"/>
      <c r="C420" s="368"/>
      <c r="D420" s="368"/>
      <c r="E420" s="369"/>
      <c r="F420" s="265"/>
      <c r="G420" s="265"/>
      <c r="H420" s="265"/>
      <c r="I420" s="367"/>
      <c r="J420" s="367"/>
      <c r="K420" s="265"/>
      <c r="L420" s="265"/>
      <c r="M420" s="265"/>
      <c r="N420" s="265"/>
      <c r="O420" s="367"/>
      <c r="P420" s="367"/>
    </row>
    <row r="421" spans="1:16" ht="14.4" hidden="1" x14ac:dyDescent="0.3">
      <c r="A421" s="269"/>
      <c r="B421" s="270"/>
      <c r="C421" s="368"/>
      <c r="D421" s="368"/>
      <c r="E421" s="369"/>
      <c r="F421" s="265"/>
      <c r="G421" s="265"/>
      <c r="H421" s="265"/>
      <c r="I421" s="367"/>
      <c r="J421" s="367"/>
      <c r="K421" s="265"/>
      <c r="L421" s="265"/>
      <c r="M421" s="265"/>
      <c r="N421" s="265"/>
      <c r="O421" s="367"/>
      <c r="P421" s="367"/>
    </row>
    <row r="422" spans="1:16" ht="14.4" hidden="1" x14ac:dyDescent="0.3">
      <c r="A422" s="269"/>
      <c r="B422" s="270"/>
      <c r="C422" s="368"/>
      <c r="D422" s="368"/>
      <c r="E422" s="369"/>
      <c r="F422" s="265"/>
      <c r="G422" s="265"/>
      <c r="H422" s="265"/>
      <c r="I422" s="367"/>
      <c r="J422" s="367"/>
      <c r="K422" s="265"/>
      <c r="L422" s="265"/>
      <c r="M422" s="265"/>
      <c r="N422" s="265"/>
      <c r="O422" s="367"/>
      <c r="P422" s="367"/>
    </row>
    <row r="423" spans="1:16" ht="14.4" hidden="1" x14ac:dyDescent="0.3">
      <c r="A423" s="269"/>
      <c r="B423" s="270"/>
      <c r="C423" s="368"/>
      <c r="D423" s="368"/>
      <c r="E423" s="369"/>
      <c r="F423" s="265"/>
      <c r="G423" s="265"/>
      <c r="H423" s="265"/>
      <c r="I423" s="367"/>
      <c r="J423" s="367"/>
      <c r="K423" s="265"/>
      <c r="L423" s="265"/>
      <c r="M423" s="265"/>
      <c r="N423" s="265"/>
      <c r="O423" s="367"/>
      <c r="P423" s="367"/>
    </row>
    <row r="424" spans="1:16" ht="14.4" hidden="1" x14ac:dyDescent="0.3">
      <c r="A424" s="269"/>
      <c r="B424" s="270"/>
      <c r="C424" s="368"/>
      <c r="D424" s="368"/>
      <c r="E424" s="369"/>
      <c r="F424" s="265"/>
      <c r="G424" s="265"/>
      <c r="H424" s="265"/>
      <c r="I424" s="367"/>
      <c r="J424" s="367"/>
      <c r="K424" s="265"/>
      <c r="L424" s="265"/>
      <c r="M424" s="265"/>
      <c r="N424" s="265"/>
      <c r="O424" s="367"/>
      <c r="P424" s="367"/>
    </row>
    <row r="425" spans="1:16" ht="14.4" hidden="1" x14ac:dyDescent="0.3">
      <c r="A425" s="269"/>
      <c r="B425" s="270"/>
      <c r="C425" s="368"/>
      <c r="D425" s="368"/>
      <c r="E425" s="369"/>
      <c r="F425" s="265"/>
      <c r="G425" s="265"/>
      <c r="H425" s="265"/>
      <c r="I425" s="367"/>
      <c r="J425" s="367"/>
      <c r="K425" s="265"/>
      <c r="L425" s="265"/>
      <c r="M425" s="265"/>
      <c r="N425" s="265"/>
      <c r="O425" s="367"/>
      <c r="P425" s="367"/>
    </row>
    <row r="426" spans="1:16" ht="14.4" hidden="1" x14ac:dyDescent="0.3">
      <c r="A426" s="269"/>
      <c r="B426" s="270"/>
      <c r="C426" s="368"/>
      <c r="D426" s="368"/>
      <c r="E426" s="369"/>
      <c r="F426" s="265"/>
      <c r="G426" s="265"/>
      <c r="H426" s="265"/>
      <c r="I426" s="367"/>
      <c r="J426" s="367"/>
      <c r="K426" s="265"/>
      <c r="L426" s="265"/>
      <c r="M426" s="265"/>
      <c r="N426" s="265"/>
      <c r="O426" s="367"/>
      <c r="P426" s="367"/>
    </row>
    <row r="427" spans="1:16" ht="14.4" hidden="1" x14ac:dyDescent="0.3">
      <c r="A427" s="269"/>
      <c r="B427" s="270"/>
      <c r="C427" s="368"/>
      <c r="D427" s="368"/>
      <c r="E427" s="369"/>
      <c r="F427" s="265"/>
      <c r="G427" s="265"/>
      <c r="H427" s="265"/>
      <c r="I427" s="367"/>
      <c r="J427" s="367"/>
      <c r="K427" s="265"/>
      <c r="L427" s="265"/>
      <c r="M427" s="265"/>
      <c r="N427" s="265"/>
      <c r="O427" s="367"/>
      <c r="P427" s="367"/>
    </row>
    <row r="428" spans="1:16" ht="14.4" hidden="1" x14ac:dyDescent="0.3">
      <c r="A428" s="269"/>
      <c r="B428" s="270"/>
      <c r="C428" s="368"/>
      <c r="D428" s="368"/>
      <c r="E428" s="369"/>
      <c r="F428" s="265"/>
      <c r="G428" s="265"/>
      <c r="H428" s="265"/>
      <c r="I428" s="367"/>
      <c r="J428" s="367"/>
      <c r="K428" s="265"/>
      <c r="L428" s="265"/>
      <c r="M428" s="265"/>
      <c r="N428" s="265"/>
      <c r="O428" s="367"/>
      <c r="P428" s="367"/>
    </row>
    <row r="429" spans="1:16" ht="14.4" hidden="1" x14ac:dyDescent="0.3">
      <c r="A429" s="269"/>
      <c r="B429" s="270"/>
      <c r="C429" s="368"/>
      <c r="D429" s="368"/>
      <c r="E429" s="369"/>
      <c r="F429" s="265"/>
      <c r="G429" s="265"/>
      <c r="H429" s="265"/>
      <c r="I429" s="367"/>
      <c r="J429" s="367"/>
      <c r="K429" s="265"/>
      <c r="L429" s="265"/>
      <c r="M429" s="265"/>
      <c r="N429" s="265"/>
      <c r="O429" s="367"/>
      <c r="P429" s="367"/>
    </row>
    <row r="430" spans="1:16" ht="14.4" hidden="1" x14ac:dyDescent="0.3">
      <c r="A430" s="269"/>
      <c r="B430" s="270"/>
      <c r="C430" s="368"/>
      <c r="D430" s="368"/>
      <c r="E430" s="369"/>
      <c r="F430" s="265"/>
      <c r="G430" s="265"/>
      <c r="H430" s="265"/>
      <c r="I430" s="367"/>
      <c r="J430" s="367"/>
      <c r="K430" s="265"/>
      <c r="L430" s="265"/>
      <c r="M430" s="265"/>
      <c r="N430" s="265"/>
      <c r="O430" s="367"/>
      <c r="P430" s="367"/>
    </row>
    <row r="431" spans="1:16" ht="14.4" hidden="1" x14ac:dyDescent="0.3">
      <c r="A431" s="269"/>
      <c r="B431" s="270"/>
      <c r="C431" s="368"/>
      <c r="D431" s="368"/>
      <c r="E431" s="369"/>
      <c r="F431" s="265"/>
      <c r="G431" s="265"/>
      <c r="H431" s="265"/>
      <c r="I431" s="367"/>
      <c r="J431" s="367"/>
      <c r="K431" s="265"/>
      <c r="L431" s="265"/>
      <c r="M431" s="265"/>
      <c r="N431" s="265"/>
      <c r="O431" s="367"/>
      <c r="P431" s="367"/>
    </row>
    <row r="432" spans="1:16" ht="14.4" hidden="1" x14ac:dyDescent="0.3">
      <c r="A432" s="269"/>
      <c r="B432" s="270"/>
      <c r="C432" s="368"/>
      <c r="D432" s="368"/>
      <c r="E432" s="369"/>
      <c r="F432" s="265"/>
      <c r="G432" s="265"/>
      <c r="H432" s="265"/>
      <c r="I432" s="367"/>
      <c r="J432" s="367"/>
      <c r="K432" s="265"/>
      <c r="L432" s="265"/>
      <c r="M432" s="265"/>
      <c r="N432" s="265"/>
      <c r="O432" s="367"/>
      <c r="P432" s="367"/>
    </row>
    <row r="433" spans="1:16" ht="14.4" hidden="1" x14ac:dyDescent="0.3">
      <c r="A433" s="269"/>
      <c r="B433" s="270"/>
      <c r="C433" s="368"/>
      <c r="D433" s="368"/>
      <c r="E433" s="369"/>
      <c r="F433" s="265"/>
      <c r="G433" s="265"/>
      <c r="H433" s="265"/>
      <c r="I433" s="367"/>
      <c r="J433" s="367"/>
      <c r="K433" s="265"/>
      <c r="L433" s="265"/>
      <c r="M433" s="265"/>
      <c r="N433" s="265"/>
      <c r="O433" s="367"/>
      <c r="P433" s="367"/>
    </row>
    <row r="434" spans="1:16" ht="14.4" hidden="1" x14ac:dyDescent="0.3">
      <c r="A434" s="269"/>
      <c r="B434" s="270"/>
      <c r="C434" s="368"/>
      <c r="D434" s="368"/>
      <c r="E434" s="369"/>
      <c r="F434" s="265"/>
      <c r="G434" s="265"/>
      <c r="H434" s="265"/>
      <c r="I434" s="367"/>
      <c r="J434" s="367"/>
      <c r="K434" s="265"/>
      <c r="L434" s="265"/>
      <c r="M434" s="265"/>
      <c r="N434" s="265"/>
      <c r="O434" s="367"/>
      <c r="P434" s="367"/>
    </row>
    <row r="435" spans="1:16" ht="14.4" hidden="1" x14ac:dyDescent="0.3">
      <c r="A435" s="269"/>
      <c r="B435" s="270"/>
      <c r="C435" s="368"/>
      <c r="D435" s="368"/>
      <c r="E435" s="369"/>
      <c r="F435" s="265"/>
      <c r="G435" s="265"/>
      <c r="H435" s="265"/>
      <c r="I435" s="367"/>
      <c r="J435" s="367"/>
      <c r="K435" s="265"/>
      <c r="L435" s="265"/>
      <c r="M435" s="265"/>
      <c r="N435" s="265"/>
      <c r="O435" s="367"/>
      <c r="P435" s="367"/>
    </row>
    <row r="436" spans="1:16" ht="14.4" hidden="1" x14ac:dyDescent="0.3">
      <c r="A436" s="269"/>
      <c r="B436" s="270"/>
      <c r="C436" s="368"/>
      <c r="D436" s="368"/>
      <c r="E436" s="369"/>
      <c r="F436" s="265"/>
      <c r="G436" s="265"/>
      <c r="H436" s="265"/>
      <c r="I436" s="367"/>
      <c r="J436" s="367"/>
      <c r="K436" s="265"/>
      <c r="L436" s="265"/>
      <c r="M436" s="265"/>
      <c r="N436" s="265"/>
      <c r="O436" s="367"/>
      <c r="P436" s="367"/>
    </row>
    <row r="437" spans="1:16" ht="14.4" hidden="1" x14ac:dyDescent="0.3">
      <c r="A437" s="269"/>
      <c r="B437" s="270"/>
      <c r="C437" s="368"/>
      <c r="D437" s="368"/>
      <c r="E437" s="369"/>
      <c r="F437" s="265"/>
      <c r="G437" s="265"/>
      <c r="H437" s="265"/>
      <c r="I437" s="367"/>
      <c r="J437" s="367"/>
      <c r="K437" s="265"/>
      <c r="L437" s="265"/>
      <c r="M437" s="265"/>
      <c r="N437" s="265"/>
      <c r="O437" s="367"/>
      <c r="P437" s="367"/>
    </row>
    <row r="438" spans="1:16" ht="14.4" hidden="1" x14ac:dyDescent="0.3">
      <c r="A438" s="269"/>
      <c r="B438" s="270"/>
      <c r="C438" s="368"/>
      <c r="D438" s="368"/>
      <c r="E438" s="369"/>
      <c r="F438" s="265"/>
      <c r="G438" s="265"/>
      <c r="H438" s="265"/>
      <c r="I438" s="367"/>
      <c r="J438" s="367"/>
      <c r="K438" s="265"/>
      <c r="L438" s="265"/>
      <c r="M438" s="265"/>
      <c r="N438" s="265"/>
      <c r="O438" s="367"/>
      <c r="P438" s="367"/>
    </row>
    <row r="439" spans="1:16" ht="14.4" hidden="1" x14ac:dyDescent="0.3">
      <c r="A439" s="269"/>
      <c r="B439" s="270"/>
      <c r="C439" s="368"/>
      <c r="D439" s="368"/>
      <c r="E439" s="369"/>
      <c r="F439" s="265"/>
      <c r="G439" s="265"/>
      <c r="H439" s="265"/>
      <c r="I439" s="367"/>
      <c r="J439" s="367"/>
      <c r="K439" s="265"/>
      <c r="L439" s="265"/>
      <c r="M439" s="265"/>
      <c r="N439" s="265"/>
      <c r="O439" s="367"/>
      <c r="P439" s="367"/>
    </row>
    <row r="440" spans="1:16" ht="14.4" hidden="1" x14ac:dyDescent="0.3">
      <c r="A440" s="269"/>
      <c r="B440" s="270"/>
      <c r="C440" s="368"/>
      <c r="D440" s="368"/>
      <c r="E440" s="369"/>
      <c r="F440" s="265"/>
      <c r="G440" s="265"/>
      <c r="H440" s="265"/>
      <c r="I440" s="367"/>
      <c r="J440" s="367"/>
      <c r="K440" s="265"/>
      <c r="L440" s="265"/>
      <c r="M440" s="265"/>
      <c r="N440" s="265"/>
      <c r="O440" s="367"/>
      <c r="P440" s="367"/>
    </row>
    <row r="441" spans="1:16" ht="14.4" hidden="1" x14ac:dyDescent="0.3">
      <c r="A441" s="269"/>
      <c r="B441" s="270"/>
      <c r="C441" s="368"/>
      <c r="D441" s="368"/>
      <c r="E441" s="369"/>
      <c r="F441" s="265"/>
      <c r="G441" s="265"/>
      <c r="H441" s="265"/>
      <c r="I441" s="367"/>
      <c r="J441" s="367"/>
      <c r="K441" s="265"/>
      <c r="L441" s="265"/>
      <c r="M441" s="265"/>
      <c r="N441" s="265"/>
      <c r="O441" s="367"/>
      <c r="P441" s="367"/>
    </row>
    <row r="442" spans="1:16" ht="14.4" hidden="1" x14ac:dyDescent="0.3">
      <c r="A442" s="269"/>
      <c r="B442" s="270"/>
      <c r="C442" s="368"/>
      <c r="D442" s="368"/>
      <c r="E442" s="369"/>
      <c r="F442" s="265"/>
      <c r="G442" s="265"/>
      <c r="H442" s="265"/>
      <c r="I442" s="367"/>
      <c r="J442" s="367"/>
      <c r="K442" s="265"/>
      <c r="L442" s="265"/>
      <c r="M442" s="265"/>
      <c r="N442" s="265"/>
      <c r="O442" s="367"/>
      <c r="P442" s="367"/>
    </row>
    <row r="443" spans="1:16" ht="14.4" hidden="1" x14ac:dyDescent="0.3">
      <c r="A443" s="269"/>
      <c r="B443" s="270"/>
      <c r="C443" s="368"/>
      <c r="D443" s="368"/>
      <c r="E443" s="369"/>
      <c r="F443" s="265"/>
      <c r="G443" s="265"/>
      <c r="H443" s="265"/>
      <c r="I443" s="367"/>
      <c r="J443" s="367"/>
      <c r="K443" s="265"/>
      <c r="L443" s="265"/>
      <c r="M443" s="265"/>
      <c r="N443" s="265"/>
      <c r="O443" s="367"/>
      <c r="P443" s="367"/>
    </row>
    <row r="444" spans="1:16" ht="14.4" hidden="1" x14ac:dyDescent="0.3">
      <c r="A444" s="269"/>
      <c r="B444" s="270"/>
      <c r="C444" s="368"/>
      <c r="D444" s="368"/>
      <c r="E444" s="369"/>
      <c r="F444" s="265"/>
      <c r="G444" s="265"/>
      <c r="H444" s="265"/>
      <c r="I444" s="367"/>
      <c r="J444" s="367"/>
      <c r="K444" s="265"/>
      <c r="L444" s="265"/>
      <c r="M444" s="265"/>
      <c r="N444" s="265"/>
      <c r="O444" s="367"/>
      <c r="P444" s="367"/>
    </row>
    <row r="445" spans="1:16" ht="14.4" hidden="1" x14ac:dyDescent="0.3">
      <c r="A445" s="269"/>
      <c r="B445" s="270"/>
      <c r="C445" s="368"/>
      <c r="D445" s="368"/>
      <c r="E445" s="369"/>
      <c r="F445" s="265"/>
      <c r="G445" s="265"/>
      <c r="H445" s="265"/>
      <c r="I445" s="367"/>
      <c r="J445" s="367"/>
      <c r="K445" s="265"/>
      <c r="L445" s="265"/>
      <c r="M445" s="265"/>
      <c r="N445" s="265"/>
      <c r="O445" s="367"/>
      <c r="P445" s="367"/>
    </row>
    <row r="446" spans="1:16" ht="14.4" hidden="1" x14ac:dyDescent="0.3">
      <c r="A446" s="269"/>
      <c r="B446" s="270"/>
      <c r="C446" s="368"/>
      <c r="D446" s="368"/>
      <c r="E446" s="369"/>
      <c r="F446" s="265"/>
      <c r="G446" s="265"/>
      <c r="H446" s="265"/>
      <c r="I446" s="367"/>
      <c r="J446" s="367"/>
      <c r="K446" s="265"/>
      <c r="L446" s="265"/>
      <c r="M446" s="265"/>
      <c r="N446" s="265"/>
      <c r="O446" s="367"/>
      <c r="P446" s="367"/>
    </row>
    <row r="447" spans="1:16" ht="14.4" hidden="1" x14ac:dyDescent="0.3">
      <c r="A447" s="269"/>
      <c r="B447" s="270"/>
      <c r="C447" s="368"/>
      <c r="D447" s="368"/>
      <c r="E447" s="369"/>
      <c r="F447" s="265"/>
      <c r="G447" s="265"/>
      <c r="H447" s="265"/>
      <c r="I447" s="367"/>
      <c r="J447" s="367"/>
      <c r="K447" s="265"/>
      <c r="L447" s="265"/>
      <c r="M447" s="265"/>
      <c r="N447" s="265"/>
      <c r="O447" s="367"/>
      <c r="P447" s="367"/>
    </row>
    <row r="448" spans="1:16" ht="14.4" hidden="1" x14ac:dyDescent="0.3">
      <c r="A448" s="269"/>
      <c r="B448" s="270"/>
      <c r="C448" s="368"/>
      <c r="D448" s="368"/>
      <c r="E448" s="369"/>
      <c r="F448" s="265"/>
      <c r="G448" s="265"/>
      <c r="H448" s="265"/>
      <c r="I448" s="367"/>
      <c r="J448" s="367"/>
      <c r="K448" s="265"/>
      <c r="L448" s="265"/>
      <c r="M448" s="265"/>
      <c r="N448" s="265"/>
      <c r="O448" s="367"/>
      <c r="P448" s="367"/>
    </row>
    <row r="449" spans="1:16" ht="14.4" hidden="1" x14ac:dyDescent="0.3">
      <c r="A449" s="269"/>
      <c r="B449" s="270"/>
      <c r="C449" s="368"/>
      <c r="D449" s="368"/>
      <c r="E449" s="369"/>
      <c r="F449" s="265"/>
      <c r="G449" s="265"/>
      <c r="H449" s="265"/>
      <c r="I449" s="367"/>
      <c r="J449" s="367"/>
      <c r="K449" s="265"/>
      <c r="L449" s="265"/>
      <c r="M449" s="265"/>
      <c r="N449" s="265"/>
      <c r="O449" s="367"/>
      <c r="P449" s="367"/>
    </row>
    <row r="450" spans="1:16" ht="14.4" hidden="1" x14ac:dyDescent="0.3">
      <c r="A450" s="269"/>
      <c r="B450" s="270"/>
      <c r="C450" s="368"/>
      <c r="D450" s="368"/>
      <c r="E450" s="369"/>
      <c r="F450" s="265"/>
      <c r="G450" s="265"/>
      <c r="H450" s="265"/>
      <c r="I450" s="367"/>
      <c r="J450" s="367"/>
      <c r="K450" s="265"/>
      <c r="L450" s="265"/>
      <c r="M450" s="265"/>
      <c r="N450" s="265"/>
      <c r="O450" s="367"/>
      <c r="P450" s="367"/>
    </row>
    <row r="451" spans="1:16" ht="14.4" hidden="1" x14ac:dyDescent="0.3">
      <c r="A451" s="269"/>
      <c r="B451" s="270"/>
      <c r="C451" s="368"/>
      <c r="D451" s="368"/>
      <c r="E451" s="369"/>
      <c r="F451" s="265"/>
      <c r="G451" s="265"/>
      <c r="H451" s="265"/>
      <c r="I451" s="367"/>
      <c r="J451" s="367"/>
      <c r="K451" s="265"/>
      <c r="L451" s="265"/>
      <c r="M451" s="265"/>
      <c r="N451" s="265"/>
      <c r="O451" s="367"/>
      <c r="P451" s="367"/>
    </row>
    <row r="452" spans="1:16" ht="14.4" hidden="1" x14ac:dyDescent="0.3">
      <c r="A452" s="269"/>
      <c r="B452" s="270"/>
      <c r="C452" s="368"/>
      <c r="D452" s="368"/>
      <c r="E452" s="369"/>
      <c r="F452" s="265"/>
      <c r="G452" s="265"/>
      <c r="H452" s="265"/>
      <c r="I452" s="367"/>
      <c r="J452" s="367"/>
      <c r="K452" s="265"/>
      <c r="L452" s="265"/>
      <c r="M452" s="265"/>
      <c r="N452" s="265"/>
      <c r="O452" s="367"/>
      <c r="P452" s="367"/>
    </row>
    <row r="453" spans="1:16" ht="14.4" hidden="1" x14ac:dyDescent="0.3">
      <c r="A453" s="269"/>
      <c r="B453" s="270"/>
      <c r="C453" s="368"/>
      <c r="D453" s="368"/>
      <c r="E453" s="369"/>
      <c r="F453" s="265"/>
      <c r="G453" s="265"/>
      <c r="H453" s="265"/>
      <c r="I453" s="367"/>
      <c r="J453" s="367"/>
      <c r="K453" s="265"/>
      <c r="L453" s="265"/>
      <c r="M453" s="265"/>
      <c r="N453" s="265"/>
      <c r="O453" s="367"/>
      <c r="P453" s="367"/>
    </row>
    <row r="454" spans="1:16" ht="14.4" hidden="1" x14ac:dyDescent="0.3">
      <c r="A454" s="269"/>
      <c r="B454" s="270"/>
      <c r="C454" s="368"/>
      <c r="D454" s="368"/>
      <c r="E454" s="369"/>
      <c r="F454" s="265"/>
      <c r="G454" s="265"/>
      <c r="H454" s="265"/>
      <c r="I454" s="367"/>
      <c r="J454" s="367"/>
      <c r="K454" s="265"/>
      <c r="L454" s="265"/>
      <c r="M454" s="265"/>
      <c r="N454" s="265"/>
      <c r="O454" s="367"/>
      <c r="P454" s="367"/>
    </row>
    <row r="455" spans="1:16" ht="14.4" hidden="1" x14ac:dyDescent="0.3">
      <c r="A455" s="269"/>
      <c r="B455" s="270"/>
      <c r="C455" s="368"/>
      <c r="D455" s="368"/>
      <c r="E455" s="369"/>
      <c r="F455" s="265"/>
      <c r="G455" s="265"/>
      <c r="H455" s="265"/>
      <c r="I455" s="367"/>
      <c r="J455" s="367"/>
      <c r="K455" s="265"/>
      <c r="L455" s="265"/>
      <c r="M455" s="265"/>
      <c r="N455" s="265"/>
      <c r="O455" s="367"/>
      <c r="P455" s="367"/>
    </row>
    <row r="456" spans="1:16" ht="14.4" hidden="1" x14ac:dyDescent="0.3">
      <c r="A456" s="269"/>
      <c r="B456" s="270"/>
      <c r="C456" s="368"/>
      <c r="D456" s="368"/>
      <c r="E456" s="369"/>
      <c r="F456" s="265"/>
      <c r="G456" s="265"/>
      <c r="H456" s="265"/>
      <c r="I456" s="367"/>
      <c r="J456" s="367"/>
      <c r="K456" s="265"/>
      <c r="L456" s="265"/>
      <c r="M456" s="265"/>
      <c r="N456" s="265"/>
      <c r="O456" s="367"/>
      <c r="P456" s="367"/>
    </row>
    <row r="457" spans="1:16" ht="14.4" hidden="1" x14ac:dyDescent="0.3">
      <c r="A457" s="269"/>
      <c r="B457" s="270"/>
      <c r="C457" s="368"/>
      <c r="D457" s="368"/>
      <c r="E457" s="369"/>
      <c r="F457" s="265"/>
      <c r="G457" s="265"/>
      <c r="H457" s="265"/>
      <c r="I457" s="367"/>
      <c r="J457" s="367"/>
      <c r="K457" s="265"/>
      <c r="L457" s="265"/>
      <c r="M457" s="265"/>
      <c r="N457" s="265"/>
      <c r="O457" s="367"/>
      <c r="P457" s="367"/>
    </row>
    <row r="458" spans="1:16" ht="14.4" hidden="1" x14ac:dyDescent="0.3">
      <c r="A458" s="269"/>
      <c r="B458" s="270"/>
      <c r="C458" s="368"/>
      <c r="D458" s="368"/>
      <c r="E458" s="369"/>
      <c r="F458" s="265"/>
      <c r="G458" s="265"/>
      <c r="H458" s="265"/>
      <c r="I458" s="367"/>
      <c r="J458" s="367"/>
      <c r="K458" s="265"/>
      <c r="L458" s="265"/>
      <c r="M458" s="265"/>
      <c r="N458" s="265"/>
      <c r="O458" s="367"/>
      <c r="P458" s="367"/>
    </row>
    <row r="459" spans="1:16" ht="14.4" hidden="1" x14ac:dyDescent="0.3">
      <c r="A459" s="269"/>
      <c r="B459" s="270"/>
      <c r="C459" s="368"/>
      <c r="D459" s="368"/>
      <c r="E459" s="369"/>
      <c r="F459" s="265"/>
      <c r="G459" s="265"/>
      <c r="H459" s="265"/>
      <c r="I459" s="367"/>
      <c r="J459" s="367"/>
      <c r="K459" s="265"/>
      <c r="L459" s="265"/>
      <c r="M459" s="265"/>
      <c r="N459" s="265"/>
      <c r="O459" s="367"/>
      <c r="P459" s="367"/>
    </row>
    <row r="460" spans="1:16" ht="14.4" hidden="1" x14ac:dyDescent="0.3">
      <c r="A460" s="269"/>
      <c r="B460" s="270"/>
      <c r="C460" s="368"/>
      <c r="D460" s="368"/>
      <c r="E460" s="369"/>
      <c r="F460" s="265"/>
      <c r="G460" s="265"/>
      <c r="H460" s="265"/>
      <c r="I460" s="367"/>
      <c r="J460" s="367"/>
      <c r="K460" s="265"/>
      <c r="L460" s="265"/>
      <c r="M460" s="265"/>
      <c r="N460" s="265"/>
      <c r="O460" s="367"/>
      <c r="P460" s="367"/>
    </row>
    <row r="461" spans="1:16" ht="14.4" hidden="1" x14ac:dyDescent="0.3">
      <c r="A461" s="269"/>
      <c r="B461" s="270"/>
      <c r="C461" s="368"/>
      <c r="D461" s="368"/>
      <c r="E461" s="369"/>
      <c r="F461" s="265"/>
      <c r="G461" s="265"/>
      <c r="H461" s="265"/>
      <c r="I461" s="367"/>
      <c r="J461" s="367"/>
      <c r="K461" s="265"/>
      <c r="L461" s="265"/>
      <c r="M461" s="265"/>
      <c r="N461" s="265"/>
      <c r="O461" s="367"/>
      <c r="P461" s="367"/>
    </row>
    <row r="462" spans="1:16" ht="14.4" hidden="1" x14ac:dyDescent="0.3">
      <c r="A462" s="269"/>
      <c r="B462" s="270"/>
      <c r="C462" s="368"/>
      <c r="D462" s="368"/>
      <c r="E462" s="369"/>
      <c r="F462" s="265"/>
      <c r="G462" s="265"/>
      <c r="H462" s="265"/>
      <c r="I462" s="367"/>
      <c r="J462" s="367"/>
      <c r="K462" s="265"/>
      <c r="L462" s="265"/>
      <c r="M462" s="265"/>
      <c r="N462" s="265"/>
      <c r="O462" s="367"/>
      <c r="P462" s="367"/>
    </row>
    <row r="463" spans="1:16" ht="14.4" hidden="1" x14ac:dyDescent="0.3">
      <c r="A463" s="269"/>
      <c r="B463" s="270"/>
      <c r="C463" s="368"/>
      <c r="D463" s="368"/>
      <c r="E463" s="369"/>
      <c r="F463" s="265"/>
      <c r="G463" s="265"/>
      <c r="H463" s="265"/>
      <c r="I463" s="367"/>
      <c r="J463" s="367"/>
      <c r="K463" s="265"/>
      <c r="L463" s="265"/>
      <c r="M463" s="265"/>
      <c r="N463" s="265"/>
      <c r="O463" s="367"/>
      <c r="P463" s="367"/>
    </row>
    <row r="464" spans="1:16" ht="14.4" hidden="1" x14ac:dyDescent="0.3">
      <c r="A464" s="269"/>
      <c r="B464" s="270"/>
      <c r="C464" s="368"/>
      <c r="D464" s="368"/>
      <c r="E464" s="369"/>
      <c r="F464" s="265"/>
      <c r="G464" s="265"/>
      <c r="H464" s="265"/>
      <c r="I464" s="367"/>
      <c r="J464" s="367"/>
      <c r="K464" s="265"/>
      <c r="L464" s="265"/>
      <c r="M464" s="265"/>
      <c r="N464" s="265"/>
      <c r="O464" s="367"/>
      <c r="P464" s="367"/>
    </row>
    <row r="465" spans="1:16" ht="14.4" hidden="1" x14ac:dyDescent="0.3">
      <c r="A465" s="269"/>
      <c r="B465" s="270"/>
      <c r="C465" s="368"/>
      <c r="D465" s="368"/>
      <c r="E465" s="369"/>
      <c r="F465" s="265"/>
      <c r="G465" s="265"/>
      <c r="H465" s="265"/>
      <c r="I465" s="367"/>
      <c r="J465" s="367"/>
      <c r="K465" s="265"/>
      <c r="L465" s="265"/>
      <c r="M465" s="265"/>
      <c r="N465" s="265"/>
      <c r="O465" s="367"/>
      <c r="P465" s="367"/>
    </row>
    <row r="466" spans="1:16" ht="14.4" hidden="1" x14ac:dyDescent="0.3">
      <c r="A466" s="269"/>
      <c r="B466" s="270"/>
      <c r="C466" s="368"/>
      <c r="D466" s="368"/>
      <c r="E466" s="369"/>
      <c r="F466" s="265"/>
      <c r="G466" s="265"/>
      <c r="H466" s="265"/>
      <c r="I466" s="367"/>
      <c r="J466" s="367"/>
      <c r="K466" s="265"/>
      <c r="L466" s="265"/>
      <c r="M466" s="265"/>
      <c r="N466" s="265"/>
      <c r="O466" s="367"/>
      <c r="P466" s="367"/>
    </row>
    <row r="467" spans="1:16" ht="14.4" hidden="1" x14ac:dyDescent="0.3">
      <c r="A467" s="269"/>
      <c r="B467" s="270"/>
      <c r="C467" s="368"/>
      <c r="D467" s="368"/>
      <c r="E467" s="369"/>
      <c r="F467" s="265"/>
      <c r="G467" s="265"/>
      <c r="H467" s="265"/>
      <c r="I467" s="367"/>
      <c r="J467" s="367"/>
      <c r="K467" s="265"/>
      <c r="L467" s="265"/>
      <c r="M467" s="265"/>
      <c r="N467" s="265"/>
      <c r="O467" s="367"/>
      <c r="P467" s="367"/>
    </row>
    <row r="468" spans="1:16" ht="14.4" hidden="1" x14ac:dyDescent="0.3">
      <c r="A468" s="269"/>
      <c r="B468" s="270"/>
      <c r="C468" s="368"/>
      <c r="D468" s="368"/>
      <c r="E468" s="369"/>
      <c r="F468" s="265"/>
      <c r="G468" s="265"/>
      <c r="H468" s="265"/>
      <c r="I468" s="367"/>
      <c r="J468" s="367"/>
      <c r="K468" s="265"/>
      <c r="L468" s="265"/>
      <c r="M468" s="265"/>
      <c r="N468" s="265"/>
      <c r="O468" s="367"/>
      <c r="P468" s="367"/>
    </row>
    <row r="469" spans="1:16" ht="14.4" hidden="1" x14ac:dyDescent="0.3">
      <c r="A469" s="269"/>
      <c r="B469" s="270"/>
      <c r="C469" s="368"/>
      <c r="D469" s="368"/>
      <c r="E469" s="369"/>
      <c r="F469" s="265"/>
      <c r="G469" s="265"/>
      <c r="H469" s="265"/>
      <c r="I469" s="367"/>
      <c r="J469" s="367"/>
      <c r="K469" s="265"/>
      <c r="L469" s="265"/>
      <c r="M469" s="265"/>
      <c r="N469" s="265"/>
      <c r="O469" s="367"/>
      <c r="P469" s="367"/>
    </row>
    <row r="470" spans="1:16" ht="14.4" hidden="1" x14ac:dyDescent="0.3">
      <c r="A470" s="269"/>
      <c r="B470" s="270"/>
      <c r="C470" s="368"/>
      <c r="D470" s="368"/>
      <c r="E470" s="369"/>
      <c r="F470" s="265"/>
      <c r="G470" s="265"/>
      <c r="H470" s="265"/>
      <c r="I470" s="367"/>
      <c r="J470" s="367"/>
      <c r="K470" s="265"/>
      <c r="L470" s="265"/>
      <c r="M470" s="265"/>
      <c r="N470" s="265"/>
      <c r="O470" s="367"/>
      <c r="P470" s="367"/>
    </row>
    <row r="471" spans="1:16" ht="14.4" hidden="1" x14ac:dyDescent="0.3">
      <c r="A471" s="269"/>
      <c r="B471" s="270"/>
      <c r="C471" s="368"/>
      <c r="D471" s="368"/>
      <c r="E471" s="369"/>
      <c r="F471" s="265"/>
      <c r="G471" s="265"/>
      <c r="H471" s="265"/>
      <c r="I471" s="367"/>
      <c r="J471" s="367"/>
      <c r="K471" s="265"/>
      <c r="L471" s="265"/>
      <c r="M471" s="265"/>
      <c r="N471" s="265"/>
      <c r="O471" s="367"/>
      <c r="P471" s="367"/>
    </row>
    <row r="472" spans="1:16" ht="14.4" hidden="1" x14ac:dyDescent="0.3">
      <c r="A472" s="269"/>
      <c r="B472" s="270"/>
      <c r="C472" s="368"/>
      <c r="D472" s="368"/>
      <c r="E472" s="369"/>
      <c r="F472" s="265"/>
      <c r="G472" s="265"/>
      <c r="H472" s="265"/>
      <c r="I472" s="367"/>
      <c r="J472" s="367"/>
      <c r="K472" s="265"/>
      <c r="L472" s="265"/>
      <c r="M472" s="265"/>
      <c r="N472" s="265"/>
      <c r="O472" s="367"/>
      <c r="P472" s="367"/>
    </row>
    <row r="473" spans="1:16" ht="14.4" hidden="1" x14ac:dyDescent="0.3">
      <c r="A473" s="269"/>
      <c r="B473" s="270"/>
      <c r="C473" s="368"/>
      <c r="D473" s="368"/>
      <c r="E473" s="369"/>
      <c r="F473" s="265"/>
      <c r="G473" s="265"/>
      <c r="H473" s="265"/>
      <c r="I473" s="367"/>
      <c r="J473" s="367"/>
      <c r="K473" s="265"/>
      <c r="L473" s="265"/>
      <c r="M473" s="265"/>
      <c r="N473" s="265"/>
      <c r="O473" s="367"/>
      <c r="P473" s="367"/>
    </row>
    <row r="474" spans="1:16" ht="14.4" hidden="1" x14ac:dyDescent="0.3">
      <c r="A474" s="269"/>
      <c r="B474" s="270"/>
      <c r="C474" s="368"/>
      <c r="D474" s="368"/>
      <c r="E474" s="369"/>
      <c r="F474" s="265"/>
      <c r="G474" s="265"/>
      <c r="H474" s="265"/>
      <c r="I474" s="367"/>
      <c r="J474" s="367"/>
      <c r="K474" s="265"/>
      <c r="L474" s="265"/>
      <c r="M474" s="265"/>
      <c r="N474" s="265"/>
      <c r="O474" s="367"/>
      <c r="P474" s="367"/>
    </row>
    <row r="475" spans="1:16" ht="14.4" hidden="1" x14ac:dyDescent="0.3">
      <c r="A475" s="269"/>
      <c r="B475" s="270"/>
      <c r="C475" s="368"/>
      <c r="D475" s="368"/>
      <c r="E475" s="369"/>
      <c r="F475" s="265"/>
      <c r="G475" s="265"/>
      <c r="H475" s="265"/>
      <c r="I475" s="367"/>
      <c r="J475" s="367"/>
      <c r="K475" s="265"/>
      <c r="L475" s="265"/>
      <c r="M475" s="265"/>
      <c r="N475" s="265"/>
      <c r="O475" s="367"/>
      <c r="P475" s="367"/>
    </row>
    <row r="476" spans="1:16" ht="14.4" hidden="1" x14ac:dyDescent="0.3">
      <c r="A476" s="269"/>
      <c r="B476" s="270"/>
      <c r="C476" s="368"/>
      <c r="D476" s="368"/>
      <c r="E476" s="369"/>
      <c r="F476" s="265"/>
      <c r="G476" s="265"/>
      <c r="H476" s="265"/>
      <c r="I476" s="367"/>
      <c r="J476" s="367"/>
      <c r="K476" s="265"/>
      <c r="L476" s="265"/>
      <c r="M476" s="265"/>
      <c r="N476" s="265"/>
      <c r="O476" s="367"/>
      <c r="P476" s="367"/>
    </row>
    <row r="477" spans="1:16" ht="14.4" hidden="1" x14ac:dyDescent="0.3">
      <c r="A477" s="269"/>
      <c r="B477" s="270"/>
      <c r="C477" s="368"/>
      <c r="D477" s="368"/>
      <c r="E477" s="369"/>
      <c r="F477" s="265"/>
      <c r="G477" s="265"/>
      <c r="H477" s="265"/>
      <c r="I477" s="367"/>
      <c r="J477" s="367"/>
      <c r="K477" s="265"/>
      <c r="L477" s="265"/>
      <c r="M477" s="265"/>
      <c r="N477" s="265"/>
      <c r="O477" s="367"/>
      <c r="P477" s="367"/>
    </row>
    <row r="478" spans="1:16" ht="14.4" hidden="1" x14ac:dyDescent="0.3">
      <c r="A478" s="269"/>
      <c r="B478" s="270"/>
      <c r="C478" s="368"/>
      <c r="D478" s="368"/>
      <c r="E478" s="369"/>
      <c r="F478" s="265"/>
      <c r="G478" s="265"/>
      <c r="H478" s="265"/>
      <c r="I478" s="367"/>
      <c r="J478" s="367"/>
      <c r="K478" s="265"/>
      <c r="L478" s="265"/>
      <c r="M478" s="265"/>
      <c r="N478" s="265"/>
      <c r="O478" s="367"/>
      <c r="P478" s="367"/>
    </row>
    <row r="479" spans="1:16" ht="14.4" hidden="1" x14ac:dyDescent="0.3">
      <c r="A479" s="269"/>
      <c r="B479" s="270"/>
      <c r="C479" s="368"/>
      <c r="D479" s="368"/>
      <c r="E479" s="369"/>
      <c r="F479" s="265"/>
      <c r="G479" s="265"/>
      <c r="H479" s="265"/>
      <c r="I479" s="367"/>
      <c r="J479" s="367"/>
      <c r="K479" s="265"/>
      <c r="L479" s="265"/>
      <c r="M479" s="265"/>
      <c r="N479" s="265"/>
      <c r="O479" s="367"/>
      <c r="P479" s="367"/>
    </row>
    <row r="480" spans="1:16" ht="14.4" hidden="1" x14ac:dyDescent="0.3">
      <c r="A480" s="269"/>
      <c r="B480" s="270"/>
      <c r="C480" s="368"/>
      <c r="D480" s="368"/>
      <c r="E480" s="369"/>
      <c r="F480" s="265"/>
      <c r="G480" s="265"/>
      <c r="H480" s="265"/>
      <c r="I480" s="367"/>
      <c r="J480" s="367"/>
      <c r="K480" s="265"/>
      <c r="L480" s="265"/>
      <c r="M480" s="265"/>
      <c r="N480" s="265"/>
      <c r="O480" s="367"/>
      <c r="P480" s="367"/>
    </row>
    <row r="481" spans="1:16" ht="14.4" hidden="1" x14ac:dyDescent="0.3">
      <c r="A481" s="269"/>
      <c r="B481" s="270"/>
      <c r="C481" s="368"/>
      <c r="D481" s="368"/>
      <c r="E481" s="369"/>
      <c r="F481" s="265"/>
      <c r="G481" s="265"/>
      <c r="H481" s="265"/>
      <c r="I481" s="367"/>
      <c r="J481" s="367"/>
      <c r="K481" s="265"/>
      <c r="L481" s="265"/>
      <c r="M481" s="265"/>
      <c r="N481" s="265"/>
      <c r="O481" s="367"/>
      <c r="P481" s="367"/>
    </row>
    <row r="482" spans="1:16" ht="14.4" hidden="1" x14ac:dyDescent="0.3">
      <c r="A482" s="269"/>
      <c r="B482" s="270"/>
      <c r="C482" s="368"/>
      <c r="D482" s="368"/>
      <c r="E482" s="369"/>
      <c r="F482" s="265"/>
      <c r="G482" s="265"/>
      <c r="H482" s="265"/>
      <c r="I482" s="367"/>
      <c r="J482" s="367"/>
      <c r="K482" s="265"/>
      <c r="L482" s="265"/>
      <c r="M482" s="265"/>
      <c r="N482" s="265"/>
      <c r="O482" s="367"/>
      <c r="P482" s="367"/>
    </row>
    <row r="483" spans="1:16" ht="14.4" hidden="1" x14ac:dyDescent="0.3">
      <c r="A483" s="269"/>
      <c r="B483" s="270"/>
      <c r="C483" s="368"/>
      <c r="D483" s="368"/>
      <c r="E483" s="369"/>
      <c r="F483" s="265"/>
      <c r="G483" s="265"/>
      <c r="H483" s="265"/>
      <c r="I483" s="367"/>
      <c r="J483" s="367"/>
      <c r="K483" s="265"/>
      <c r="L483" s="265"/>
      <c r="M483" s="265"/>
      <c r="N483" s="265"/>
      <c r="O483" s="367"/>
      <c r="P483" s="367"/>
    </row>
    <row r="484" spans="1:16" ht="14.4" hidden="1" x14ac:dyDescent="0.3">
      <c r="A484" s="269"/>
      <c r="B484" s="270"/>
      <c r="C484" s="368"/>
      <c r="D484" s="368"/>
      <c r="E484" s="369"/>
      <c r="F484" s="265"/>
      <c r="G484" s="265"/>
      <c r="H484" s="265"/>
      <c r="I484" s="367"/>
      <c r="J484" s="367"/>
      <c r="K484" s="265"/>
      <c r="L484" s="265"/>
      <c r="M484" s="265"/>
      <c r="N484" s="265"/>
      <c r="O484" s="367"/>
      <c r="P484" s="367"/>
    </row>
    <row r="485" spans="1:16" ht="14.4" hidden="1" x14ac:dyDescent="0.3">
      <c r="A485" s="269"/>
      <c r="B485" s="270"/>
      <c r="C485" s="368"/>
      <c r="D485" s="368"/>
      <c r="E485" s="369"/>
      <c r="F485" s="265"/>
      <c r="G485" s="265"/>
      <c r="H485" s="265"/>
      <c r="I485" s="367"/>
      <c r="J485" s="367"/>
      <c r="K485" s="265"/>
      <c r="L485" s="265"/>
      <c r="M485" s="265"/>
      <c r="N485" s="265"/>
      <c r="O485" s="367"/>
      <c r="P485" s="367"/>
    </row>
    <row r="486" spans="1:16" ht="14.4" hidden="1" x14ac:dyDescent="0.3">
      <c r="A486" s="269"/>
      <c r="B486" s="270"/>
      <c r="C486" s="368"/>
      <c r="D486" s="368"/>
      <c r="E486" s="369"/>
      <c r="F486" s="265"/>
      <c r="G486" s="265"/>
      <c r="H486" s="265"/>
      <c r="I486" s="367"/>
      <c r="J486" s="367"/>
      <c r="K486" s="265"/>
      <c r="L486" s="265"/>
      <c r="M486" s="265"/>
      <c r="N486" s="265"/>
      <c r="O486" s="367"/>
      <c r="P486" s="367"/>
    </row>
    <row r="487" spans="1:16" ht="14.4" hidden="1" x14ac:dyDescent="0.3">
      <c r="A487" s="269"/>
      <c r="B487" s="270"/>
      <c r="C487" s="368"/>
      <c r="D487" s="368"/>
      <c r="E487" s="369"/>
      <c r="F487" s="265"/>
      <c r="G487" s="265"/>
      <c r="H487" s="265"/>
      <c r="I487" s="367"/>
      <c r="J487" s="367"/>
      <c r="K487" s="265"/>
      <c r="L487" s="265"/>
      <c r="M487" s="265"/>
      <c r="N487" s="265"/>
      <c r="O487" s="367"/>
      <c r="P487" s="367"/>
    </row>
    <row r="488" spans="1:16" ht="14.4" hidden="1" x14ac:dyDescent="0.3">
      <c r="A488" s="269"/>
      <c r="B488" s="270"/>
      <c r="C488" s="368"/>
      <c r="D488" s="368"/>
      <c r="E488" s="369"/>
      <c r="F488" s="265"/>
      <c r="G488" s="265"/>
      <c r="H488" s="265"/>
      <c r="I488" s="367"/>
      <c r="J488" s="367"/>
      <c r="K488" s="265"/>
      <c r="L488" s="265"/>
      <c r="M488" s="265"/>
      <c r="N488" s="265"/>
      <c r="O488" s="367"/>
      <c r="P488" s="367"/>
    </row>
    <row r="489" spans="1:16" ht="14.4" hidden="1" x14ac:dyDescent="0.3">
      <c r="A489" s="269"/>
      <c r="B489" s="270"/>
      <c r="C489" s="368"/>
      <c r="D489" s="368"/>
      <c r="E489" s="369"/>
      <c r="F489" s="265"/>
      <c r="G489" s="265"/>
      <c r="H489" s="265"/>
      <c r="I489" s="367"/>
      <c r="J489" s="367"/>
      <c r="K489" s="265"/>
      <c r="L489" s="265"/>
      <c r="M489" s="265"/>
      <c r="N489" s="265"/>
      <c r="O489" s="367"/>
      <c r="P489" s="367"/>
    </row>
    <row r="490" spans="1:16" ht="14.4" hidden="1" x14ac:dyDescent="0.3">
      <c r="A490" s="269"/>
      <c r="B490" s="270"/>
      <c r="C490" s="368"/>
      <c r="D490" s="368"/>
      <c r="E490" s="369"/>
      <c r="F490" s="265"/>
      <c r="G490" s="265"/>
      <c r="H490" s="265"/>
      <c r="I490" s="367"/>
      <c r="J490" s="367"/>
      <c r="K490" s="265"/>
      <c r="L490" s="265"/>
      <c r="M490" s="265"/>
      <c r="N490" s="265"/>
      <c r="O490" s="367"/>
      <c r="P490" s="367"/>
    </row>
    <row r="491" spans="1:16" ht="14.4" hidden="1" x14ac:dyDescent="0.3">
      <c r="A491" s="269"/>
      <c r="B491" s="270"/>
      <c r="C491" s="368"/>
      <c r="D491" s="368"/>
      <c r="E491" s="369"/>
      <c r="F491" s="265"/>
      <c r="G491" s="265"/>
      <c r="H491" s="265"/>
      <c r="I491" s="367"/>
      <c r="J491" s="367"/>
      <c r="K491" s="265"/>
      <c r="L491" s="265"/>
      <c r="M491" s="265"/>
      <c r="N491" s="265"/>
      <c r="O491" s="367"/>
      <c r="P491" s="367"/>
    </row>
    <row r="492" spans="1:16" ht="14.4" hidden="1" x14ac:dyDescent="0.3">
      <c r="A492" s="269"/>
      <c r="B492" s="270"/>
      <c r="C492" s="368"/>
      <c r="D492" s="368"/>
      <c r="E492" s="369"/>
      <c r="F492" s="265"/>
      <c r="G492" s="265"/>
      <c r="H492" s="265"/>
      <c r="I492" s="367"/>
      <c r="J492" s="367"/>
      <c r="K492" s="265"/>
      <c r="L492" s="265"/>
      <c r="M492" s="265"/>
      <c r="N492" s="265"/>
      <c r="O492" s="367"/>
      <c r="P492" s="367"/>
    </row>
    <row r="493" spans="1:16" ht="14.4" hidden="1" x14ac:dyDescent="0.3">
      <c r="A493" s="269"/>
      <c r="B493" s="270"/>
      <c r="C493" s="368"/>
      <c r="D493" s="368"/>
      <c r="E493" s="369"/>
      <c r="F493" s="265"/>
      <c r="G493" s="265"/>
      <c r="H493" s="265"/>
      <c r="I493" s="367"/>
      <c r="J493" s="367"/>
      <c r="K493" s="265"/>
      <c r="L493" s="265"/>
      <c r="M493" s="265"/>
      <c r="N493" s="265"/>
      <c r="O493" s="367"/>
      <c r="P493" s="367"/>
    </row>
    <row r="494" spans="1:16" ht="14.4" hidden="1" x14ac:dyDescent="0.3">
      <c r="A494" s="269"/>
      <c r="B494" s="270"/>
      <c r="C494" s="368"/>
      <c r="D494" s="368"/>
      <c r="E494" s="369"/>
      <c r="F494" s="265"/>
      <c r="G494" s="265"/>
      <c r="H494" s="265"/>
      <c r="I494" s="367"/>
      <c r="J494" s="367"/>
      <c r="K494" s="265"/>
      <c r="L494" s="265"/>
      <c r="M494" s="265"/>
      <c r="N494" s="265"/>
      <c r="O494" s="367"/>
      <c r="P494" s="367"/>
    </row>
    <row r="495" spans="1:16" ht="14.4" hidden="1" x14ac:dyDescent="0.3">
      <c r="A495" s="269"/>
      <c r="B495" s="270"/>
      <c r="C495" s="368"/>
      <c r="D495" s="368"/>
      <c r="E495" s="369"/>
      <c r="F495" s="265"/>
      <c r="G495" s="265"/>
      <c r="H495" s="265"/>
      <c r="I495" s="367"/>
      <c r="J495" s="367"/>
      <c r="K495" s="265"/>
      <c r="L495" s="265"/>
      <c r="M495" s="265"/>
      <c r="N495" s="265"/>
      <c r="O495" s="367"/>
      <c r="P495" s="367"/>
    </row>
    <row r="496" spans="1:16" ht="14.4" hidden="1" x14ac:dyDescent="0.3">
      <c r="A496" s="269"/>
      <c r="B496" s="270"/>
      <c r="C496" s="368"/>
      <c r="D496" s="368"/>
      <c r="E496" s="369"/>
      <c r="F496" s="265"/>
      <c r="G496" s="265"/>
      <c r="H496" s="265"/>
      <c r="I496" s="367"/>
      <c r="J496" s="367"/>
      <c r="K496" s="265"/>
      <c r="L496" s="265"/>
      <c r="M496" s="265"/>
      <c r="N496" s="265"/>
      <c r="O496" s="367"/>
      <c r="P496" s="367"/>
    </row>
    <row r="497" spans="1:16" ht="14.4" hidden="1" x14ac:dyDescent="0.3">
      <c r="A497" s="269"/>
      <c r="B497" s="270"/>
      <c r="C497" s="368"/>
      <c r="D497" s="368"/>
      <c r="E497" s="369"/>
      <c r="F497" s="265"/>
      <c r="G497" s="265"/>
      <c r="H497" s="265"/>
      <c r="I497" s="367"/>
      <c r="J497" s="367"/>
      <c r="K497" s="265"/>
      <c r="L497" s="265"/>
      <c r="M497" s="265"/>
      <c r="N497" s="265"/>
      <c r="O497" s="367"/>
      <c r="P497" s="367"/>
    </row>
    <row r="498" spans="1:16" ht="14.4" hidden="1" x14ac:dyDescent="0.3">
      <c r="A498" s="269"/>
      <c r="B498" s="270"/>
      <c r="C498" s="368"/>
      <c r="D498" s="368"/>
      <c r="E498" s="369"/>
      <c r="F498" s="265"/>
      <c r="G498" s="265"/>
      <c r="H498" s="265"/>
      <c r="I498" s="367"/>
      <c r="J498" s="367"/>
      <c r="K498" s="265"/>
      <c r="L498" s="265"/>
      <c r="M498" s="265"/>
      <c r="N498" s="265"/>
      <c r="O498" s="367"/>
      <c r="P498" s="367"/>
    </row>
    <row r="499" spans="1:16" ht="14.4" hidden="1" x14ac:dyDescent="0.3">
      <c r="A499" s="269"/>
      <c r="B499" s="270"/>
      <c r="C499" s="368"/>
      <c r="D499" s="368"/>
      <c r="E499" s="369"/>
      <c r="F499" s="265"/>
      <c r="G499" s="265"/>
      <c r="H499" s="265"/>
      <c r="I499" s="367"/>
      <c r="J499" s="367"/>
      <c r="K499" s="265"/>
      <c r="L499" s="265"/>
      <c r="M499" s="265"/>
      <c r="N499" s="265"/>
      <c r="O499" s="367"/>
      <c r="P499" s="367"/>
    </row>
    <row r="500" spans="1:16" ht="14.4" hidden="1" x14ac:dyDescent="0.3">
      <c r="A500" s="269"/>
      <c r="B500" s="270"/>
      <c r="C500" s="368"/>
      <c r="D500" s="368"/>
      <c r="E500" s="369"/>
      <c r="F500" s="265"/>
      <c r="G500" s="265"/>
      <c r="H500" s="265"/>
      <c r="I500" s="367"/>
      <c r="J500" s="367"/>
      <c r="K500" s="265"/>
      <c r="L500" s="265"/>
      <c r="M500" s="265"/>
      <c r="N500" s="265"/>
      <c r="O500" s="367"/>
      <c r="P500" s="367"/>
    </row>
    <row r="501" spans="1:16" ht="14.4" hidden="1" x14ac:dyDescent="0.3">
      <c r="A501" s="269"/>
      <c r="B501" s="270"/>
      <c r="C501" s="368"/>
      <c r="D501" s="368"/>
      <c r="E501" s="369"/>
      <c r="F501" s="265"/>
      <c r="G501" s="265"/>
      <c r="H501" s="265"/>
      <c r="I501" s="367"/>
      <c r="J501" s="367"/>
      <c r="K501" s="265"/>
      <c r="L501" s="265"/>
      <c r="M501" s="265"/>
      <c r="N501" s="265"/>
      <c r="O501" s="367"/>
      <c r="P501" s="367"/>
    </row>
    <row r="502" spans="1:16" ht="14.4" hidden="1" x14ac:dyDescent="0.3">
      <c r="A502" s="269"/>
      <c r="B502" s="270"/>
      <c r="C502" s="368"/>
      <c r="D502" s="368"/>
      <c r="E502" s="369"/>
      <c r="F502" s="265"/>
      <c r="G502" s="265"/>
      <c r="H502" s="265"/>
      <c r="I502" s="367"/>
      <c r="J502" s="367"/>
      <c r="K502" s="265"/>
      <c r="L502" s="265"/>
      <c r="M502" s="265"/>
      <c r="N502" s="265"/>
      <c r="O502" s="367"/>
      <c r="P502" s="367"/>
    </row>
    <row r="503" spans="1:16" ht="14.4" hidden="1" x14ac:dyDescent="0.3">
      <c r="A503" s="269"/>
      <c r="B503" s="270"/>
      <c r="C503" s="368"/>
      <c r="D503" s="368"/>
      <c r="E503" s="369"/>
      <c r="F503" s="265"/>
      <c r="G503" s="265"/>
      <c r="H503" s="265"/>
      <c r="I503" s="367"/>
      <c r="J503" s="367"/>
      <c r="K503" s="265"/>
      <c r="L503" s="265"/>
      <c r="M503" s="265"/>
      <c r="N503" s="265"/>
      <c r="O503" s="367"/>
      <c r="P503" s="367"/>
    </row>
    <row r="504" spans="1:16" ht="14.4" hidden="1" x14ac:dyDescent="0.3">
      <c r="A504" s="269"/>
      <c r="B504" s="270"/>
      <c r="C504" s="368"/>
      <c r="D504" s="368"/>
      <c r="E504" s="369"/>
      <c r="F504" s="265"/>
      <c r="G504" s="265"/>
      <c r="H504" s="265"/>
      <c r="I504" s="367"/>
      <c r="J504" s="367"/>
      <c r="K504" s="265"/>
      <c r="L504" s="265"/>
      <c r="M504" s="265"/>
      <c r="N504" s="265"/>
      <c r="O504" s="367"/>
      <c r="P504" s="367"/>
    </row>
    <row r="505" spans="1:16" ht="14.4" hidden="1" x14ac:dyDescent="0.3">
      <c r="A505" s="269"/>
      <c r="B505" s="270"/>
      <c r="C505" s="368"/>
      <c r="D505" s="368"/>
      <c r="E505" s="369"/>
      <c r="F505" s="265"/>
      <c r="G505" s="265"/>
      <c r="H505" s="265"/>
      <c r="I505" s="367"/>
      <c r="J505" s="367"/>
      <c r="K505" s="265"/>
      <c r="L505" s="265"/>
      <c r="M505" s="265"/>
      <c r="N505" s="265"/>
      <c r="O505" s="367"/>
      <c r="P505" s="367"/>
    </row>
    <row r="506" spans="1:16" ht="14.4" hidden="1" x14ac:dyDescent="0.3">
      <c r="A506" s="269"/>
      <c r="B506" s="270"/>
      <c r="C506" s="368"/>
      <c r="D506" s="368"/>
      <c r="E506" s="369"/>
      <c r="F506" s="265"/>
      <c r="G506" s="265"/>
      <c r="H506" s="265"/>
      <c r="I506" s="367"/>
      <c r="J506" s="367"/>
      <c r="K506" s="265"/>
      <c r="L506" s="265"/>
      <c r="M506" s="265"/>
      <c r="N506" s="265"/>
      <c r="O506" s="367"/>
      <c r="P506" s="367"/>
    </row>
    <row r="507" spans="1:16" ht="14.4" hidden="1" x14ac:dyDescent="0.3">
      <c r="A507" s="269"/>
      <c r="B507" s="270"/>
      <c r="C507" s="368"/>
      <c r="D507" s="368"/>
      <c r="E507" s="369"/>
      <c r="F507" s="265"/>
      <c r="G507" s="265"/>
      <c r="H507" s="265"/>
      <c r="I507" s="367"/>
      <c r="J507" s="367"/>
      <c r="K507" s="265"/>
      <c r="L507" s="265"/>
      <c r="M507" s="265"/>
      <c r="N507" s="265"/>
      <c r="O507" s="367"/>
      <c r="P507" s="367"/>
    </row>
    <row r="508" spans="1:16" ht="14.4" hidden="1" x14ac:dyDescent="0.3">
      <c r="A508" s="269"/>
      <c r="B508" s="270"/>
      <c r="C508" s="368"/>
      <c r="D508" s="368"/>
      <c r="E508" s="369"/>
      <c r="F508" s="265"/>
      <c r="G508" s="265"/>
      <c r="H508" s="265"/>
      <c r="I508" s="367"/>
      <c r="J508" s="367"/>
      <c r="K508" s="265"/>
      <c r="L508" s="265"/>
      <c r="M508" s="265"/>
      <c r="N508" s="265"/>
      <c r="O508" s="367"/>
      <c r="P508" s="367"/>
    </row>
    <row r="509" spans="1:16" ht="14.4" hidden="1" x14ac:dyDescent="0.3">
      <c r="A509" s="269"/>
      <c r="B509" s="270"/>
      <c r="C509" s="368"/>
      <c r="D509" s="368"/>
      <c r="E509" s="369"/>
      <c r="F509" s="265"/>
      <c r="G509" s="265"/>
      <c r="H509" s="265"/>
      <c r="I509" s="367"/>
      <c r="J509" s="367"/>
      <c r="K509" s="265"/>
      <c r="L509" s="265"/>
      <c r="M509" s="265"/>
      <c r="N509" s="265"/>
      <c r="O509" s="367"/>
      <c r="P509" s="367"/>
    </row>
    <row r="510" spans="1:16" ht="14.4" hidden="1" x14ac:dyDescent="0.3">
      <c r="A510" s="269"/>
      <c r="B510" s="270"/>
      <c r="C510" s="368"/>
      <c r="D510" s="368"/>
      <c r="E510" s="369"/>
      <c r="F510" s="265"/>
      <c r="G510" s="265"/>
      <c r="H510" s="265"/>
      <c r="I510" s="367"/>
      <c r="J510" s="367"/>
      <c r="K510" s="265"/>
      <c r="L510" s="265"/>
      <c r="M510" s="265"/>
      <c r="N510" s="265"/>
      <c r="O510" s="367"/>
      <c r="P510" s="367"/>
    </row>
    <row r="511" spans="1:16" ht="14.4" hidden="1" x14ac:dyDescent="0.3">
      <c r="A511" s="269"/>
      <c r="B511" s="270"/>
      <c r="C511" s="368"/>
      <c r="D511" s="368"/>
      <c r="E511" s="369"/>
      <c r="F511" s="265"/>
      <c r="G511" s="265"/>
      <c r="H511" s="265"/>
      <c r="I511" s="367"/>
      <c r="J511" s="367"/>
      <c r="K511" s="265"/>
      <c r="L511" s="265"/>
      <c r="M511" s="265"/>
      <c r="N511" s="265"/>
      <c r="O511" s="367"/>
      <c r="P511" s="367"/>
    </row>
    <row r="512" spans="1:16" ht="14.4" hidden="1" x14ac:dyDescent="0.3">
      <c r="A512" s="269"/>
      <c r="B512" s="270"/>
      <c r="C512" s="368"/>
      <c r="D512" s="368"/>
      <c r="E512" s="369"/>
      <c r="F512" s="265"/>
      <c r="G512" s="265"/>
      <c r="H512" s="265"/>
      <c r="I512" s="367"/>
      <c r="J512" s="367"/>
      <c r="K512" s="265"/>
      <c r="L512" s="265"/>
      <c r="M512" s="265"/>
      <c r="N512" s="265"/>
      <c r="O512" s="367"/>
      <c r="P512" s="367"/>
    </row>
    <row r="513" spans="1:16" ht="14.4" hidden="1" x14ac:dyDescent="0.3">
      <c r="A513" s="269"/>
      <c r="B513" s="270"/>
      <c r="C513" s="368"/>
      <c r="D513" s="368"/>
      <c r="E513" s="369"/>
      <c r="F513" s="265"/>
      <c r="G513" s="265"/>
      <c r="H513" s="265"/>
      <c r="I513" s="367"/>
      <c r="J513" s="367"/>
      <c r="K513" s="265"/>
      <c r="L513" s="265"/>
      <c r="M513" s="265"/>
      <c r="N513" s="265"/>
      <c r="O513" s="367"/>
      <c r="P513" s="367"/>
    </row>
    <row r="514" spans="1:16" ht="14.4" hidden="1" x14ac:dyDescent="0.3">
      <c r="A514" s="269"/>
      <c r="B514" s="270"/>
      <c r="C514" s="368"/>
      <c r="D514" s="368"/>
      <c r="E514" s="369"/>
      <c r="F514" s="265"/>
      <c r="G514" s="265"/>
      <c r="H514" s="265"/>
      <c r="I514" s="367"/>
      <c r="J514" s="367"/>
      <c r="K514" s="265"/>
      <c r="L514" s="265"/>
      <c r="M514" s="265"/>
      <c r="N514" s="265"/>
      <c r="O514" s="367"/>
      <c r="P514" s="367"/>
    </row>
    <row r="515" spans="1:16" ht="14.4" hidden="1" x14ac:dyDescent="0.3">
      <c r="A515" s="269"/>
      <c r="B515" s="270"/>
      <c r="C515" s="368"/>
      <c r="D515" s="368"/>
      <c r="E515" s="369"/>
      <c r="F515" s="265"/>
      <c r="G515" s="265"/>
      <c r="H515" s="265"/>
      <c r="I515" s="367"/>
      <c r="J515" s="367"/>
      <c r="K515" s="265"/>
      <c r="L515" s="265"/>
      <c r="M515" s="265"/>
      <c r="N515" s="265"/>
      <c r="O515" s="367"/>
      <c r="P515" s="367"/>
    </row>
    <row r="516" spans="1:16" ht="14.4" hidden="1" x14ac:dyDescent="0.3">
      <c r="A516" s="269"/>
      <c r="B516" s="270"/>
      <c r="C516" s="368"/>
      <c r="D516" s="368"/>
      <c r="E516" s="369"/>
      <c r="F516" s="265"/>
      <c r="G516" s="265"/>
      <c r="H516" s="265"/>
      <c r="I516" s="367"/>
      <c r="J516" s="367"/>
      <c r="K516" s="265"/>
      <c r="L516" s="265"/>
      <c r="M516" s="265"/>
      <c r="N516" s="265"/>
      <c r="O516" s="367"/>
      <c r="P516" s="367"/>
    </row>
    <row r="517" spans="1:16" ht="14.4" hidden="1" x14ac:dyDescent="0.3">
      <c r="A517" s="269"/>
      <c r="B517" s="270"/>
      <c r="C517" s="368"/>
      <c r="D517" s="368"/>
      <c r="E517" s="369"/>
      <c r="F517" s="265"/>
      <c r="G517" s="265"/>
      <c r="H517" s="265"/>
      <c r="I517" s="367"/>
      <c r="J517" s="367"/>
      <c r="K517" s="265"/>
      <c r="L517" s="265"/>
      <c r="M517" s="265"/>
      <c r="N517" s="265"/>
      <c r="O517" s="367"/>
      <c r="P517" s="367"/>
    </row>
    <row r="518" spans="1:16" ht="14.4" hidden="1" x14ac:dyDescent="0.3">
      <c r="A518" s="269"/>
      <c r="B518" s="270"/>
      <c r="C518" s="368"/>
      <c r="D518" s="368"/>
      <c r="E518" s="369"/>
      <c r="F518" s="265"/>
      <c r="G518" s="265"/>
      <c r="H518" s="265"/>
      <c r="I518" s="367"/>
      <c r="J518" s="367"/>
      <c r="K518" s="265"/>
      <c r="L518" s="265"/>
      <c r="M518" s="265"/>
      <c r="N518" s="265"/>
      <c r="O518" s="367"/>
      <c r="P518" s="367"/>
    </row>
    <row r="519" spans="1:16" ht="14.4" hidden="1" x14ac:dyDescent="0.3">
      <c r="A519" s="269"/>
      <c r="B519" s="270"/>
      <c r="C519" s="368"/>
      <c r="D519" s="368"/>
      <c r="E519" s="369"/>
      <c r="F519" s="265"/>
      <c r="G519" s="265"/>
      <c r="H519" s="265"/>
      <c r="I519" s="367"/>
      <c r="J519" s="367"/>
      <c r="K519" s="265"/>
      <c r="L519" s="265"/>
      <c r="M519" s="265"/>
      <c r="N519" s="265"/>
      <c r="O519" s="367"/>
      <c r="P519" s="367"/>
    </row>
    <row r="520" spans="1:16" ht="14.4" hidden="1" x14ac:dyDescent="0.3">
      <c r="A520" s="269"/>
      <c r="B520" s="270"/>
      <c r="C520" s="368"/>
      <c r="D520" s="368"/>
      <c r="E520" s="369"/>
      <c r="F520" s="265"/>
      <c r="G520" s="265"/>
      <c r="H520" s="265"/>
      <c r="I520" s="367"/>
      <c r="J520" s="367"/>
      <c r="K520" s="265"/>
      <c r="L520" s="265"/>
      <c r="M520" s="265"/>
      <c r="N520" s="265"/>
      <c r="O520" s="367"/>
      <c r="P520" s="367"/>
    </row>
    <row r="521" spans="1:16" ht="14.4" hidden="1" x14ac:dyDescent="0.3">
      <c r="A521" s="269"/>
      <c r="B521" s="270"/>
      <c r="C521" s="368"/>
      <c r="D521" s="368"/>
      <c r="E521" s="369"/>
      <c r="F521" s="265"/>
      <c r="G521" s="265"/>
      <c r="H521" s="265"/>
      <c r="I521" s="367"/>
      <c r="J521" s="367"/>
      <c r="K521" s="265"/>
      <c r="L521" s="265"/>
      <c r="M521" s="265"/>
      <c r="N521" s="265"/>
      <c r="O521" s="367"/>
      <c r="P521" s="367"/>
    </row>
    <row r="522" spans="1:16" ht="14.4" hidden="1" x14ac:dyDescent="0.3">
      <c r="A522" s="269"/>
      <c r="B522" s="270"/>
      <c r="C522" s="368"/>
      <c r="D522" s="368"/>
      <c r="E522" s="369"/>
      <c r="F522" s="265"/>
      <c r="G522" s="265"/>
      <c r="H522" s="265"/>
      <c r="I522" s="367"/>
      <c r="J522" s="367"/>
      <c r="K522" s="265"/>
      <c r="L522" s="265"/>
      <c r="M522" s="265"/>
      <c r="N522" s="265"/>
      <c r="O522" s="367"/>
      <c r="P522" s="367"/>
    </row>
    <row r="523" spans="1:16" ht="14.4" hidden="1" x14ac:dyDescent="0.3">
      <c r="A523" s="269"/>
      <c r="B523" s="270"/>
      <c r="C523" s="368"/>
      <c r="D523" s="368"/>
      <c r="E523" s="369"/>
      <c r="F523" s="265"/>
      <c r="G523" s="265"/>
      <c r="H523" s="265"/>
      <c r="I523" s="367"/>
      <c r="J523" s="367"/>
      <c r="K523" s="265"/>
      <c r="L523" s="265"/>
      <c r="M523" s="265"/>
      <c r="N523" s="265"/>
      <c r="O523" s="367"/>
      <c r="P523" s="367"/>
    </row>
    <row r="524" spans="1:16" ht="14.4" hidden="1" x14ac:dyDescent="0.3">
      <c r="A524" s="269"/>
      <c r="B524" s="270"/>
      <c r="C524" s="368"/>
      <c r="D524" s="368"/>
      <c r="E524" s="369"/>
      <c r="F524" s="265"/>
      <c r="G524" s="265"/>
      <c r="H524" s="265"/>
      <c r="I524" s="367"/>
      <c r="J524" s="367"/>
      <c r="K524" s="265"/>
      <c r="L524" s="265"/>
      <c r="M524" s="265"/>
      <c r="N524" s="265"/>
      <c r="O524" s="367"/>
      <c r="P524" s="367"/>
    </row>
    <row r="525" spans="1:16" ht="14.4" hidden="1" x14ac:dyDescent="0.3">
      <c r="A525" s="269"/>
      <c r="B525" s="270"/>
      <c r="C525" s="368"/>
      <c r="D525" s="368"/>
      <c r="E525" s="369"/>
      <c r="F525" s="265"/>
      <c r="G525" s="265"/>
      <c r="H525" s="265"/>
      <c r="I525" s="367"/>
      <c r="J525" s="367"/>
      <c r="K525" s="265"/>
      <c r="L525" s="265"/>
      <c r="M525" s="265"/>
      <c r="N525" s="265"/>
      <c r="O525" s="367"/>
      <c r="P525" s="367"/>
    </row>
    <row r="526" spans="1:16" ht="14.4" hidden="1" x14ac:dyDescent="0.3">
      <c r="A526" s="269"/>
      <c r="B526" s="270"/>
      <c r="C526" s="368"/>
      <c r="D526" s="368"/>
      <c r="E526" s="369"/>
      <c r="F526" s="265"/>
      <c r="G526" s="265"/>
      <c r="H526" s="265"/>
      <c r="I526" s="367"/>
      <c r="J526" s="367"/>
      <c r="K526" s="265"/>
      <c r="L526" s="265"/>
      <c r="M526" s="265"/>
      <c r="N526" s="265"/>
      <c r="O526" s="367"/>
      <c r="P526" s="367"/>
    </row>
    <row r="527" spans="1:16" ht="14.4" hidden="1" x14ac:dyDescent="0.3">
      <c r="A527" s="269"/>
      <c r="B527" s="270"/>
      <c r="C527" s="368"/>
      <c r="D527" s="368"/>
      <c r="E527" s="369"/>
      <c r="F527" s="265"/>
      <c r="G527" s="265"/>
      <c r="H527" s="265"/>
      <c r="I527" s="367"/>
      <c r="J527" s="367"/>
      <c r="K527" s="265"/>
      <c r="L527" s="265"/>
      <c r="M527" s="265"/>
      <c r="N527" s="265"/>
      <c r="O527" s="367"/>
      <c r="P527" s="367"/>
    </row>
    <row r="528" spans="1:16" ht="14.4" hidden="1" x14ac:dyDescent="0.3">
      <c r="A528" s="269"/>
      <c r="B528" s="270"/>
      <c r="C528" s="368"/>
      <c r="D528" s="368"/>
      <c r="E528" s="369"/>
      <c r="F528" s="265"/>
      <c r="G528" s="265"/>
      <c r="H528" s="265"/>
      <c r="I528" s="367"/>
      <c r="J528" s="367"/>
      <c r="K528" s="265"/>
      <c r="L528" s="265"/>
      <c r="M528" s="265"/>
      <c r="N528" s="265"/>
      <c r="O528" s="367"/>
      <c r="P528" s="367"/>
    </row>
    <row r="529" spans="1:16" ht="14.4" hidden="1" x14ac:dyDescent="0.3">
      <c r="A529" s="269"/>
      <c r="B529" s="270"/>
      <c r="C529" s="368"/>
      <c r="D529" s="368"/>
      <c r="E529" s="369"/>
      <c r="F529" s="265"/>
      <c r="G529" s="265"/>
      <c r="H529" s="265"/>
      <c r="I529" s="367"/>
      <c r="J529" s="367"/>
      <c r="K529" s="265"/>
      <c r="L529" s="265"/>
      <c r="M529" s="265"/>
      <c r="N529" s="265"/>
      <c r="O529" s="367"/>
      <c r="P529" s="367"/>
    </row>
    <row r="530" spans="1:16" ht="14.4" hidden="1" x14ac:dyDescent="0.3">
      <c r="A530" s="269"/>
      <c r="B530" s="270"/>
      <c r="C530" s="368"/>
      <c r="D530" s="368"/>
      <c r="E530" s="369"/>
      <c r="F530" s="265"/>
      <c r="G530" s="265"/>
      <c r="H530" s="265"/>
      <c r="I530" s="367"/>
      <c r="J530" s="367"/>
      <c r="K530" s="265"/>
      <c r="L530" s="265"/>
      <c r="M530" s="265"/>
      <c r="N530" s="265"/>
      <c r="O530" s="367"/>
      <c r="P530" s="367"/>
    </row>
    <row r="531" spans="1:16" ht="14.4" hidden="1" x14ac:dyDescent="0.3">
      <c r="A531" s="269"/>
      <c r="B531" s="270"/>
      <c r="C531" s="368"/>
      <c r="D531" s="368"/>
      <c r="E531" s="369"/>
      <c r="F531" s="265"/>
      <c r="G531" s="265"/>
      <c r="H531" s="265"/>
      <c r="I531" s="367"/>
      <c r="J531" s="367"/>
      <c r="K531" s="265"/>
      <c r="L531" s="265"/>
      <c r="M531" s="265"/>
      <c r="N531" s="265"/>
      <c r="O531" s="367"/>
      <c r="P531" s="367"/>
    </row>
    <row r="532" spans="1:16" ht="14.4" hidden="1" x14ac:dyDescent="0.3">
      <c r="A532" s="269"/>
      <c r="B532" s="270"/>
      <c r="C532" s="368"/>
      <c r="D532" s="368"/>
      <c r="E532" s="369"/>
      <c r="F532" s="265"/>
      <c r="G532" s="265"/>
      <c r="H532" s="265"/>
      <c r="I532" s="367"/>
      <c r="J532" s="367"/>
      <c r="K532" s="265"/>
      <c r="L532" s="265"/>
      <c r="M532" s="265"/>
      <c r="N532" s="265"/>
      <c r="O532" s="367"/>
      <c r="P532" s="367"/>
    </row>
    <row r="533" spans="1:16" ht="14.4" hidden="1" x14ac:dyDescent="0.3">
      <c r="A533" s="269"/>
      <c r="B533" s="270"/>
      <c r="C533" s="368"/>
      <c r="D533" s="368"/>
      <c r="E533" s="369"/>
      <c r="F533" s="265"/>
      <c r="G533" s="265"/>
      <c r="H533" s="265"/>
      <c r="I533" s="367"/>
      <c r="J533" s="367"/>
      <c r="K533" s="265"/>
      <c r="L533" s="265"/>
      <c r="M533" s="265"/>
      <c r="N533" s="265"/>
      <c r="O533" s="367"/>
      <c r="P533" s="367"/>
    </row>
    <row r="534" spans="1:16" ht="14.4" hidden="1" x14ac:dyDescent="0.3">
      <c r="A534" s="269"/>
      <c r="B534" s="270"/>
      <c r="C534" s="368"/>
      <c r="D534" s="368"/>
      <c r="E534" s="369"/>
      <c r="F534" s="265"/>
      <c r="G534" s="265"/>
      <c r="H534" s="265"/>
      <c r="I534" s="367"/>
      <c r="J534" s="367"/>
      <c r="K534" s="265"/>
      <c r="L534" s="265"/>
      <c r="M534" s="265"/>
      <c r="N534" s="265"/>
      <c r="O534" s="367"/>
      <c r="P534" s="367"/>
    </row>
    <row r="535" spans="1:16" ht="14.4" hidden="1" x14ac:dyDescent="0.3">
      <c r="A535" s="269"/>
      <c r="B535" s="270"/>
      <c r="C535" s="368"/>
      <c r="D535" s="368"/>
      <c r="E535" s="369"/>
      <c r="F535" s="265"/>
      <c r="G535" s="265"/>
      <c r="H535" s="265"/>
      <c r="I535" s="367"/>
      <c r="J535" s="367"/>
      <c r="K535" s="265"/>
      <c r="L535" s="265"/>
      <c r="M535" s="265"/>
      <c r="N535" s="265"/>
      <c r="O535" s="367"/>
      <c r="P535" s="367"/>
    </row>
    <row r="536" spans="1:16" ht="14.4" hidden="1" x14ac:dyDescent="0.3">
      <c r="A536" s="269"/>
      <c r="B536" s="270"/>
      <c r="C536" s="368"/>
      <c r="D536" s="368"/>
      <c r="E536" s="369"/>
      <c r="F536" s="265"/>
      <c r="G536" s="265"/>
      <c r="H536" s="265"/>
      <c r="I536" s="367"/>
      <c r="J536" s="367"/>
      <c r="K536" s="265"/>
      <c r="L536" s="265"/>
      <c r="M536" s="265"/>
      <c r="N536" s="265"/>
      <c r="O536" s="367"/>
      <c r="P536" s="367"/>
    </row>
    <row r="537" spans="1:16" ht="14.4" hidden="1" x14ac:dyDescent="0.3">
      <c r="A537" s="269"/>
      <c r="B537" s="270"/>
      <c r="C537" s="368"/>
      <c r="D537" s="368"/>
      <c r="E537" s="369"/>
      <c r="F537" s="265"/>
      <c r="G537" s="265"/>
      <c r="H537" s="265"/>
      <c r="I537" s="367"/>
      <c r="J537" s="367"/>
      <c r="K537" s="265"/>
      <c r="L537" s="265"/>
      <c r="M537" s="265"/>
      <c r="N537" s="265"/>
      <c r="O537" s="367"/>
      <c r="P537" s="367"/>
    </row>
    <row r="538" spans="1:16" ht="14.4" hidden="1" x14ac:dyDescent="0.3">
      <c r="A538" s="269"/>
      <c r="B538" s="270"/>
      <c r="C538" s="368"/>
      <c r="D538" s="368"/>
      <c r="E538" s="369"/>
      <c r="F538" s="265"/>
      <c r="G538" s="265"/>
      <c r="H538" s="265"/>
      <c r="I538" s="367"/>
      <c r="J538" s="367"/>
      <c r="K538" s="265"/>
      <c r="L538" s="265"/>
      <c r="M538" s="265"/>
      <c r="N538" s="265"/>
      <c r="O538" s="367"/>
      <c r="P538" s="367"/>
    </row>
    <row r="539" spans="1:16" ht="14.4" hidden="1" x14ac:dyDescent="0.3">
      <c r="A539" s="269"/>
      <c r="B539" s="270"/>
      <c r="C539" s="368"/>
      <c r="D539" s="368"/>
      <c r="E539" s="369"/>
      <c r="F539" s="265"/>
      <c r="G539" s="265"/>
      <c r="H539" s="265"/>
      <c r="I539" s="367"/>
      <c r="J539" s="367"/>
      <c r="K539" s="265"/>
      <c r="L539" s="265"/>
      <c r="M539" s="265"/>
      <c r="N539" s="265"/>
      <c r="O539" s="367"/>
      <c r="P539" s="367"/>
    </row>
    <row r="540" spans="1:16" ht="14.4" hidden="1" x14ac:dyDescent="0.3">
      <c r="A540" s="269"/>
      <c r="B540" s="270"/>
      <c r="C540" s="368"/>
      <c r="D540" s="368"/>
      <c r="E540" s="369"/>
      <c r="F540" s="265"/>
      <c r="G540" s="265"/>
      <c r="H540" s="265"/>
      <c r="I540" s="367"/>
      <c r="J540" s="367"/>
      <c r="K540" s="265"/>
      <c r="L540" s="265"/>
      <c r="M540" s="265"/>
      <c r="N540" s="265"/>
      <c r="O540" s="367"/>
      <c r="P540" s="367"/>
    </row>
    <row r="541" spans="1:16" ht="14.4" hidden="1" x14ac:dyDescent="0.3">
      <c r="A541" s="269"/>
      <c r="B541" s="270"/>
      <c r="C541" s="368"/>
      <c r="D541" s="368"/>
      <c r="E541" s="369"/>
      <c r="F541" s="265"/>
      <c r="G541" s="265"/>
      <c r="H541" s="265"/>
      <c r="I541" s="367"/>
      <c r="J541" s="367"/>
      <c r="K541" s="265"/>
      <c r="L541" s="265"/>
      <c r="M541" s="265"/>
      <c r="N541" s="265"/>
      <c r="O541" s="367"/>
      <c r="P541" s="367"/>
    </row>
    <row r="542" spans="1:16" ht="14.4" hidden="1" x14ac:dyDescent="0.3">
      <c r="A542" s="269"/>
      <c r="B542" s="270"/>
      <c r="C542" s="368"/>
      <c r="D542" s="368"/>
      <c r="E542" s="369"/>
      <c r="F542" s="265"/>
      <c r="G542" s="265"/>
      <c r="H542" s="265"/>
      <c r="I542" s="367"/>
      <c r="J542" s="367"/>
      <c r="K542" s="265"/>
      <c r="L542" s="265"/>
      <c r="M542" s="265"/>
      <c r="N542" s="265"/>
      <c r="O542" s="367"/>
      <c r="P542" s="367"/>
    </row>
    <row r="543" spans="1:16" ht="14.4" hidden="1" x14ac:dyDescent="0.3">
      <c r="A543" s="269"/>
      <c r="B543" s="270"/>
      <c r="C543" s="368"/>
      <c r="D543" s="368"/>
      <c r="E543" s="369"/>
      <c r="F543" s="265"/>
      <c r="G543" s="265"/>
      <c r="H543" s="265"/>
      <c r="I543" s="367"/>
      <c r="J543" s="367"/>
      <c r="K543" s="265"/>
      <c r="L543" s="265"/>
      <c r="M543" s="265"/>
      <c r="N543" s="265"/>
      <c r="O543" s="367"/>
      <c r="P543" s="367"/>
    </row>
    <row r="544" spans="1:16" ht="14.4" hidden="1" x14ac:dyDescent="0.3">
      <c r="A544" s="269"/>
      <c r="B544" s="270"/>
      <c r="C544" s="368"/>
      <c r="D544" s="368"/>
      <c r="E544" s="369"/>
      <c r="F544" s="265"/>
      <c r="G544" s="265"/>
      <c r="H544" s="265"/>
      <c r="I544" s="367"/>
      <c r="J544" s="367"/>
      <c r="K544" s="265"/>
      <c r="L544" s="265"/>
      <c r="M544" s="265"/>
      <c r="N544" s="265"/>
      <c r="O544" s="367"/>
      <c r="P544" s="367"/>
    </row>
    <row r="545" spans="1:16" ht="14.4" hidden="1" x14ac:dyDescent="0.3">
      <c r="A545" s="269"/>
      <c r="B545" s="270"/>
      <c r="C545" s="368"/>
      <c r="D545" s="368"/>
      <c r="E545" s="369"/>
      <c r="F545" s="265"/>
      <c r="G545" s="265"/>
      <c r="H545" s="265"/>
      <c r="I545" s="367"/>
      <c r="J545" s="367"/>
      <c r="K545" s="265"/>
      <c r="L545" s="265"/>
      <c r="M545" s="265"/>
      <c r="N545" s="265"/>
      <c r="O545" s="367"/>
      <c r="P545" s="367"/>
    </row>
    <row r="546" spans="1:16" ht="14.4" hidden="1" x14ac:dyDescent="0.3">
      <c r="A546" s="269"/>
      <c r="B546" s="270"/>
      <c r="C546" s="368"/>
      <c r="D546" s="368"/>
      <c r="E546" s="369"/>
      <c r="F546" s="265"/>
      <c r="G546" s="265"/>
      <c r="H546" s="265"/>
      <c r="I546" s="367"/>
      <c r="J546" s="367"/>
      <c r="K546" s="265"/>
      <c r="L546" s="265"/>
      <c r="M546" s="265"/>
      <c r="N546" s="265"/>
      <c r="O546" s="367"/>
      <c r="P546" s="367"/>
    </row>
    <row r="547" spans="1:16" ht="14.4" hidden="1" x14ac:dyDescent="0.3">
      <c r="A547" s="269"/>
      <c r="B547" s="270"/>
      <c r="C547" s="368"/>
      <c r="D547" s="368"/>
      <c r="E547" s="369"/>
      <c r="F547" s="265"/>
      <c r="G547" s="265"/>
      <c r="H547" s="265"/>
      <c r="I547" s="367"/>
      <c r="J547" s="367"/>
      <c r="K547" s="265"/>
      <c r="L547" s="265"/>
      <c r="M547" s="265"/>
      <c r="N547" s="265"/>
      <c r="O547" s="367"/>
      <c r="P547" s="367"/>
    </row>
    <row r="548" spans="1:16" ht="14.4" hidden="1" x14ac:dyDescent="0.3">
      <c r="A548" s="269"/>
      <c r="B548" s="270"/>
      <c r="C548" s="368"/>
      <c r="D548" s="368"/>
      <c r="E548" s="369"/>
      <c r="F548" s="265"/>
      <c r="G548" s="265"/>
      <c r="H548" s="265"/>
      <c r="I548" s="367"/>
      <c r="J548" s="367"/>
      <c r="K548" s="265"/>
      <c r="L548" s="265"/>
      <c r="M548" s="265"/>
      <c r="N548" s="265"/>
      <c r="O548" s="367"/>
      <c r="P548" s="367"/>
    </row>
    <row r="549" spans="1:16" ht="14.4" hidden="1" x14ac:dyDescent="0.3">
      <c r="A549" s="269"/>
      <c r="B549" s="270"/>
      <c r="C549" s="368"/>
      <c r="D549" s="368"/>
      <c r="E549" s="369"/>
      <c r="F549" s="265"/>
      <c r="G549" s="265"/>
      <c r="H549" s="265"/>
      <c r="I549" s="367"/>
      <c r="J549" s="367"/>
      <c r="K549" s="265"/>
      <c r="L549" s="265"/>
      <c r="M549" s="265"/>
      <c r="N549" s="265"/>
      <c r="O549" s="367"/>
      <c r="P549" s="367"/>
    </row>
    <row r="550" spans="1:16" ht="14.4" hidden="1" x14ac:dyDescent="0.3">
      <c r="A550" s="269"/>
      <c r="B550" s="270"/>
      <c r="C550" s="368"/>
      <c r="D550" s="368"/>
      <c r="E550" s="369"/>
      <c r="F550" s="265"/>
      <c r="G550" s="265"/>
      <c r="H550" s="265"/>
      <c r="I550" s="367"/>
      <c r="J550" s="367"/>
      <c r="K550" s="265"/>
      <c r="L550" s="265"/>
      <c r="M550" s="265"/>
      <c r="N550" s="265"/>
      <c r="O550" s="367"/>
      <c r="P550" s="367"/>
    </row>
    <row r="551" spans="1:16" ht="14.4" hidden="1" x14ac:dyDescent="0.3">
      <c r="A551" s="269"/>
      <c r="B551" s="270"/>
      <c r="C551" s="368"/>
      <c r="D551" s="368"/>
      <c r="E551" s="369"/>
      <c r="F551" s="265"/>
      <c r="G551" s="265"/>
      <c r="H551" s="265"/>
      <c r="I551" s="367"/>
      <c r="J551" s="367"/>
      <c r="K551" s="265"/>
      <c r="L551" s="265"/>
      <c r="M551" s="265"/>
      <c r="N551" s="265"/>
      <c r="O551" s="367"/>
      <c r="P551" s="367"/>
    </row>
    <row r="552" spans="1:16" ht="14.4" hidden="1" x14ac:dyDescent="0.3">
      <c r="A552" s="269"/>
      <c r="B552" s="270"/>
      <c r="C552" s="368"/>
      <c r="D552" s="368"/>
      <c r="E552" s="369"/>
      <c r="F552" s="265"/>
      <c r="G552" s="265"/>
      <c r="H552" s="265"/>
      <c r="I552" s="367"/>
      <c r="J552" s="367"/>
      <c r="K552" s="265"/>
      <c r="L552" s="265"/>
      <c r="M552" s="265"/>
      <c r="N552" s="265"/>
      <c r="O552" s="367"/>
      <c r="P552" s="367"/>
    </row>
    <row r="553" spans="1:16" ht="14.4" hidden="1" x14ac:dyDescent="0.3">
      <c r="A553" s="269"/>
      <c r="B553" s="270"/>
      <c r="C553" s="368"/>
      <c r="D553" s="368"/>
      <c r="E553" s="369"/>
      <c r="F553" s="265"/>
      <c r="G553" s="265"/>
      <c r="H553" s="265"/>
      <c r="I553" s="367"/>
      <c r="J553" s="367"/>
      <c r="K553" s="265"/>
      <c r="L553" s="265"/>
      <c r="M553" s="265"/>
      <c r="N553" s="265"/>
      <c r="O553" s="367"/>
      <c r="P553" s="367"/>
    </row>
    <row r="554" spans="1:16" ht="14.4" hidden="1" x14ac:dyDescent="0.3">
      <c r="A554" s="269"/>
      <c r="B554" s="270"/>
      <c r="C554" s="368"/>
      <c r="D554" s="368"/>
      <c r="E554" s="369"/>
      <c r="F554" s="265"/>
      <c r="G554" s="265"/>
      <c r="H554" s="265"/>
      <c r="I554" s="367"/>
      <c r="J554" s="367"/>
      <c r="K554" s="265"/>
      <c r="L554" s="265"/>
      <c r="M554" s="265"/>
      <c r="N554" s="265"/>
      <c r="O554" s="367"/>
      <c r="P554" s="367"/>
    </row>
    <row r="555" spans="1:16" ht="14.4" hidden="1" x14ac:dyDescent="0.3">
      <c r="A555" s="269"/>
      <c r="B555" s="270"/>
      <c r="C555" s="368"/>
      <c r="D555" s="368"/>
      <c r="E555" s="369"/>
      <c r="F555" s="265"/>
      <c r="G555" s="265"/>
      <c r="H555" s="265"/>
      <c r="I555" s="367"/>
      <c r="J555" s="367"/>
      <c r="K555" s="265"/>
      <c r="L555" s="265"/>
      <c r="M555" s="265"/>
      <c r="N555" s="265"/>
      <c r="O555" s="367"/>
      <c r="P555" s="367"/>
    </row>
    <row r="556" spans="1:16" ht="14.4" hidden="1" x14ac:dyDescent="0.3">
      <c r="A556" s="269"/>
      <c r="B556" s="270"/>
      <c r="C556" s="368"/>
      <c r="D556" s="368"/>
      <c r="E556" s="369"/>
      <c r="F556" s="265"/>
      <c r="G556" s="265"/>
      <c r="H556" s="265"/>
      <c r="I556" s="367"/>
      <c r="J556" s="367"/>
      <c r="K556" s="265"/>
      <c r="L556" s="265"/>
      <c r="M556" s="265"/>
      <c r="N556" s="265"/>
      <c r="O556" s="367"/>
      <c r="P556" s="367"/>
    </row>
    <row r="557" spans="1:16" ht="14.4" hidden="1" x14ac:dyDescent="0.3">
      <c r="A557" s="269"/>
      <c r="B557" s="270"/>
      <c r="C557" s="368"/>
      <c r="D557" s="368"/>
      <c r="E557" s="369"/>
      <c r="F557" s="265"/>
      <c r="G557" s="265"/>
      <c r="H557" s="265"/>
      <c r="I557" s="367"/>
      <c r="J557" s="367"/>
      <c r="K557" s="265"/>
      <c r="L557" s="265"/>
      <c r="M557" s="265"/>
      <c r="N557" s="265"/>
      <c r="O557" s="367"/>
      <c r="P557" s="367"/>
    </row>
    <row r="558" spans="1:16" ht="14.4" hidden="1" x14ac:dyDescent="0.3">
      <c r="A558" s="269"/>
      <c r="B558" s="270"/>
      <c r="C558" s="368"/>
      <c r="D558" s="368"/>
      <c r="E558" s="369"/>
      <c r="F558" s="265"/>
      <c r="G558" s="265"/>
      <c r="H558" s="265"/>
      <c r="I558" s="367"/>
      <c r="J558" s="367"/>
      <c r="K558" s="265"/>
      <c r="L558" s="265"/>
      <c r="M558" s="265"/>
      <c r="N558" s="265"/>
      <c r="O558" s="367"/>
      <c r="P558" s="367"/>
    </row>
    <row r="559" spans="1:16" ht="14.4" hidden="1" x14ac:dyDescent="0.3">
      <c r="A559" s="269"/>
      <c r="B559" s="270"/>
      <c r="C559" s="368"/>
      <c r="D559" s="368"/>
      <c r="E559" s="369"/>
      <c r="F559" s="265"/>
      <c r="G559" s="265"/>
      <c r="H559" s="265"/>
      <c r="I559" s="367"/>
      <c r="J559" s="367"/>
      <c r="K559" s="265"/>
      <c r="L559" s="265"/>
      <c r="M559" s="265"/>
      <c r="N559" s="265"/>
      <c r="O559" s="367"/>
      <c r="P559" s="367"/>
    </row>
    <row r="560" spans="1:16" ht="14.4" hidden="1" x14ac:dyDescent="0.3">
      <c r="A560" s="269"/>
      <c r="B560" s="270"/>
      <c r="C560" s="368"/>
      <c r="D560" s="368"/>
      <c r="E560" s="369"/>
      <c r="F560" s="265"/>
      <c r="G560" s="265"/>
      <c r="H560" s="265"/>
      <c r="I560" s="367"/>
      <c r="J560" s="367"/>
      <c r="K560" s="265"/>
      <c r="L560" s="265"/>
      <c r="M560" s="265"/>
      <c r="N560" s="265"/>
      <c r="O560" s="367"/>
      <c r="P560" s="367"/>
    </row>
    <row r="561" spans="1:16" ht="14.4" hidden="1" x14ac:dyDescent="0.3">
      <c r="A561" s="269"/>
      <c r="B561" s="270"/>
      <c r="C561" s="368"/>
      <c r="D561" s="368"/>
      <c r="E561" s="369"/>
      <c r="F561" s="265"/>
      <c r="G561" s="265"/>
      <c r="H561" s="265"/>
      <c r="I561" s="367"/>
      <c r="J561" s="367"/>
      <c r="K561" s="265"/>
      <c r="L561" s="265"/>
      <c r="M561" s="265"/>
      <c r="N561" s="265"/>
      <c r="O561" s="367"/>
      <c r="P561" s="367"/>
    </row>
    <row r="562" spans="1:16" ht="14.4" hidden="1" x14ac:dyDescent="0.3">
      <c r="A562" s="269"/>
      <c r="B562" s="270"/>
      <c r="C562" s="368"/>
      <c r="D562" s="368"/>
      <c r="E562" s="369"/>
      <c r="F562" s="265"/>
      <c r="G562" s="265"/>
      <c r="H562" s="265"/>
      <c r="I562" s="367"/>
      <c r="J562" s="367"/>
      <c r="K562" s="265"/>
      <c r="L562" s="265"/>
      <c r="M562" s="265"/>
      <c r="N562" s="265"/>
      <c r="O562" s="367"/>
      <c r="P562" s="367"/>
    </row>
    <row r="563" spans="1:16" ht="14.4" hidden="1" x14ac:dyDescent="0.3">
      <c r="A563" s="269"/>
      <c r="B563" s="270"/>
      <c r="C563" s="368"/>
      <c r="D563" s="368"/>
      <c r="E563" s="369"/>
      <c r="F563" s="265"/>
      <c r="G563" s="265"/>
      <c r="H563" s="265"/>
      <c r="I563" s="367"/>
      <c r="J563" s="367"/>
      <c r="K563" s="265"/>
      <c r="L563" s="265"/>
      <c r="M563" s="265"/>
      <c r="N563" s="265"/>
      <c r="O563" s="367"/>
      <c r="P563" s="367"/>
    </row>
    <row r="564" spans="1:16" ht="14.4" hidden="1" x14ac:dyDescent="0.3">
      <c r="A564" s="269"/>
      <c r="B564" s="270"/>
      <c r="C564" s="368"/>
      <c r="D564" s="368"/>
      <c r="E564" s="369"/>
      <c r="F564" s="265"/>
      <c r="G564" s="265"/>
      <c r="H564" s="265"/>
      <c r="I564" s="367"/>
      <c r="J564" s="367"/>
      <c r="K564" s="265"/>
      <c r="L564" s="265"/>
      <c r="M564" s="265"/>
      <c r="N564" s="265"/>
      <c r="O564" s="367"/>
      <c r="P564" s="367"/>
    </row>
    <row r="565" spans="1:16" ht="14.4" hidden="1" x14ac:dyDescent="0.3">
      <c r="A565" s="269"/>
      <c r="B565" s="270"/>
      <c r="C565" s="368"/>
      <c r="D565" s="368"/>
      <c r="E565" s="369"/>
      <c r="F565" s="265"/>
      <c r="G565" s="265"/>
      <c r="H565" s="265"/>
      <c r="I565" s="367"/>
      <c r="J565" s="367"/>
      <c r="K565" s="265"/>
      <c r="L565" s="265"/>
      <c r="M565" s="265"/>
      <c r="N565" s="265"/>
      <c r="O565" s="367"/>
      <c r="P565" s="367"/>
    </row>
    <row r="566" spans="1:16" ht="14.4" hidden="1" x14ac:dyDescent="0.3">
      <c r="A566" s="269"/>
      <c r="B566" s="270"/>
      <c r="C566" s="368"/>
      <c r="D566" s="368"/>
      <c r="E566" s="369"/>
      <c r="F566" s="265"/>
      <c r="G566" s="265"/>
      <c r="H566" s="265"/>
      <c r="I566" s="367"/>
      <c r="J566" s="367"/>
      <c r="K566" s="265"/>
      <c r="L566" s="265"/>
      <c r="M566" s="265"/>
      <c r="N566" s="265"/>
      <c r="O566" s="367"/>
      <c r="P566" s="367"/>
    </row>
    <row r="567" spans="1:16" ht="14.4" hidden="1" x14ac:dyDescent="0.3">
      <c r="A567" s="269"/>
      <c r="B567" s="270"/>
      <c r="C567" s="368"/>
      <c r="D567" s="368"/>
      <c r="E567" s="369"/>
      <c r="F567" s="265"/>
      <c r="G567" s="265"/>
      <c r="H567" s="265"/>
      <c r="I567" s="367"/>
      <c r="J567" s="367"/>
      <c r="K567" s="265"/>
      <c r="L567" s="265"/>
      <c r="M567" s="265"/>
      <c r="N567" s="265"/>
      <c r="O567" s="367"/>
      <c r="P567" s="367"/>
    </row>
    <row r="568" spans="1:16" ht="14.4" hidden="1" x14ac:dyDescent="0.3">
      <c r="A568" s="269"/>
      <c r="B568" s="270"/>
      <c r="C568" s="368"/>
      <c r="D568" s="368"/>
      <c r="E568" s="369"/>
      <c r="F568" s="265"/>
      <c r="G568" s="265"/>
      <c r="H568" s="265"/>
      <c r="I568" s="367"/>
      <c r="J568" s="367"/>
      <c r="K568" s="265"/>
      <c r="L568" s="265"/>
      <c r="M568" s="265"/>
      <c r="N568" s="265"/>
      <c r="O568" s="367"/>
      <c r="P568" s="367"/>
    </row>
    <row r="569" spans="1:16" ht="14.4" hidden="1" x14ac:dyDescent="0.3">
      <c r="A569" s="269"/>
      <c r="B569" s="270"/>
      <c r="C569" s="368"/>
      <c r="D569" s="368"/>
      <c r="E569" s="369"/>
      <c r="F569" s="265"/>
      <c r="G569" s="265"/>
      <c r="H569" s="265"/>
      <c r="I569" s="367"/>
      <c r="J569" s="367"/>
      <c r="K569" s="265"/>
      <c r="L569" s="265"/>
      <c r="M569" s="265"/>
      <c r="N569" s="265"/>
      <c r="O569" s="367"/>
      <c r="P569" s="367"/>
    </row>
    <row r="570" spans="1:16" ht="14.4" hidden="1" x14ac:dyDescent="0.3">
      <c r="A570" s="269"/>
      <c r="B570" s="270"/>
      <c r="C570" s="368"/>
      <c r="D570" s="368"/>
      <c r="E570" s="369"/>
      <c r="F570" s="265"/>
      <c r="G570" s="265"/>
      <c r="H570" s="265"/>
      <c r="I570" s="367"/>
      <c r="J570" s="367"/>
      <c r="K570" s="265"/>
      <c r="L570" s="265"/>
      <c r="M570" s="265"/>
      <c r="N570" s="265"/>
      <c r="O570" s="367"/>
      <c r="P570" s="367"/>
    </row>
    <row r="571" spans="1:16" ht="14.4" hidden="1" x14ac:dyDescent="0.3">
      <c r="A571" s="269"/>
      <c r="B571" s="270"/>
      <c r="C571" s="368"/>
      <c r="D571" s="368"/>
      <c r="E571" s="369"/>
      <c r="F571" s="265"/>
      <c r="G571" s="265"/>
      <c r="H571" s="265"/>
      <c r="I571" s="367"/>
      <c r="J571" s="367"/>
      <c r="K571" s="265"/>
      <c r="L571" s="265"/>
      <c r="M571" s="265"/>
      <c r="N571" s="265"/>
      <c r="O571" s="367"/>
      <c r="P571" s="367"/>
    </row>
    <row r="572" spans="1:16" ht="14.4" hidden="1" x14ac:dyDescent="0.3">
      <c r="A572" s="269"/>
      <c r="B572" s="270"/>
      <c r="C572" s="368"/>
      <c r="D572" s="368"/>
      <c r="E572" s="369"/>
      <c r="F572" s="265"/>
      <c r="G572" s="265"/>
      <c r="H572" s="265"/>
      <c r="I572" s="367"/>
      <c r="J572" s="367"/>
      <c r="K572" s="265"/>
      <c r="L572" s="265"/>
      <c r="M572" s="265"/>
      <c r="N572" s="265"/>
      <c r="O572" s="367"/>
      <c r="P572" s="367"/>
    </row>
    <row r="573" spans="1:16" ht="14.4" hidden="1" x14ac:dyDescent="0.3">
      <c r="A573" s="269"/>
      <c r="B573" s="270"/>
      <c r="C573" s="368"/>
      <c r="D573" s="368"/>
      <c r="E573" s="369"/>
      <c r="F573" s="265"/>
      <c r="G573" s="265"/>
      <c r="H573" s="265"/>
      <c r="I573" s="367"/>
      <c r="J573" s="367"/>
      <c r="K573" s="265"/>
      <c r="L573" s="265"/>
      <c r="M573" s="265"/>
      <c r="N573" s="265"/>
      <c r="O573" s="367"/>
      <c r="P573" s="367"/>
    </row>
    <row r="574" spans="1:16" ht="14.4" hidden="1" x14ac:dyDescent="0.3">
      <c r="A574" s="269"/>
      <c r="B574" s="270"/>
      <c r="C574" s="368"/>
      <c r="D574" s="368"/>
      <c r="E574" s="369"/>
      <c r="F574" s="265"/>
      <c r="G574" s="265"/>
      <c r="H574" s="265"/>
      <c r="I574" s="367"/>
      <c r="J574" s="367"/>
      <c r="K574" s="265"/>
      <c r="L574" s="265"/>
      <c r="M574" s="265"/>
      <c r="N574" s="265"/>
      <c r="O574" s="367"/>
      <c r="P574" s="367"/>
    </row>
    <row r="575" spans="1:16" ht="14.4" hidden="1" x14ac:dyDescent="0.3">
      <c r="A575" s="269"/>
      <c r="B575" s="270"/>
      <c r="C575" s="368"/>
      <c r="D575" s="368"/>
      <c r="E575" s="369"/>
      <c r="F575" s="265"/>
      <c r="G575" s="265"/>
      <c r="H575" s="265"/>
      <c r="I575" s="367"/>
      <c r="J575" s="367"/>
      <c r="K575" s="265"/>
      <c r="L575" s="265"/>
      <c r="M575" s="265"/>
      <c r="N575" s="265"/>
      <c r="O575" s="367"/>
      <c r="P575" s="367"/>
    </row>
    <row r="576" spans="1:16" ht="14.4" hidden="1" x14ac:dyDescent="0.3">
      <c r="A576" s="269"/>
      <c r="B576" s="270"/>
      <c r="C576" s="368"/>
      <c r="D576" s="368"/>
      <c r="E576" s="369"/>
      <c r="F576" s="265"/>
      <c r="G576" s="265"/>
      <c r="H576" s="265"/>
      <c r="I576" s="367"/>
      <c r="J576" s="367"/>
      <c r="K576" s="265"/>
      <c r="L576" s="265"/>
      <c r="M576" s="265"/>
      <c r="N576" s="265"/>
      <c r="O576" s="367"/>
      <c r="P576" s="367"/>
    </row>
    <row r="577" spans="1:16" ht="14.4" hidden="1" x14ac:dyDescent="0.3">
      <c r="A577" s="269"/>
      <c r="B577" s="270"/>
      <c r="C577" s="368"/>
      <c r="D577" s="368"/>
      <c r="E577" s="369"/>
      <c r="F577" s="265"/>
      <c r="G577" s="265"/>
      <c r="H577" s="265"/>
      <c r="I577" s="367"/>
      <c r="J577" s="367"/>
      <c r="K577" s="265"/>
      <c r="L577" s="265"/>
      <c r="M577" s="265"/>
      <c r="N577" s="265"/>
      <c r="O577" s="367"/>
      <c r="P577" s="367"/>
    </row>
    <row r="578" spans="1:16" ht="14.4" hidden="1" x14ac:dyDescent="0.3">
      <c r="A578" s="269"/>
      <c r="B578" s="270"/>
      <c r="C578" s="368"/>
      <c r="D578" s="368"/>
      <c r="E578" s="369"/>
      <c r="F578" s="265"/>
      <c r="G578" s="265"/>
      <c r="H578" s="265"/>
      <c r="I578" s="367"/>
      <c r="J578" s="367"/>
      <c r="K578" s="265"/>
      <c r="L578" s="265"/>
      <c r="M578" s="265"/>
      <c r="N578" s="265"/>
      <c r="O578" s="367"/>
      <c r="P578" s="367"/>
    </row>
    <row r="579" spans="1:16" ht="14.4" hidden="1" x14ac:dyDescent="0.3">
      <c r="A579" s="269"/>
      <c r="B579" s="270"/>
      <c r="C579" s="368"/>
      <c r="D579" s="368"/>
      <c r="E579" s="369"/>
      <c r="F579" s="265"/>
      <c r="G579" s="265"/>
      <c r="H579" s="265"/>
      <c r="I579" s="367"/>
      <c r="J579" s="367"/>
      <c r="K579" s="265"/>
      <c r="L579" s="265"/>
      <c r="M579" s="265"/>
      <c r="N579" s="265"/>
      <c r="O579" s="367"/>
      <c r="P579" s="367"/>
    </row>
    <row r="580" spans="1:16" ht="14.4" hidden="1" x14ac:dyDescent="0.3">
      <c r="A580" s="269"/>
      <c r="B580" s="270"/>
      <c r="C580" s="368"/>
      <c r="D580" s="368"/>
      <c r="E580" s="369"/>
      <c r="F580" s="265"/>
      <c r="G580" s="265"/>
      <c r="H580" s="265"/>
      <c r="I580" s="367"/>
      <c r="J580" s="367"/>
      <c r="K580" s="265"/>
      <c r="L580" s="265"/>
      <c r="M580" s="265"/>
      <c r="N580" s="265"/>
      <c r="O580" s="367"/>
      <c r="P580" s="367"/>
    </row>
    <row r="581" spans="1:16" ht="14.4" hidden="1" x14ac:dyDescent="0.3">
      <c r="A581" s="269"/>
      <c r="B581" s="270"/>
      <c r="C581" s="368"/>
      <c r="D581" s="368"/>
      <c r="E581" s="369"/>
      <c r="F581" s="265"/>
      <c r="G581" s="265"/>
      <c r="H581" s="265"/>
      <c r="I581" s="367"/>
      <c r="J581" s="367"/>
      <c r="K581" s="265"/>
      <c r="L581" s="265"/>
      <c r="M581" s="265"/>
      <c r="N581" s="265"/>
      <c r="O581" s="367"/>
      <c r="P581" s="367"/>
    </row>
    <row r="582" spans="1:16" ht="14.4" hidden="1" x14ac:dyDescent="0.3">
      <c r="A582" s="269"/>
      <c r="B582" s="270"/>
      <c r="C582" s="368"/>
      <c r="D582" s="368"/>
      <c r="E582" s="369"/>
      <c r="F582" s="265"/>
      <c r="G582" s="265"/>
      <c r="H582" s="265"/>
      <c r="I582" s="367"/>
      <c r="J582" s="367"/>
      <c r="K582" s="265"/>
      <c r="L582" s="265"/>
      <c r="M582" s="265"/>
      <c r="N582" s="265"/>
      <c r="O582" s="367"/>
      <c r="P582" s="367"/>
    </row>
    <row r="583" spans="1:16" ht="14.4" hidden="1" x14ac:dyDescent="0.3">
      <c r="A583" s="269"/>
      <c r="B583" s="270"/>
      <c r="C583" s="368"/>
      <c r="D583" s="368"/>
      <c r="E583" s="369"/>
      <c r="F583" s="265"/>
      <c r="G583" s="265"/>
      <c r="H583" s="265"/>
      <c r="I583" s="367"/>
      <c r="J583" s="367"/>
      <c r="K583" s="265"/>
      <c r="L583" s="265"/>
      <c r="M583" s="265"/>
      <c r="N583" s="265"/>
      <c r="O583" s="367"/>
      <c r="P583" s="367"/>
    </row>
    <row r="584" spans="1:16" ht="14.4" hidden="1" x14ac:dyDescent="0.3">
      <c r="A584" s="269"/>
      <c r="B584" s="270"/>
      <c r="C584" s="368"/>
      <c r="D584" s="368"/>
      <c r="E584" s="369"/>
      <c r="F584" s="265"/>
      <c r="G584" s="265"/>
      <c r="H584" s="265"/>
      <c r="I584" s="367"/>
      <c r="J584" s="367"/>
      <c r="K584" s="265"/>
      <c r="L584" s="265"/>
      <c r="M584" s="265"/>
      <c r="N584" s="265"/>
      <c r="O584" s="367"/>
      <c r="P584" s="367"/>
    </row>
    <row r="585" spans="1:16" ht="14.4" hidden="1" x14ac:dyDescent="0.3">
      <c r="A585" s="269"/>
      <c r="B585" s="270"/>
      <c r="C585" s="368"/>
      <c r="D585" s="368"/>
      <c r="E585" s="369"/>
      <c r="F585" s="265"/>
      <c r="G585" s="265"/>
      <c r="H585" s="265"/>
      <c r="I585" s="367"/>
      <c r="J585" s="367"/>
      <c r="K585" s="265"/>
      <c r="L585" s="265"/>
      <c r="M585" s="265"/>
      <c r="N585" s="265"/>
      <c r="O585" s="367"/>
      <c r="P585" s="367"/>
    </row>
    <row r="586" spans="1:16" ht="14.4" hidden="1" x14ac:dyDescent="0.3">
      <c r="A586" s="269"/>
      <c r="B586" s="270"/>
      <c r="C586" s="368"/>
      <c r="D586" s="368"/>
      <c r="E586" s="369"/>
      <c r="F586" s="265"/>
      <c r="G586" s="265"/>
      <c r="H586" s="265"/>
      <c r="I586" s="367"/>
      <c r="J586" s="367"/>
      <c r="K586" s="265"/>
      <c r="L586" s="265"/>
      <c r="M586" s="265"/>
      <c r="N586" s="265"/>
      <c r="O586" s="367"/>
      <c r="P586" s="367"/>
    </row>
    <row r="587" spans="1:16" ht="14.4" hidden="1" x14ac:dyDescent="0.3">
      <c r="A587" s="269"/>
      <c r="B587" s="270"/>
      <c r="C587" s="368"/>
      <c r="D587" s="368"/>
      <c r="E587" s="369"/>
      <c r="F587" s="265"/>
      <c r="G587" s="265"/>
      <c r="H587" s="265"/>
      <c r="I587" s="367"/>
      <c r="J587" s="367"/>
      <c r="K587" s="265"/>
      <c r="L587" s="265"/>
      <c r="M587" s="265"/>
      <c r="N587" s="265"/>
      <c r="O587" s="367"/>
      <c r="P587" s="367"/>
    </row>
    <row r="588" spans="1:16" ht="14.4" hidden="1" x14ac:dyDescent="0.3">
      <c r="A588" s="269"/>
      <c r="B588" s="270"/>
      <c r="C588" s="368"/>
      <c r="D588" s="368"/>
      <c r="E588" s="369"/>
      <c r="F588" s="265"/>
      <c r="G588" s="265"/>
      <c r="H588" s="265"/>
      <c r="I588" s="367"/>
      <c r="J588" s="367"/>
      <c r="K588" s="265"/>
      <c r="L588" s="265"/>
      <c r="M588" s="265"/>
      <c r="N588" s="265"/>
      <c r="O588" s="367"/>
      <c r="P588" s="367"/>
    </row>
    <row r="589" spans="1:16" ht="14.4" hidden="1" x14ac:dyDescent="0.3">
      <c r="A589" s="269"/>
      <c r="B589" s="270"/>
      <c r="C589" s="368"/>
      <c r="D589" s="368"/>
      <c r="E589" s="369"/>
      <c r="F589" s="265"/>
      <c r="G589" s="265"/>
      <c r="H589" s="265"/>
      <c r="I589" s="367"/>
      <c r="J589" s="367"/>
      <c r="K589" s="265"/>
      <c r="L589" s="265"/>
      <c r="M589" s="265"/>
      <c r="N589" s="265"/>
      <c r="O589" s="367"/>
      <c r="P589" s="367"/>
    </row>
    <row r="590" spans="1:16" ht="14.4" hidden="1" x14ac:dyDescent="0.3">
      <c r="A590" s="269"/>
      <c r="B590" s="270"/>
      <c r="C590" s="368"/>
      <c r="D590" s="368"/>
      <c r="E590" s="369"/>
      <c r="F590" s="265"/>
      <c r="G590" s="265"/>
      <c r="H590" s="265"/>
      <c r="I590" s="367"/>
      <c r="J590" s="367"/>
      <c r="K590" s="265"/>
      <c r="L590" s="265"/>
      <c r="M590" s="265"/>
      <c r="N590" s="265"/>
      <c r="O590" s="367"/>
      <c r="P590" s="367"/>
    </row>
    <row r="591" spans="1:16" ht="14.4" hidden="1" x14ac:dyDescent="0.3">
      <c r="A591" s="269"/>
      <c r="B591" s="270"/>
      <c r="C591" s="368"/>
      <c r="D591" s="368"/>
      <c r="E591" s="369"/>
      <c r="F591" s="265"/>
      <c r="G591" s="265"/>
      <c r="H591" s="265"/>
      <c r="I591" s="367"/>
      <c r="J591" s="367"/>
      <c r="K591" s="265"/>
      <c r="L591" s="265"/>
      <c r="M591" s="265"/>
      <c r="N591" s="265"/>
      <c r="O591" s="367"/>
      <c r="P591" s="367"/>
    </row>
    <row r="592" spans="1:16" ht="14.4" hidden="1" x14ac:dyDescent="0.3">
      <c r="A592" s="269"/>
      <c r="B592" s="270"/>
      <c r="C592" s="368"/>
      <c r="D592" s="368"/>
      <c r="E592" s="369"/>
      <c r="F592" s="265"/>
      <c r="G592" s="265"/>
      <c r="H592" s="265"/>
      <c r="I592" s="367"/>
      <c r="J592" s="367"/>
      <c r="K592" s="265"/>
      <c r="L592" s="265"/>
      <c r="M592" s="265"/>
      <c r="N592" s="265"/>
      <c r="O592" s="367"/>
      <c r="P592" s="367"/>
    </row>
    <row r="593" spans="1:16" ht="14.4" hidden="1" x14ac:dyDescent="0.3">
      <c r="A593" s="269"/>
      <c r="B593" s="270"/>
      <c r="C593" s="368"/>
      <c r="D593" s="368"/>
      <c r="E593" s="369"/>
      <c r="F593" s="265"/>
      <c r="G593" s="265"/>
      <c r="H593" s="265"/>
      <c r="I593" s="367"/>
      <c r="J593" s="367"/>
      <c r="K593" s="265"/>
      <c r="L593" s="265"/>
      <c r="M593" s="265"/>
      <c r="N593" s="265"/>
      <c r="O593" s="367"/>
      <c r="P593" s="367"/>
    </row>
    <row r="594" spans="1:16" ht="14.4" hidden="1" x14ac:dyDescent="0.3">
      <c r="A594" s="269"/>
      <c r="B594" s="270"/>
      <c r="C594" s="368"/>
      <c r="D594" s="368"/>
      <c r="E594" s="369"/>
      <c r="F594" s="265"/>
      <c r="G594" s="265"/>
      <c r="H594" s="265"/>
      <c r="I594" s="367"/>
      <c r="J594" s="367"/>
      <c r="K594" s="265"/>
      <c r="L594" s="265"/>
      <c r="M594" s="265"/>
      <c r="N594" s="265"/>
      <c r="O594" s="367"/>
      <c r="P594" s="367"/>
    </row>
    <row r="595" spans="1:16" ht="14.4" hidden="1" x14ac:dyDescent="0.3">
      <c r="A595" s="269"/>
      <c r="B595" s="270"/>
      <c r="C595" s="368"/>
      <c r="D595" s="368"/>
      <c r="E595" s="369"/>
      <c r="F595" s="265"/>
      <c r="G595" s="265"/>
      <c r="H595" s="265"/>
      <c r="I595" s="367"/>
      <c r="J595" s="367"/>
      <c r="K595" s="265"/>
      <c r="L595" s="265"/>
      <c r="M595" s="265"/>
      <c r="N595" s="265"/>
      <c r="O595" s="367"/>
      <c r="P595" s="367"/>
    </row>
    <row r="596" spans="1:16" ht="14.4" hidden="1" x14ac:dyDescent="0.3">
      <c r="A596" s="269"/>
      <c r="B596" s="270"/>
      <c r="C596" s="368"/>
      <c r="D596" s="368"/>
      <c r="E596" s="369"/>
      <c r="F596" s="265"/>
      <c r="G596" s="265"/>
      <c r="H596" s="265"/>
      <c r="I596" s="367"/>
      <c r="J596" s="367"/>
      <c r="K596" s="265"/>
      <c r="L596" s="265"/>
      <c r="M596" s="265"/>
      <c r="N596" s="265"/>
      <c r="O596" s="367"/>
      <c r="P596" s="367"/>
    </row>
    <row r="597" spans="1:16" ht="14.4" hidden="1" x14ac:dyDescent="0.3">
      <c r="A597" s="269"/>
      <c r="B597" s="270"/>
      <c r="C597" s="368"/>
      <c r="D597" s="368"/>
      <c r="E597" s="369"/>
      <c r="F597" s="265"/>
      <c r="G597" s="265"/>
      <c r="H597" s="265"/>
      <c r="I597" s="367"/>
      <c r="J597" s="367"/>
      <c r="K597" s="265"/>
      <c r="L597" s="265"/>
      <c r="M597" s="265"/>
      <c r="N597" s="265"/>
      <c r="O597" s="367"/>
      <c r="P597" s="367"/>
    </row>
    <row r="598" spans="1:16" ht="14.4" hidden="1" x14ac:dyDescent="0.3">
      <c r="A598" s="269"/>
      <c r="B598" s="270"/>
      <c r="C598" s="368"/>
      <c r="D598" s="368"/>
      <c r="E598" s="369"/>
      <c r="F598" s="265"/>
      <c r="G598" s="265"/>
      <c r="H598" s="265"/>
      <c r="I598" s="367"/>
      <c r="J598" s="367"/>
      <c r="K598" s="265"/>
      <c r="L598" s="265"/>
      <c r="M598" s="265"/>
      <c r="N598" s="265"/>
      <c r="O598" s="367"/>
      <c r="P598" s="367"/>
    </row>
    <row r="599" spans="1:16" ht="14.4" hidden="1" x14ac:dyDescent="0.3">
      <c r="A599" s="269"/>
      <c r="B599" s="270"/>
      <c r="C599" s="368"/>
      <c r="D599" s="368"/>
      <c r="E599" s="369"/>
      <c r="F599" s="265"/>
      <c r="G599" s="265"/>
      <c r="H599" s="265"/>
      <c r="I599" s="367"/>
      <c r="J599" s="367"/>
      <c r="K599" s="265"/>
      <c r="L599" s="265"/>
      <c r="M599" s="265"/>
      <c r="N599" s="265"/>
      <c r="O599" s="367"/>
      <c r="P599" s="367"/>
    </row>
    <row r="600" spans="1:16" ht="14.4" hidden="1" x14ac:dyDescent="0.3">
      <c r="A600" s="269"/>
      <c r="B600" s="270"/>
      <c r="C600" s="368"/>
      <c r="D600" s="368"/>
      <c r="E600" s="369"/>
      <c r="F600" s="265"/>
      <c r="G600" s="265"/>
      <c r="H600" s="265"/>
      <c r="I600" s="367"/>
      <c r="J600" s="367"/>
      <c r="K600" s="265"/>
      <c r="L600" s="265"/>
      <c r="M600" s="265"/>
      <c r="N600" s="265"/>
      <c r="O600" s="367"/>
      <c r="P600" s="367"/>
    </row>
    <row r="601" spans="1:16" ht="14.4" hidden="1" x14ac:dyDescent="0.3">
      <c r="A601" s="269"/>
      <c r="B601" s="270"/>
      <c r="C601" s="368"/>
      <c r="D601" s="368"/>
      <c r="E601" s="369"/>
      <c r="F601" s="265"/>
      <c r="G601" s="265"/>
      <c r="H601" s="265"/>
      <c r="I601" s="367"/>
      <c r="J601" s="367"/>
      <c r="K601" s="265"/>
      <c r="L601" s="265"/>
      <c r="M601" s="265"/>
      <c r="N601" s="265"/>
      <c r="O601" s="367"/>
      <c r="P601" s="367"/>
    </row>
    <row r="602" spans="1:16" ht="14.4" hidden="1" x14ac:dyDescent="0.3">
      <c r="A602" s="269"/>
      <c r="B602" s="270"/>
      <c r="C602" s="368"/>
      <c r="D602" s="368"/>
      <c r="E602" s="369"/>
      <c r="F602" s="265"/>
      <c r="G602" s="265"/>
      <c r="H602" s="265"/>
      <c r="I602" s="367"/>
      <c r="J602" s="367"/>
      <c r="K602" s="265"/>
      <c r="L602" s="265"/>
      <c r="M602" s="265"/>
      <c r="N602" s="265"/>
      <c r="O602" s="367"/>
      <c r="P602" s="367"/>
    </row>
    <row r="603" spans="1:16" ht="14.4" hidden="1" x14ac:dyDescent="0.3">
      <c r="A603" s="269"/>
      <c r="B603" s="270"/>
      <c r="C603" s="368"/>
      <c r="D603" s="368"/>
      <c r="E603" s="369"/>
      <c r="F603" s="265"/>
      <c r="G603" s="265"/>
      <c r="H603" s="265"/>
      <c r="I603" s="367"/>
      <c r="J603" s="367"/>
      <c r="K603" s="265"/>
      <c r="L603" s="265"/>
      <c r="M603" s="265"/>
      <c r="N603" s="265"/>
      <c r="O603" s="367"/>
      <c r="P603" s="367"/>
    </row>
    <row r="604" spans="1:16" ht="14.4" hidden="1" x14ac:dyDescent="0.3">
      <c r="A604" s="269"/>
      <c r="B604" s="270"/>
      <c r="C604" s="368"/>
      <c r="D604" s="368"/>
      <c r="E604" s="369"/>
      <c r="F604" s="265"/>
      <c r="G604" s="265"/>
      <c r="H604" s="265"/>
      <c r="I604" s="367"/>
      <c r="J604" s="367"/>
      <c r="K604" s="265"/>
      <c r="L604" s="265"/>
      <c r="M604" s="265"/>
      <c r="N604" s="265"/>
      <c r="O604" s="367"/>
      <c r="P604" s="367"/>
    </row>
    <row r="605" spans="1:16" ht="14.4" hidden="1" x14ac:dyDescent="0.3">
      <c r="A605" s="269"/>
      <c r="B605" s="270"/>
      <c r="C605" s="368"/>
      <c r="D605" s="368"/>
      <c r="E605" s="369"/>
      <c r="F605" s="265"/>
      <c r="G605" s="265"/>
      <c r="H605" s="265"/>
      <c r="I605" s="367"/>
      <c r="J605" s="367"/>
      <c r="K605" s="265"/>
      <c r="L605" s="265"/>
      <c r="M605" s="265"/>
      <c r="N605" s="265"/>
      <c r="O605" s="367"/>
      <c r="P605" s="367"/>
    </row>
    <row r="606" spans="1:16" ht="14.4" hidden="1" x14ac:dyDescent="0.3">
      <c r="A606" s="269"/>
      <c r="B606" s="270"/>
      <c r="C606" s="368"/>
      <c r="D606" s="368"/>
      <c r="E606" s="369"/>
      <c r="F606" s="265"/>
      <c r="G606" s="265"/>
      <c r="H606" s="265"/>
      <c r="I606" s="367"/>
      <c r="J606" s="367"/>
      <c r="K606" s="265"/>
      <c r="L606" s="265"/>
      <c r="M606" s="265"/>
      <c r="N606" s="265"/>
      <c r="O606" s="367"/>
      <c r="P606" s="367"/>
    </row>
    <row r="607" spans="1:16" ht="14.4" hidden="1" x14ac:dyDescent="0.3">
      <c r="A607" s="269"/>
      <c r="B607" s="270"/>
      <c r="C607" s="368"/>
      <c r="D607" s="368"/>
      <c r="E607" s="369"/>
      <c r="F607" s="265"/>
      <c r="G607" s="265"/>
      <c r="H607" s="265"/>
      <c r="I607" s="367"/>
      <c r="J607" s="367"/>
      <c r="K607" s="265"/>
      <c r="L607" s="265"/>
      <c r="M607" s="265"/>
      <c r="N607" s="265"/>
      <c r="O607" s="367"/>
      <c r="P607" s="367"/>
    </row>
    <row r="608" spans="1:16" ht="14.4" hidden="1" x14ac:dyDescent="0.3">
      <c r="A608" s="269"/>
      <c r="B608" s="270"/>
      <c r="C608" s="368"/>
      <c r="D608" s="368"/>
      <c r="E608" s="369"/>
      <c r="F608" s="265"/>
      <c r="G608" s="265"/>
      <c r="H608" s="265"/>
      <c r="I608" s="367"/>
      <c r="J608" s="367"/>
      <c r="K608" s="265"/>
      <c r="L608" s="265"/>
      <c r="M608" s="265"/>
      <c r="N608" s="265"/>
      <c r="O608" s="367"/>
      <c r="P608" s="367"/>
    </row>
    <row r="609" spans="1:26" ht="14.4" hidden="1" x14ac:dyDescent="0.3">
      <c r="A609" s="269"/>
      <c r="B609" s="270"/>
      <c r="C609" s="368"/>
      <c r="D609" s="368"/>
      <c r="E609" s="369"/>
      <c r="F609" s="265"/>
      <c r="G609" s="265"/>
      <c r="H609" s="265"/>
      <c r="I609" s="367"/>
      <c r="J609" s="367"/>
      <c r="K609" s="265"/>
      <c r="L609" s="265"/>
      <c r="M609" s="265"/>
      <c r="N609" s="265"/>
      <c r="O609" s="367"/>
      <c r="P609" s="367"/>
    </row>
    <row r="610" spans="1:26" ht="14.4" hidden="1" x14ac:dyDescent="0.3">
      <c r="A610" s="269"/>
      <c r="B610" s="270"/>
      <c r="C610" s="368"/>
      <c r="D610" s="368"/>
      <c r="E610" s="369"/>
      <c r="F610" s="265"/>
      <c r="G610" s="265"/>
      <c r="H610" s="265"/>
      <c r="I610" s="367"/>
      <c r="J610" s="367"/>
      <c r="K610" s="265"/>
      <c r="L610" s="265"/>
      <c r="M610" s="265"/>
      <c r="N610" s="265"/>
      <c r="O610" s="367"/>
      <c r="P610" s="367"/>
    </row>
    <row r="611" spans="1:26" ht="14.4" hidden="1" x14ac:dyDescent="0.3">
      <c r="A611" s="269"/>
      <c r="B611" s="270"/>
      <c r="C611" s="368"/>
      <c r="D611" s="368"/>
      <c r="E611" s="369"/>
      <c r="F611" s="265"/>
      <c r="G611" s="265"/>
      <c r="H611" s="265"/>
      <c r="I611" s="367"/>
      <c r="J611" s="367"/>
      <c r="K611" s="265"/>
      <c r="L611" s="265"/>
      <c r="M611" s="265"/>
      <c r="N611" s="265"/>
      <c r="O611" s="367"/>
      <c r="P611" s="367"/>
    </row>
    <row r="612" spans="1:26" ht="14.4" hidden="1" x14ac:dyDescent="0.3">
      <c r="A612" s="269"/>
      <c r="B612" s="270"/>
      <c r="C612" s="368"/>
      <c r="D612" s="368"/>
      <c r="E612" s="369"/>
      <c r="F612" s="265"/>
      <c r="G612" s="265"/>
      <c r="H612" s="265"/>
      <c r="I612" s="367"/>
      <c r="J612" s="367"/>
      <c r="K612" s="265"/>
      <c r="L612" s="265"/>
      <c r="M612" s="265"/>
      <c r="N612" s="265"/>
      <c r="O612" s="367"/>
      <c r="P612" s="367"/>
    </row>
    <row r="613" spans="1:26" ht="14.4" hidden="1" x14ac:dyDescent="0.3">
      <c r="A613" s="269"/>
      <c r="B613" s="270"/>
      <c r="C613" s="368"/>
      <c r="D613" s="368"/>
      <c r="E613" s="369"/>
      <c r="F613" s="265"/>
      <c r="G613" s="265"/>
      <c r="H613" s="265"/>
      <c r="I613" s="367"/>
      <c r="J613" s="367"/>
      <c r="K613" s="265"/>
      <c r="L613" s="265"/>
      <c r="M613" s="265"/>
      <c r="N613" s="265"/>
      <c r="O613" s="367"/>
      <c r="P613" s="367"/>
    </row>
    <row r="614" spans="1:26" ht="14.4" hidden="1" x14ac:dyDescent="0.3">
      <c r="A614" s="269"/>
      <c r="B614" s="270"/>
      <c r="C614" s="368"/>
      <c r="D614" s="368"/>
      <c r="E614" s="369"/>
      <c r="F614" s="265"/>
      <c r="G614" s="265"/>
      <c r="H614" s="265"/>
      <c r="I614" s="367"/>
      <c r="J614" s="367"/>
      <c r="K614" s="265"/>
      <c r="L614" s="265"/>
      <c r="M614" s="265"/>
      <c r="N614" s="265"/>
      <c r="O614" s="367"/>
      <c r="P614" s="367"/>
    </row>
    <row r="615" spans="1:26" ht="14.4" hidden="1" x14ac:dyDescent="0.3">
      <c r="A615" s="269"/>
      <c r="B615" s="270"/>
      <c r="C615" s="368"/>
      <c r="D615" s="368"/>
      <c r="E615" s="369"/>
      <c r="F615" s="265"/>
      <c r="G615" s="265"/>
      <c r="H615" s="265"/>
      <c r="I615" s="367"/>
      <c r="J615" s="367"/>
      <c r="K615" s="265"/>
      <c r="L615" s="265"/>
      <c r="M615" s="265"/>
      <c r="N615" s="265"/>
      <c r="O615" s="367"/>
      <c r="P615" s="367"/>
    </row>
    <row r="616" spans="1:26" ht="14.4" hidden="1" x14ac:dyDescent="0.3">
      <c r="A616" s="269"/>
      <c r="B616" s="270"/>
      <c r="C616" s="368"/>
      <c r="D616" s="368"/>
      <c r="E616" s="369"/>
      <c r="F616" s="265"/>
      <c r="G616" s="265"/>
      <c r="H616" s="265"/>
      <c r="I616" s="367"/>
      <c r="J616" s="367"/>
      <c r="K616" s="265"/>
      <c r="L616" s="265"/>
      <c r="M616" s="265"/>
      <c r="N616" s="265"/>
      <c r="O616" s="367"/>
      <c r="P616" s="367"/>
    </row>
    <row r="617" spans="1:26" ht="14.4" hidden="1" x14ac:dyDescent="0.3">
      <c r="A617" s="269"/>
      <c r="B617" s="270"/>
      <c r="C617" s="368"/>
      <c r="D617" s="368"/>
      <c r="E617" s="369"/>
      <c r="F617" s="265"/>
      <c r="G617" s="265"/>
      <c r="H617" s="265"/>
      <c r="I617" s="367"/>
      <c r="J617" s="367"/>
      <c r="K617" s="265"/>
      <c r="L617" s="265"/>
      <c r="M617" s="265"/>
      <c r="N617" s="265"/>
      <c r="O617" s="367"/>
      <c r="P617" s="367"/>
    </row>
    <row r="618" spans="1:26" ht="14.4" hidden="1" x14ac:dyDescent="0.3">
      <c r="A618" s="269"/>
      <c r="B618" s="270"/>
      <c r="C618" s="368"/>
      <c r="D618" s="368"/>
      <c r="E618" s="369"/>
      <c r="F618" s="265"/>
      <c r="G618" s="265"/>
      <c r="H618" s="265"/>
      <c r="I618" s="367"/>
      <c r="J618" s="367"/>
      <c r="K618" s="265"/>
      <c r="L618" s="265"/>
      <c r="M618" s="265"/>
      <c r="N618" s="265"/>
      <c r="O618" s="367"/>
      <c r="P618" s="367"/>
    </row>
    <row r="619" spans="1:26" ht="14.4" hidden="1" x14ac:dyDescent="0.3">
      <c r="A619" s="269"/>
      <c r="B619" s="270"/>
      <c r="C619" s="368"/>
      <c r="D619" s="368"/>
      <c r="E619" s="369"/>
      <c r="F619" s="265"/>
      <c r="G619" s="265"/>
      <c r="H619" s="265"/>
      <c r="I619" s="367"/>
      <c r="J619" s="367"/>
      <c r="K619" s="265"/>
      <c r="L619" s="265"/>
      <c r="M619" s="265"/>
      <c r="N619" s="265"/>
      <c r="O619" s="367"/>
      <c r="P619" s="367"/>
    </row>
    <row r="620" spans="1:26" ht="14.4" hidden="1" x14ac:dyDescent="0.3">
      <c r="A620" s="269"/>
      <c r="B620" s="270"/>
      <c r="C620" s="269"/>
      <c r="D620" s="269"/>
      <c r="E620" s="269"/>
      <c r="F620" s="269"/>
      <c r="G620" s="269"/>
      <c r="H620" s="269"/>
      <c r="I620" s="269"/>
      <c r="J620" s="269"/>
      <c r="K620" s="269"/>
      <c r="L620" s="269"/>
      <c r="M620" s="269"/>
      <c r="N620" s="269"/>
      <c r="O620" s="269"/>
      <c r="P620" s="269"/>
      <c r="Q620" s="269"/>
      <c r="R620" s="269"/>
      <c r="S620" s="269"/>
      <c r="T620" s="269"/>
      <c r="U620" s="269"/>
      <c r="V620" s="269"/>
      <c r="W620" s="269"/>
      <c r="X620" s="269"/>
      <c r="Y620" s="269"/>
      <c r="Z620" s="269"/>
    </row>
    <row r="621" spans="1:26" ht="14.4" hidden="1" x14ac:dyDescent="0.3">
      <c r="A621" s="269"/>
      <c r="B621" s="270"/>
      <c r="C621" s="269"/>
      <c r="D621" s="269"/>
      <c r="E621" s="269"/>
      <c r="F621" s="269"/>
      <c r="G621" s="269"/>
      <c r="H621" s="269"/>
      <c r="I621" s="269"/>
      <c r="J621" s="269"/>
      <c r="K621" s="269"/>
      <c r="L621" s="269"/>
      <c r="M621" s="269"/>
      <c r="N621" s="269"/>
      <c r="O621" s="269"/>
      <c r="P621" s="269"/>
      <c r="Q621" s="269"/>
      <c r="R621" s="269"/>
      <c r="S621" s="269"/>
      <c r="T621" s="269"/>
      <c r="U621" s="269"/>
      <c r="V621" s="269"/>
      <c r="W621" s="269"/>
      <c r="X621" s="269"/>
      <c r="Y621" s="269"/>
      <c r="Z621" s="269"/>
    </row>
    <row r="622" spans="1:26" ht="14.4" hidden="1" x14ac:dyDescent="0.3">
      <c r="A622" s="269"/>
      <c r="B622" s="270"/>
      <c r="C622" s="269"/>
      <c r="D622" s="269"/>
      <c r="E622" s="269"/>
      <c r="F622" s="269"/>
      <c r="G622" s="269"/>
      <c r="H622" s="269"/>
      <c r="I622" s="269"/>
      <c r="J622" s="269"/>
      <c r="K622" s="269"/>
      <c r="L622" s="269"/>
      <c r="M622" s="269"/>
      <c r="N622" s="269"/>
      <c r="O622" s="269"/>
      <c r="P622" s="269"/>
      <c r="Q622" s="269"/>
      <c r="R622" s="269"/>
      <c r="S622" s="269"/>
      <c r="T622" s="269"/>
      <c r="U622" s="269"/>
      <c r="V622" s="269"/>
      <c r="W622" s="269"/>
      <c r="X622" s="269"/>
      <c r="Y622" s="269"/>
      <c r="Z622" s="269"/>
    </row>
    <row r="623" spans="1:26" ht="14.4" hidden="1" x14ac:dyDescent="0.3">
      <c r="A623" s="269"/>
      <c r="B623" s="270"/>
      <c r="C623" s="269"/>
      <c r="D623" s="269"/>
      <c r="E623" s="269"/>
      <c r="F623" s="269"/>
      <c r="G623" s="269"/>
      <c r="H623" s="269"/>
      <c r="I623" s="269"/>
      <c r="J623" s="269"/>
      <c r="K623" s="269"/>
      <c r="L623" s="269"/>
      <c r="M623" s="269"/>
      <c r="N623" s="269"/>
      <c r="O623" s="269"/>
      <c r="P623" s="269"/>
      <c r="Q623" s="269"/>
      <c r="R623" s="269"/>
      <c r="S623" s="269"/>
      <c r="T623" s="269"/>
      <c r="U623" s="269"/>
      <c r="V623" s="269"/>
      <c r="W623" s="269"/>
      <c r="X623" s="269"/>
      <c r="Y623" s="269"/>
      <c r="Z623" s="269"/>
    </row>
    <row r="624" spans="1:26" ht="14.4" hidden="1" x14ac:dyDescent="0.3">
      <c r="A624" s="269"/>
      <c r="B624" s="270"/>
      <c r="C624" s="269"/>
      <c r="D624" s="269"/>
      <c r="E624" s="269"/>
      <c r="F624" s="269"/>
      <c r="G624" s="269"/>
      <c r="H624" s="269"/>
      <c r="I624" s="269"/>
      <c r="J624" s="269"/>
      <c r="K624" s="269"/>
      <c r="L624" s="269"/>
      <c r="M624" s="269"/>
      <c r="N624" s="269"/>
      <c r="O624" s="269"/>
      <c r="P624" s="269"/>
      <c r="Q624" s="269"/>
      <c r="R624" s="269"/>
      <c r="S624" s="269"/>
      <c r="T624" s="269"/>
      <c r="U624" s="269"/>
      <c r="V624" s="269"/>
      <c r="W624" s="269"/>
      <c r="X624" s="269"/>
      <c r="Y624" s="269"/>
      <c r="Z624" s="269"/>
    </row>
    <row r="625" spans="1:26" ht="14.4" hidden="1" x14ac:dyDescent="0.3">
      <c r="A625" s="269"/>
      <c r="B625" s="270"/>
      <c r="C625" s="269"/>
      <c r="D625" s="269"/>
      <c r="E625" s="269"/>
      <c r="F625" s="269"/>
      <c r="G625" s="269"/>
      <c r="H625" s="269"/>
      <c r="I625" s="269"/>
      <c r="J625" s="269"/>
      <c r="K625" s="269"/>
      <c r="L625" s="269"/>
      <c r="M625" s="269"/>
      <c r="N625" s="269"/>
      <c r="O625" s="269"/>
      <c r="P625" s="269"/>
      <c r="Q625" s="269"/>
      <c r="R625" s="269"/>
      <c r="S625" s="269"/>
      <c r="T625" s="269"/>
      <c r="U625" s="269"/>
      <c r="V625" s="269"/>
      <c r="W625" s="269"/>
      <c r="X625" s="269"/>
      <c r="Y625" s="269"/>
      <c r="Z625" s="269"/>
    </row>
    <row r="626" spans="1:26" ht="14.4" hidden="1" x14ac:dyDescent="0.3">
      <c r="A626" s="269"/>
      <c r="B626" s="270"/>
      <c r="C626" s="269"/>
      <c r="D626" s="269"/>
      <c r="E626" s="269"/>
      <c r="F626" s="269"/>
      <c r="G626" s="269"/>
      <c r="H626" s="269"/>
      <c r="I626" s="269"/>
      <c r="J626" s="269"/>
      <c r="K626" s="269"/>
      <c r="L626" s="269"/>
      <c r="M626" s="269"/>
      <c r="N626" s="269"/>
      <c r="O626" s="269"/>
      <c r="P626" s="269"/>
      <c r="Q626" s="269"/>
      <c r="R626" s="269"/>
      <c r="S626" s="269"/>
      <c r="T626" s="269"/>
      <c r="U626" s="269"/>
      <c r="V626" s="269"/>
      <c r="W626" s="269"/>
      <c r="X626" s="269"/>
      <c r="Y626" s="269"/>
      <c r="Z626" s="269"/>
    </row>
    <row r="627" spans="1:26" ht="14.4" hidden="1" x14ac:dyDescent="0.3">
      <c r="A627" s="269"/>
      <c r="B627" s="270"/>
      <c r="C627" s="269"/>
      <c r="D627" s="269"/>
      <c r="E627" s="269"/>
      <c r="F627" s="269"/>
      <c r="G627" s="269"/>
      <c r="H627" s="269"/>
      <c r="I627" s="269"/>
      <c r="J627" s="269"/>
      <c r="K627" s="269"/>
      <c r="L627" s="269"/>
      <c r="M627" s="269"/>
      <c r="N627" s="269"/>
      <c r="O627" s="269"/>
      <c r="P627" s="269"/>
      <c r="Q627" s="269"/>
      <c r="R627" s="269"/>
      <c r="S627" s="269"/>
      <c r="T627" s="269"/>
      <c r="U627" s="269"/>
      <c r="V627" s="269"/>
      <c r="W627" s="269"/>
      <c r="X627" s="269"/>
      <c r="Y627" s="269"/>
      <c r="Z627" s="269"/>
    </row>
    <row r="628" spans="1:26" ht="14.4" hidden="1" x14ac:dyDescent="0.3">
      <c r="A628" s="269"/>
      <c r="B628" s="270"/>
      <c r="C628" s="269"/>
      <c r="D628" s="269"/>
      <c r="E628" s="269"/>
      <c r="F628" s="269"/>
      <c r="G628" s="269"/>
      <c r="H628" s="269"/>
      <c r="I628" s="269"/>
      <c r="J628" s="269"/>
      <c r="K628" s="269"/>
      <c r="L628" s="269"/>
      <c r="M628" s="269"/>
      <c r="N628" s="269"/>
      <c r="O628" s="269"/>
      <c r="P628" s="269"/>
      <c r="Q628" s="269"/>
      <c r="R628" s="269"/>
      <c r="S628" s="269"/>
      <c r="T628" s="269"/>
      <c r="U628" s="269"/>
      <c r="V628" s="269"/>
      <c r="W628" s="269"/>
      <c r="X628" s="269"/>
      <c r="Y628" s="269"/>
      <c r="Z628" s="269"/>
    </row>
    <row r="629" spans="1:26" ht="14.4" hidden="1" x14ac:dyDescent="0.3">
      <c r="A629" s="269"/>
      <c r="B629" s="270"/>
      <c r="C629" s="269"/>
      <c r="D629" s="269"/>
      <c r="E629" s="269"/>
      <c r="F629" s="269"/>
      <c r="G629" s="269"/>
      <c r="H629" s="269"/>
      <c r="I629" s="269"/>
      <c r="J629" s="269"/>
      <c r="K629" s="269"/>
      <c r="L629" s="269"/>
      <c r="M629" s="269"/>
      <c r="N629" s="269"/>
      <c r="O629" s="269"/>
      <c r="P629" s="269"/>
      <c r="Q629" s="269"/>
      <c r="R629" s="269"/>
      <c r="S629" s="269"/>
      <c r="T629" s="269"/>
      <c r="U629" s="269"/>
      <c r="V629" s="269"/>
      <c r="W629" s="269"/>
      <c r="X629" s="269"/>
      <c r="Y629" s="269"/>
      <c r="Z629" s="269"/>
    </row>
    <row r="630" spans="1:26" ht="14.4" hidden="1" x14ac:dyDescent="0.3">
      <c r="A630" s="269"/>
      <c r="B630" s="270"/>
      <c r="C630" s="269"/>
      <c r="D630" s="269"/>
      <c r="E630" s="269"/>
      <c r="F630" s="269"/>
      <c r="G630" s="269"/>
      <c r="H630" s="269"/>
      <c r="I630" s="269"/>
      <c r="J630" s="269"/>
      <c r="K630" s="269"/>
      <c r="L630" s="269"/>
      <c r="M630" s="269"/>
      <c r="N630" s="269"/>
      <c r="O630" s="269"/>
      <c r="P630" s="269"/>
      <c r="Q630" s="269"/>
      <c r="R630" s="269"/>
      <c r="S630" s="269"/>
      <c r="T630" s="269"/>
      <c r="U630" s="269"/>
      <c r="V630" s="269"/>
      <c r="W630" s="269"/>
      <c r="X630" s="269"/>
      <c r="Y630" s="269"/>
      <c r="Z630" s="269"/>
    </row>
    <row r="631" spans="1:26" ht="14.4" hidden="1" x14ac:dyDescent="0.3">
      <c r="A631" s="269"/>
      <c r="B631" s="270"/>
      <c r="C631" s="269"/>
      <c r="D631" s="269"/>
      <c r="E631" s="269"/>
      <c r="F631" s="269"/>
      <c r="G631" s="269"/>
      <c r="H631" s="269"/>
      <c r="I631" s="269"/>
      <c r="J631" s="269"/>
      <c r="K631" s="269"/>
      <c r="L631" s="269"/>
      <c r="M631" s="269"/>
      <c r="N631" s="269"/>
      <c r="O631" s="269"/>
      <c r="P631" s="269"/>
      <c r="Q631" s="269"/>
      <c r="R631" s="269"/>
      <c r="S631" s="269"/>
      <c r="T631" s="269"/>
      <c r="U631" s="269"/>
      <c r="V631" s="269"/>
      <c r="W631" s="269"/>
      <c r="X631" s="269"/>
      <c r="Y631" s="269"/>
      <c r="Z631" s="269"/>
    </row>
    <row r="632" spans="1:26" ht="14.4" hidden="1" x14ac:dyDescent="0.3">
      <c r="A632" s="269"/>
      <c r="B632" s="270"/>
      <c r="C632" s="269"/>
      <c r="D632" s="269"/>
      <c r="E632" s="269"/>
      <c r="F632" s="269"/>
      <c r="G632" s="269"/>
      <c r="H632" s="269"/>
      <c r="I632" s="269"/>
      <c r="J632" s="269"/>
      <c r="K632" s="269"/>
      <c r="L632" s="269"/>
      <c r="M632" s="269"/>
      <c r="N632" s="269"/>
      <c r="O632" s="269"/>
      <c r="P632" s="269"/>
      <c r="Q632" s="269"/>
      <c r="R632" s="269"/>
      <c r="S632" s="269"/>
      <c r="T632" s="269"/>
      <c r="U632" s="269"/>
      <c r="V632" s="269"/>
      <c r="W632" s="269"/>
      <c r="X632" s="269"/>
      <c r="Y632" s="269"/>
      <c r="Z632" s="269"/>
    </row>
    <row r="633" spans="1:26" ht="14.4" hidden="1" x14ac:dyDescent="0.3">
      <c r="A633" s="269"/>
      <c r="B633" s="270"/>
      <c r="C633" s="269"/>
      <c r="D633" s="269"/>
      <c r="E633" s="269"/>
      <c r="F633" s="269"/>
      <c r="G633" s="269"/>
      <c r="H633" s="269"/>
      <c r="I633" s="269"/>
      <c r="J633" s="269"/>
      <c r="K633" s="269"/>
      <c r="L633" s="269"/>
      <c r="M633" s="269"/>
      <c r="N633" s="269"/>
      <c r="O633" s="269"/>
      <c r="P633" s="269"/>
      <c r="Q633" s="269"/>
      <c r="R633" s="269"/>
      <c r="S633" s="269"/>
      <c r="T633" s="269"/>
      <c r="U633" s="269"/>
      <c r="V633" s="269"/>
      <c r="W633" s="269"/>
      <c r="X633" s="269"/>
      <c r="Y633" s="269"/>
      <c r="Z633" s="269"/>
    </row>
    <row r="634" spans="1:26" ht="14.4" hidden="1" x14ac:dyDescent="0.3">
      <c r="A634" s="269"/>
      <c r="B634" s="270"/>
      <c r="C634" s="269"/>
      <c r="D634" s="269"/>
      <c r="E634" s="269"/>
      <c r="F634" s="269"/>
      <c r="G634" s="269"/>
      <c r="H634" s="269"/>
      <c r="I634" s="269"/>
      <c r="J634" s="269"/>
      <c r="K634" s="269"/>
      <c r="L634" s="269"/>
      <c r="M634" s="269"/>
      <c r="N634" s="269"/>
      <c r="O634" s="269"/>
      <c r="P634" s="269"/>
      <c r="Q634" s="269"/>
      <c r="R634" s="269"/>
      <c r="S634" s="269"/>
      <c r="T634" s="269"/>
      <c r="U634" s="269"/>
      <c r="V634" s="269"/>
      <c r="W634" s="269"/>
      <c r="X634" s="269"/>
      <c r="Y634" s="269"/>
      <c r="Z634" s="269"/>
    </row>
    <row r="635" spans="1:26" ht="14.4" hidden="1" x14ac:dyDescent="0.3">
      <c r="A635" s="269"/>
      <c r="B635" s="270"/>
      <c r="C635" s="269"/>
      <c r="D635" s="269"/>
      <c r="E635" s="269"/>
      <c r="F635" s="269"/>
      <c r="G635" s="269"/>
      <c r="H635" s="269"/>
      <c r="I635" s="269"/>
      <c r="J635" s="269"/>
      <c r="K635" s="269"/>
      <c r="L635" s="269"/>
      <c r="M635" s="269"/>
      <c r="N635" s="269"/>
      <c r="O635" s="269"/>
      <c r="P635" s="269"/>
      <c r="Q635" s="269"/>
      <c r="R635" s="269"/>
      <c r="S635" s="269"/>
      <c r="T635" s="269"/>
      <c r="U635" s="269"/>
      <c r="V635" s="269"/>
      <c r="W635" s="269"/>
      <c r="X635" s="269"/>
      <c r="Y635" s="269"/>
      <c r="Z635" s="269"/>
    </row>
    <row r="636" spans="1:26" ht="14.4" hidden="1" x14ac:dyDescent="0.3">
      <c r="A636" s="269"/>
      <c r="B636" s="270"/>
      <c r="C636" s="269"/>
      <c r="D636" s="269"/>
      <c r="E636" s="269"/>
      <c r="F636" s="269"/>
      <c r="G636" s="269"/>
      <c r="H636" s="269"/>
      <c r="I636" s="269"/>
      <c r="J636" s="269"/>
      <c r="K636" s="269"/>
      <c r="L636" s="269"/>
      <c r="M636" s="269"/>
      <c r="N636" s="269"/>
      <c r="O636" s="269"/>
      <c r="P636" s="269"/>
      <c r="Q636" s="269"/>
      <c r="R636" s="269"/>
      <c r="S636" s="269"/>
      <c r="T636" s="269"/>
      <c r="U636" s="269"/>
      <c r="V636" s="269"/>
      <c r="W636" s="269"/>
      <c r="X636" s="269"/>
      <c r="Y636" s="269"/>
      <c r="Z636" s="269"/>
    </row>
    <row r="637" spans="1:26" ht="14.4" hidden="1" x14ac:dyDescent="0.3">
      <c r="A637" s="269"/>
      <c r="B637" s="270"/>
      <c r="C637" s="269"/>
      <c r="D637" s="269"/>
      <c r="E637" s="269"/>
      <c r="F637" s="269"/>
      <c r="G637" s="269"/>
      <c r="H637" s="269"/>
      <c r="I637" s="269"/>
      <c r="J637" s="269"/>
      <c r="K637" s="269"/>
      <c r="L637" s="269"/>
      <c r="M637" s="269"/>
      <c r="N637" s="269"/>
      <c r="O637" s="269"/>
      <c r="P637" s="269"/>
      <c r="Q637" s="269"/>
      <c r="R637" s="269"/>
      <c r="S637" s="269"/>
      <c r="T637" s="269"/>
      <c r="U637" s="269"/>
      <c r="V637" s="269"/>
      <c r="W637" s="269"/>
      <c r="X637" s="269"/>
      <c r="Y637" s="269"/>
      <c r="Z637" s="269"/>
    </row>
    <row r="638" spans="1:26" ht="14.4" hidden="1" x14ac:dyDescent="0.3">
      <c r="A638" s="269"/>
      <c r="B638" s="270"/>
      <c r="C638" s="269"/>
      <c r="D638" s="269"/>
      <c r="E638" s="269"/>
      <c r="F638" s="269"/>
      <c r="G638" s="269"/>
      <c r="H638" s="269"/>
      <c r="I638" s="269"/>
      <c r="J638" s="269"/>
      <c r="K638" s="269"/>
      <c r="L638" s="269"/>
      <c r="M638" s="269"/>
      <c r="N638" s="269"/>
      <c r="O638" s="269"/>
      <c r="P638" s="269"/>
      <c r="Q638" s="269"/>
      <c r="R638" s="269"/>
      <c r="S638" s="269"/>
      <c r="T638" s="269"/>
      <c r="U638" s="269"/>
      <c r="V638" s="269"/>
      <c r="W638" s="269"/>
      <c r="X638" s="269"/>
      <c r="Y638" s="269"/>
      <c r="Z638" s="269"/>
    </row>
    <row r="639" spans="1:26" ht="14.4" hidden="1" x14ac:dyDescent="0.3">
      <c r="A639" s="269"/>
      <c r="B639" s="270"/>
      <c r="C639" s="269"/>
      <c r="D639" s="269"/>
      <c r="E639" s="269"/>
      <c r="F639" s="269"/>
      <c r="G639" s="269"/>
      <c r="H639" s="269"/>
      <c r="I639" s="269"/>
      <c r="J639" s="269"/>
      <c r="K639" s="269"/>
      <c r="L639" s="269"/>
      <c r="M639" s="269"/>
      <c r="N639" s="269"/>
      <c r="O639" s="269"/>
      <c r="P639" s="269"/>
      <c r="Q639" s="269"/>
      <c r="R639" s="269"/>
      <c r="S639" s="269"/>
      <c r="T639" s="269"/>
      <c r="U639" s="269"/>
      <c r="V639" s="269"/>
      <c r="W639" s="269"/>
      <c r="X639" s="269"/>
      <c r="Y639" s="269"/>
      <c r="Z639" s="269"/>
    </row>
    <row r="640" spans="1:26" ht="14.4" hidden="1" x14ac:dyDescent="0.3">
      <c r="A640" s="269"/>
      <c r="B640" s="270"/>
      <c r="C640" s="269"/>
      <c r="D640" s="269"/>
      <c r="E640" s="269"/>
      <c r="F640" s="269"/>
      <c r="G640" s="269"/>
      <c r="H640" s="269"/>
      <c r="I640" s="269"/>
      <c r="J640" s="269"/>
      <c r="K640" s="269"/>
      <c r="L640" s="269"/>
      <c r="M640" s="269"/>
      <c r="N640" s="269"/>
      <c r="O640" s="269"/>
      <c r="P640" s="269"/>
      <c r="Q640" s="269"/>
      <c r="R640" s="269"/>
      <c r="S640" s="269"/>
      <c r="T640" s="269"/>
      <c r="U640" s="269"/>
      <c r="V640" s="269"/>
      <c r="W640" s="269"/>
      <c r="X640" s="269"/>
      <c r="Y640" s="269"/>
      <c r="Z640" s="269"/>
    </row>
    <row r="641" spans="1:26" ht="14.4" hidden="1" x14ac:dyDescent="0.3">
      <c r="A641" s="269"/>
      <c r="B641" s="270"/>
      <c r="C641" s="269"/>
      <c r="D641" s="269"/>
      <c r="E641" s="269"/>
      <c r="F641" s="269"/>
      <c r="G641" s="269"/>
      <c r="H641" s="269"/>
      <c r="I641" s="269"/>
      <c r="J641" s="269"/>
      <c r="K641" s="269"/>
      <c r="L641" s="269"/>
      <c r="M641" s="269"/>
      <c r="N641" s="269"/>
      <c r="O641" s="269"/>
      <c r="P641" s="269"/>
      <c r="Q641" s="269"/>
      <c r="R641" s="269"/>
      <c r="S641" s="269"/>
      <c r="T641" s="269"/>
      <c r="U641" s="269"/>
      <c r="V641" s="269"/>
      <c r="W641" s="269"/>
      <c r="X641" s="269"/>
      <c r="Y641" s="269"/>
      <c r="Z641" s="269"/>
    </row>
    <row r="642" spans="1:26" ht="14.4" hidden="1" x14ac:dyDescent="0.3">
      <c r="A642" s="269"/>
      <c r="B642" s="270"/>
      <c r="C642" s="269"/>
      <c r="D642" s="269"/>
      <c r="E642" s="269"/>
      <c r="F642" s="269"/>
      <c r="G642" s="269"/>
      <c r="H642" s="269"/>
      <c r="I642" s="269"/>
      <c r="J642" s="269"/>
      <c r="K642" s="269"/>
      <c r="L642" s="269"/>
      <c r="M642" s="269"/>
      <c r="N642" s="269"/>
      <c r="O642" s="269"/>
      <c r="P642" s="269"/>
      <c r="Q642" s="269"/>
      <c r="R642" s="269"/>
      <c r="S642" s="269"/>
      <c r="T642" s="269"/>
      <c r="U642" s="269"/>
      <c r="V642" s="269"/>
      <c r="W642" s="269"/>
      <c r="X642" s="269"/>
      <c r="Y642" s="269"/>
      <c r="Z642" s="269"/>
    </row>
    <row r="643" spans="1:26" ht="14.4" hidden="1" x14ac:dyDescent="0.3">
      <c r="A643" s="269"/>
      <c r="B643" s="270"/>
      <c r="C643" s="269"/>
      <c r="D643" s="269"/>
      <c r="E643" s="269"/>
      <c r="F643" s="269"/>
      <c r="G643" s="269"/>
      <c r="H643" s="269"/>
      <c r="I643" s="269"/>
      <c r="J643" s="269"/>
      <c r="K643" s="269"/>
      <c r="L643" s="269"/>
      <c r="M643" s="269"/>
      <c r="N643" s="269"/>
      <c r="O643" s="269"/>
      <c r="P643" s="269"/>
      <c r="Q643" s="269"/>
      <c r="R643" s="269"/>
      <c r="S643" s="269"/>
      <c r="T643" s="269"/>
      <c r="U643" s="269"/>
      <c r="V643" s="269"/>
      <c r="W643" s="269"/>
      <c r="X643" s="269"/>
      <c r="Y643" s="269"/>
      <c r="Z643" s="269"/>
    </row>
    <row r="644" spans="1:26" ht="14.4" hidden="1" x14ac:dyDescent="0.3">
      <c r="A644" s="269"/>
      <c r="B644" s="270"/>
      <c r="C644" s="269"/>
      <c r="D644" s="269"/>
      <c r="E644" s="269"/>
      <c r="F644" s="269"/>
      <c r="G644" s="269"/>
      <c r="H644" s="269"/>
      <c r="I644" s="269"/>
      <c r="J644" s="269"/>
      <c r="K644" s="269"/>
      <c r="L644" s="269"/>
      <c r="M644" s="269"/>
      <c r="N644" s="269"/>
      <c r="O644" s="269"/>
      <c r="P644" s="269"/>
      <c r="Q644" s="269"/>
      <c r="R644" s="269"/>
      <c r="S644" s="269"/>
      <c r="T644" s="269"/>
      <c r="U644" s="269"/>
      <c r="V644" s="269"/>
      <c r="W644" s="269"/>
      <c r="X644" s="269"/>
      <c r="Y644" s="269"/>
      <c r="Z644" s="269"/>
    </row>
    <row r="645" spans="1:26" ht="14.4" hidden="1" x14ac:dyDescent="0.3">
      <c r="A645" s="269"/>
      <c r="B645" s="270"/>
      <c r="C645" s="269"/>
      <c r="D645" s="269"/>
      <c r="E645" s="269"/>
      <c r="F645" s="269"/>
      <c r="G645" s="269"/>
      <c r="H645" s="269"/>
      <c r="I645" s="269"/>
      <c r="J645" s="269"/>
      <c r="K645" s="269"/>
      <c r="L645" s="269"/>
      <c r="M645" s="269"/>
      <c r="N645" s="269"/>
      <c r="O645" s="269"/>
      <c r="P645" s="269"/>
      <c r="Q645" s="269"/>
      <c r="R645" s="269"/>
      <c r="S645" s="269"/>
      <c r="T645" s="269"/>
      <c r="U645" s="269"/>
      <c r="V645" s="269"/>
      <c r="W645" s="269"/>
      <c r="X645" s="269"/>
      <c r="Y645" s="269"/>
      <c r="Z645" s="269"/>
    </row>
    <row r="646" spans="1:26" ht="14.4" hidden="1" x14ac:dyDescent="0.3">
      <c r="A646" s="269"/>
      <c r="B646" s="270"/>
      <c r="C646" s="269"/>
      <c r="D646" s="269"/>
      <c r="E646" s="269"/>
      <c r="F646" s="269"/>
      <c r="G646" s="269"/>
      <c r="H646" s="269"/>
      <c r="I646" s="269"/>
      <c r="J646" s="269"/>
      <c r="K646" s="269"/>
      <c r="L646" s="269"/>
      <c r="M646" s="269"/>
      <c r="N646" s="269"/>
      <c r="O646" s="269"/>
      <c r="P646" s="269"/>
      <c r="Q646" s="269"/>
      <c r="R646" s="269"/>
      <c r="S646" s="269"/>
      <c r="T646" s="269"/>
      <c r="U646" s="269"/>
      <c r="V646" s="269"/>
      <c r="W646" s="269"/>
      <c r="X646" s="269"/>
      <c r="Y646" s="269"/>
      <c r="Z646" s="269"/>
    </row>
    <row r="647" spans="1:26" ht="14.4" hidden="1" x14ac:dyDescent="0.3">
      <c r="A647" s="269"/>
      <c r="B647" s="270"/>
      <c r="C647" s="269"/>
      <c r="D647" s="269"/>
      <c r="E647" s="269"/>
      <c r="F647" s="269"/>
      <c r="G647" s="269"/>
      <c r="H647" s="269"/>
      <c r="I647" s="269"/>
      <c r="J647" s="269"/>
      <c r="K647" s="269"/>
      <c r="L647" s="269"/>
      <c r="M647" s="269"/>
      <c r="N647" s="269"/>
      <c r="O647" s="269"/>
      <c r="P647" s="269"/>
      <c r="Q647" s="269"/>
      <c r="R647" s="269"/>
      <c r="S647" s="269"/>
      <c r="T647" s="269"/>
      <c r="U647" s="269"/>
      <c r="V647" s="269"/>
      <c r="W647" s="269"/>
      <c r="X647" s="269"/>
      <c r="Y647" s="269"/>
      <c r="Z647" s="269"/>
    </row>
    <row r="648" spans="1:26" ht="14.4" hidden="1" x14ac:dyDescent="0.3">
      <c r="A648" s="269"/>
      <c r="B648" s="270"/>
      <c r="C648" s="269"/>
      <c r="D648" s="269"/>
      <c r="E648" s="269"/>
      <c r="F648" s="269"/>
      <c r="G648" s="269"/>
      <c r="H648" s="269"/>
      <c r="I648" s="269"/>
      <c r="J648" s="269"/>
      <c r="K648" s="269"/>
      <c r="L648" s="269"/>
      <c r="M648" s="269"/>
      <c r="N648" s="269"/>
      <c r="O648" s="269"/>
      <c r="P648" s="269"/>
      <c r="Q648" s="269"/>
      <c r="R648" s="269"/>
      <c r="S648" s="269"/>
      <c r="T648" s="269"/>
      <c r="U648" s="269"/>
      <c r="V648" s="269"/>
      <c r="W648" s="269"/>
      <c r="X648" s="269"/>
      <c r="Y648" s="269"/>
      <c r="Z648" s="269"/>
    </row>
    <row r="649" spans="1:26" ht="14.4" hidden="1" x14ac:dyDescent="0.3">
      <c r="A649" s="269"/>
      <c r="B649" s="270"/>
      <c r="C649" s="269"/>
      <c r="D649" s="269"/>
      <c r="E649" s="269"/>
      <c r="F649" s="269"/>
      <c r="G649" s="269"/>
      <c r="H649" s="269"/>
      <c r="I649" s="269"/>
      <c r="J649" s="269"/>
      <c r="K649" s="269"/>
      <c r="L649" s="269"/>
      <c r="M649" s="269"/>
      <c r="N649" s="269"/>
      <c r="O649" s="269"/>
      <c r="P649" s="269"/>
      <c r="Q649" s="269"/>
      <c r="R649" s="269"/>
      <c r="S649" s="269"/>
      <c r="T649" s="269"/>
      <c r="U649" s="269"/>
      <c r="V649" s="269"/>
      <c r="W649" s="269"/>
      <c r="X649" s="269"/>
      <c r="Y649" s="269"/>
      <c r="Z649" s="269"/>
    </row>
    <row r="650" spans="1:26" ht="14.4" hidden="1" x14ac:dyDescent="0.3">
      <c r="A650" s="269"/>
      <c r="B650" s="270"/>
      <c r="C650" s="269"/>
      <c r="D650" s="269"/>
      <c r="E650" s="269"/>
      <c r="F650" s="269"/>
      <c r="G650" s="269"/>
      <c r="H650" s="269"/>
      <c r="I650" s="269"/>
      <c r="J650" s="269"/>
      <c r="K650" s="269"/>
      <c r="L650" s="269"/>
      <c r="M650" s="269"/>
      <c r="N650" s="269"/>
      <c r="O650" s="269"/>
      <c r="P650" s="269"/>
      <c r="Q650" s="269"/>
      <c r="R650" s="269"/>
      <c r="S650" s="269"/>
      <c r="T650" s="269"/>
      <c r="U650" s="269"/>
      <c r="V650" s="269"/>
      <c r="W650" s="269"/>
      <c r="X650" s="269"/>
      <c r="Y650" s="269"/>
      <c r="Z650" s="269"/>
    </row>
    <row r="651" spans="1:26" ht="14.4" hidden="1" x14ac:dyDescent="0.3">
      <c r="A651" s="269"/>
      <c r="B651" s="270"/>
      <c r="C651" s="269"/>
      <c r="D651" s="269"/>
      <c r="E651" s="269"/>
      <c r="F651" s="269"/>
      <c r="G651" s="269"/>
      <c r="H651" s="269"/>
      <c r="I651" s="269"/>
      <c r="J651" s="269"/>
      <c r="K651" s="269"/>
      <c r="L651" s="269"/>
      <c r="M651" s="269"/>
      <c r="N651" s="269"/>
      <c r="O651" s="269"/>
      <c r="P651" s="269"/>
      <c r="Q651" s="269"/>
      <c r="R651" s="269"/>
      <c r="S651" s="269"/>
      <c r="T651" s="269"/>
      <c r="U651" s="269"/>
      <c r="V651" s="269"/>
      <c r="W651" s="269"/>
      <c r="X651" s="269"/>
      <c r="Y651" s="269"/>
      <c r="Z651" s="269"/>
    </row>
    <row r="652" spans="1:26" ht="14.4" hidden="1" x14ac:dyDescent="0.3">
      <c r="A652" s="269"/>
      <c r="B652" s="270"/>
      <c r="C652" s="269"/>
      <c r="D652" s="269"/>
      <c r="E652" s="269"/>
      <c r="F652" s="269"/>
      <c r="G652" s="269"/>
      <c r="H652" s="269"/>
      <c r="I652" s="269"/>
      <c r="J652" s="269"/>
      <c r="K652" s="269"/>
      <c r="L652" s="269"/>
      <c r="M652" s="269"/>
      <c r="N652" s="269"/>
      <c r="O652" s="269"/>
      <c r="P652" s="269"/>
      <c r="Q652" s="269"/>
      <c r="R652" s="269"/>
      <c r="S652" s="269"/>
      <c r="T652" s="269"/>
      <c r="U652" s="269"/>
      <c r="V652" s="269"/>
      <c r="W652" s="269"/>
      <c r="X652" s="269"/>
      <c r="Y652" s="269"/>
      <c r="Z652" s="269"/>
    </row>
    <row r="653" spans="1:26" ht="14.4" hidden="1" x14ac:dyDescent="0.3">
      <c r="A653" s="269"/>
      <c r="B653" s="270"/>
      <c r="C653" s="269"/>
      <c r="D653" s="269"/>
      <c r="E653" s="269"/>
      <c r="F653" s="269"/>
      <c r="G653" s="269"/>
      <c r="H653" s="269"/>
      <c r="I653" s="269"/>
      <c r="J653" s="269"/>
      <c r="K653" s="269"/>
      <c r="L653" s="269"/>
      <c r="M653" s="269"/>
      <c r="N653" s="269"/>
      <c r="O653" s="269"/>
      <c r="P653" s="269"/>
      <c r="Q653" s="269"/>
      <c r="R653" s="269"/>
      <c r="S653" s="269"/>
      <c r="T653" s="269"/>
      <c r="U653" s="269"/>
      <c r="V653" s="269"/>
      <c r="W653" s="269"/>
      <c r="X653" s="269"/>
      <c r="Y653" s="269"/>
      <c r="Z653" s="269"/>
    </row>
    <row r="654" spans="1:26" ht="14.4" hidden="1" x14ac:dyDescent="0.3">
      <c r="A654" s="269"/>
      <c r="B654" s="270"/>
      <c r="C654" s="269"/>
      <c r="D654" s="269"/>
      <c r="E654" s="269"/>
      <c r="F654" s="269"/>
      <c r="G654" s="269"/>
      <c r="H654" s="269"/>
      <c r="I654" s="269"/>
      <c r="J654" s="269"/>
      <c r="K654" s="269"/>
      <c r="L654" s="269"/>
      <c r="M654" s="269"/>
      <c r="N654" s="269"/>
      <c r="O654" s="269"/>
      <c r="P654" s="269"/>
      <c r="Q654" s="269"/>
      <c r="R654" s="269"/>
      <c r="S654" s="269"/>
      <c r="T654" s="269"/>
      <c r="U654" s="269"/>
      <c r="V654" s="269"/>
      <c r="W654" s="269"/>
      <c r="X654" s="269"/>
      <c r="Y654" s="269"/>
      <c r="Z654" s="269"/>
    </row>
    <row r="655" spans="1:26" ht="14.4" hidden="1" x14ac:dyDescent="0.3">
      <c r="A655" s="269"/>
      <c r="B655" s="270"/>
      <c r="C655" s="269"/>
      <c r="D655" s="269"/>
      <c r="E655" s="269"/>
      <c r="F655" s="269"/>
      <c r="G655" s="269"/>
      <c r="H655" s="269"/>
      <c r="I655" s="269"/>
      <c r="J655" s="269"/>
      <c r="K655" s="269"/>
      <c r="L655" s="269"/>
      <c r="M655" s="269"/>
      <c r="N655" s="269"/>
      <c r="O655" s="269"/>
      <c r="P655" s="269"/>
      <c r="Q655" s="269"/>
      <c r="R655" s="269"/>
      <c r="S655" s="269"/>
      <c r="T655" s="269"/>
      <c r="U655" s="269"/>
      <c r="V655" s="269"/>
      <c r="W655" s="269"/>
      <c r="X655" s="269"/>
      <c r="Y655" s="269"/>
      <c r="Z655" s="269"/>
    </row>
    <row r="656" spans="1:26" ht="14.4" hidden="1" x14ac:dyDescent="0.3">
      <c r="A656" s="269"/>
      <c r="B656" s="270"/>
      <c r="C656" s="269"/>
      <c r="D656" s="269"/>
      <c r="E656" s="269"/>
      <c r="F656" s="269"/>
      <c r="G656" s="269"/>
      <c r="H656" s="269"/>
      <c r="I656" s="269"/>
      <c r="J656" s="269"/>
      <c r="K656" s="269"/>
      <c r="L656" s="269"/>
      <c r="M656" s="269"/>
      <c r="N656" s="269"/>
      <c r="O656" s="269"/>
      <c r="P656" s="269"/>
      <c r="Q656" s="269"/>
      <c r="R656" s="269"/>
      <c r="S656" s="269"/>
      <c r="T656" s="269"/>
      <c r="U656" s="269"/>
      <c r="V656" s="269"/>
      <c r="W656" s="269"/>
      <c r="X656" s="269"/>
      <c r="Y656" s="269"/>
      <c r="Z656" s="269"/>
    </row>
    <row r="657" spans="1:26" ht="14.4" hidden="1" x14ac:dyDescent="0.3">
      <c r="A657" s="269"/>
      <c r="B657" s="270"/>
      <c r="C657" s="269"/>
      <c r="D657" s="269"/>
      <c r="E657" s="269"/>
      <c r="F657" s="269"/>
      <c r="G657" s="269"/>
      <c r="H657" s="269"/>
      <c r="I657" s="269"/>
      <c r="J657" s="269"/>
      <c r="K657" s="269"/>
      <c r="L657" s="269"/>
      <c r="M657" s="269"/>
      <c r="N657" s="269"/>
      <c r="O657" s="269"/>
      <c r="P657" s="269"/>
      <c r="Q657" s="269"/>
      <c r="R657" s="269"/>
      <c r="S657" s="269"/>
      <c r="T657" s="269"/>
      <c r="U657" s="269"/>
      <c r="V657" s="269"/>
      <c r="W657" s="269"/>
      <c r="X657" s="269"/>
      <c r="Y657" s="269"/>
      <c r="Z657" s="269"/>
    </row>
    <row r="658" spans="1:26" ht="14.4" hidden="1" x14ac:dyDescent="0.3">
      <c r="A658" s="269"/>
      <c r="B658" s="270"/>
      <c r="C658" s="269"/>
      <c r="D658" s="269"/>
      <c r="E658" s="269"/>
      <c r="F658" s="269"/>
      <c r="G658" s="269"/>
      <c r="H658" s="269"/>
      <c r="I658" s="269"/>
      <c r="J658" s="269"/>
      <c r="K658" s="269"/>
      <c r="L658" s="269"/>
      <c r="M658" s="269"/>
      <c r="N658" s="269"/>
      <c r="O658" s="269"/>
      <c r="P658" s="269"/>
      <c r="Q658" s="269"/>
      <c r="R658" s="269"/>
      <c r="S658" s="269"/>
      <c r="T658" s="269"/>
      <c r="U658" s="269"/>
      <c r="V658" s="269"/>
      <c r="W658" s="269"/>
      <c r="X658" s="269"/>
      <c r="Y658" s="269"/>
      <c r="Z658" s="269"/>
    </row>
    <row r="659" spans="1:26" ht="14.4" hidden="1" x14ac:dyDescent="0.3">
      <c r="A659" s="269"/>
      <c r="B659" s="270"/>
      <c r="C659" s="269"/>
      <c r="D659" s="269"/>
      <c r="E659" s="269"/>
      <c r="F659" s="269"/>
      <c r="G659" s="269"/>
      <c r="H659" s="269"/>
      <c r="I659" s="269"/>
      <c r="J659" s="269"/>
      <c r="K659" s="269"/>
      <c r="L659" s="269"/>
      <c r="M659" s="269"/>
      <c r="N659" s="269"/>
      <c r="O659" s="269"/>
      <c r="P659" s="269"/>
      <c r="Q659" s="269"/>
      <c r="R659" s="269"/>
      <c r="S659" s="269"/>
      <c r="T659" s="269"/>
      <c r="U659" s="269"/>
      <c r="V659" s="269"/>
      <c r="W659" s="269"/>
      <c r="X659" s="269"/>
      <c r="Y659" s="269"/>
      <c r="Z659" s="269"/>
    </row>
    <row r="660" spans="1:26" ht="14.4" hidden="1" x14ac:dyDescent="0.3">
      <c r="A660" s="269"/>
      <c r="B660" s="270"/>
      <c r="C660" s="269"/>
      <c r="D660" s="269"/>
      <c r="E660" s="269"/>
      <c r="F660" s="269"/>
      <c r="G660" s="269"/>
      <c r="H660" s="269"/>
      <c r="I660" s="269"/>
      <c r="J660" s="269"/>
      <c r="K660" s="269"/>
      <c r="L660" s="269"/>
      <c r="M660" s="269"/>
      <c r="N660" s="269"/>
      <c r="O660" s="269"/>
      <c r="P660" s="269"/>
      <c r="Q660" s="269"/>
      <c r="R660" s="269"/>
      <c r="S660" s="269"/>
      <c r="T660" s="269"/>
      <c r="U660" s="269"/>
      <c r="V660" s="269"/>
      <c r="W660" s="269"/>
      <c r="X660" s="269"/>
      <c r="Y660" s="269"/>
      <c r="Z660" s="269"/>
    </row>
    <row r="661" spans="1:26" ht="14.4" hidden="1" x14ac:dyDescent="0.3">
      <c r="A661" s="269"/>
      <c r="B661" s="270"/>
      <c r="C661" s="269"/>
      <c r="D661" s="269"/>
      <c r="E661" s="269"/>
      <c r="F661" s="269"/>
      <c r="G661" s="269"/>
      <c r="H661" s="269"/>
      <c r="I661" s="269"/>
      <c r="J661" s="269"/>
      <c r="K661" s="269"/>
      <c r="L661" s="269"/>
      <c r="M661" s="269"/>
      <c r="N661" s="269"/>
      <c r="O661" s="269"/>
      <c r="P661" s="269"/>
      <c r="Q661" s="269"/>
      <c r="R661" s="269"/>
      <c r="S661" s="269"/>
      <c r="T661" s="269"/>
      <c r="U661" s="269"/>
      <c r="V661" s="269"/>
      <c r="W661" s="269"/>
      <c r="X661" s="269"/>
      <c r="Y661" s="269"/>
      <c r="Z661" s="269"/>
    </row>
    <row r="662" spans="1:26" ht="14.4" hidden="1" x14ac:dyDescent="0.3">
      <c r="A662" s="269"/>
      <c r="B662" s="270"/>
      <c r="C662" s="269"/>
      <c r="D662" s="269"/>
      <c r="E662" s="269"/>
      <c r="F662" s="269"/>
      <c r="G662" s="269"/>
      <c r="H662" s="269"/>
      <c r="I662" s="269"/>
      <c r="J662" s="269"/>
      <c r="K662" s="269"/>
      <c r="L662" s="269"/>
      <c r="M662" s="269"/>
      <c r="N662" s="269"/>
      <c r="O662" s="269"/>
      <c r="P662" s="269"/>
      <c r="Q662" s="269"/>
      <c r="R662" s="269"/>
      <c r="S662" s="269"/>
      <c r="T662" s="269"/>
      <c r="U662" s="269"/>
      <c r="V662" s="269"/>
      <c r="W662" s="269"/>
      <c r="X662" s="269"/>
      <c r="Y662" s="269"/>
      <c r="Z662" s="269"/>
    </row>
    <row r="663" spans="1:26" ht="14.4" hidden="1" x14ac:dyDescent="0.3">
      <c r="A663" s="269"/>
      <c r="B663" s="270"/>
      <c r="C663" s="269"/>
      <c r="D663" s="269"/>
      <c r="E663" s="269"/>
      <c r="F663" s="269"/>
      <c r="G663" s="269"/>
      <c r="H663" s="269"/>
      <c r="I663" s="269"/>
      <c r="J663" s="269"/>
      <c r="K663" s="269"/>
      <c r="L663" s="269"/>
      <c r="M663" s="269"/>
      <c r="N663" s="269"/>
      <c r="O663" s="269"/>
      <c r="P663" s="269"/>
      <c r="Q663" s="269"/>
      <c r="R663" s="269"/>
      <c r="S663" s="269"/>
      <c r="T663" s="269"/>
      <c r="U663" s="269"/>
      <c r="V663" s="269"/>
      <c r="W663" s="269"/>
      <c r="X663" s="269"/>
      <c r="Y663" s="269"/>
      <c r="Z663" s="269"/>
    </row>
    <row r="664" spans="1:26" ht="14.4" hidden="1" x14ac:dyDescent="0.3">
      <c r="A664" s="269"/>
      <c r="B664" s="270"/>
      <c r="C664" s="269"/>
      <c r="D664" s="269"/>
      <c r="E664" s="269"/>
      <c r="F664" s="269"/>
      <c r="G664" s="269"/>
      <c r="H664" s="269"/>
      <c r="I664" s="269"/>
      <c r="J664" s="269"/>
      <c r="K664" s="269"/>
      <c r="L664" s="269"/>
      <c r="M664" s="269"/>
      <c r="N664" s="269"/>
      <c r="O664" s="269"/>
      <c r="P664" s="269"/>
      <c r="Q664" s="269"/>
      <c r="R664" s="269"/>
      <c r="S664" s="269"/>
      <c r="T664" s="269"/>
      <c r="U664" s="269"/>
      <c r="V664" s="269"/>
      <c r="W664" s="269"/>
      <c r="X664" s="269"/>
      <c r="Y664" s="269"/>
      <c r="Z664" s="269"/>
    </row>
    <row r="665" spans="1:26" ht="14.4" hidden="1" x14ac:dyDescent="0.3">
      <c r="A665" s="269"/>
      <c r="B665" s="270"/>
      <c r="C665" s="269"/>
      <c r="D665" s="269"/>
      <c r="E665" s="269"/>
      <c r="F665" s="269"/>
      <c r="G665" s="269"/>
      <c r="H665" s="269"/>
      <c r="I665" s="269"/>
      <c r="J665" s="269"/>
      <c r="K665" s="269"/>
      <c r="L665" s="269"/>
      <c r="M665" s="269"/>
      <c r="N665" s="269"/>
      <c r="O665" s="269"/>
      <c r="P665" s="269"/>
      <c r="Q665" s="269"/>
      <c r="R665" s="269"/>
      <c r="S665" s="269"/>
      <c r="T665" s="269"/>
      <c r="U665" s="269"/>
      <c r="V665" s="269"/>
      <c r="W665" s="269"/>
      <c r="X665" s="269"/>
      <c r="Y665" s="269"/>
      <c r="Z665" s="269"/>
    </row>
    <row r="666" spans="1:26" ht="14.4" hidden="1" x14ac:dyDescent="0.3">
      <c r="A666" s="269"/>
      <c r="B666" s="270"/>
      <c r="C666" s="269"/>
      <c r="D666" s="269"/>
      <c r="E666" s="269"/>
      <c r="F666" s="269"/>
      <c r="G666" s="269"/>
      <c r="H666" s="269"/>
      <c r="I666" s="269"/>
      <c r="J666" s="269"/>
      <c r="K666" s="269"/>
      <c r="L666" s="269"/>
      <c r="M666" s="269"/>
      <c r="N666" s="269"/>
      <c r="O666" s="269"/>
      <c r="P666" s="269"/>
      <c r="Q666" s="269"/>
      <c r="R666" s="269"/>
      <c r="S666" s="269"/>
      <c r="T666" s="269"/>
      <c r="U666" s="269"/>
      <c r="V666" s="269"/>
      <c r="W666" s="269"/>
      <c r="X666" s="269"/>
      <c r="Y666" s="269"/>
      <c r="Z666" s="269"/>
    </row>
    <row r="667" spans="1:26" ht="14.4" hidden="1" x14ac:dyDescent="0.3">
      <c r="A667" s="269"/>
      <c r="B667" s="270"/>
      <c r="C667" s="269"/>
      <c r="D667" s="269"/>
      <c r="E667" s="269"/>
      <c r="F667" s="269"/>
      <c r="G667" s="269"/>
      <c r="H667" s="269"/>
      <c r="I667" s="269"/>
      <c r="J667" s="269"/>
      <c r="K667" s="269"/>
      <c r="L667" s="269"/>
      <c r="M667" s="269"/>
      <c r="N667" s="269"/>
      <c r="O667" s="269"/>
      <c r="P667" s="269"/>
      <c r="Q667" s="269"/>
      <c r="R667" s="269"/>
      <c r="S667" s="269"/>
      <c r="T667" s="269"/>
      <c r="U667" s="269"/>
      <c r="V667" s="269"/>
      <c r="W667" s="269"/>
      <c r="X667" s="269"/>
      <c r="Y667" s="269"/>
      <c r="Z667" s="269"/>
    </row>
    <row r="668" spans="1:26" ht="14.4" hidden="1" x14ac:dyDescent="0.3">
      <c r="A668" s="269"/>
      <c r="B668" s="270"/>
      <c r="C668" s="269"/>
      <c r="D668" s="269"/>
      <c r="E668" s="269"/>
      <c r="F668" s="269"/>
      <c r="G668" s="269"/>
      <c r="H668" s="269"/>
      <c r="I668" s="269"/>
      <c r="J668" s="269"/>
      <c r="K668" s="269"/>
      <c r="L668" s="269"/>
      <c r="M668" s="269"/>
      <c r="N668" s="269"/>
      <c r="O668" s="269"/>
      <c r="P668" s="269"/>
      <c r="Q668" s="269"/>
      <c r="R668" s="269"/>
      <c r="S668" s="269"/>
      <c r="T668" s="269"/>
      <c r="U668" s="269"/>
      <c r="V668" s="269"/>
      <c r="W668" s="269"/>
      <c r="X668" s="269"/>
      <c r="Y668" s="269"/>
      <c r="Z668" s="269"/>
    </row>
    <row r="669" spans="1:26" ht="14.4" hidden="1" x14ac:dyDescent="0.3">
      <c r="A669" s="269"/>
      <c r="B669" s="270"/>
      <c r="C669" s="269"/>
      <c r="D669" s="269"/>
      <c r="E669" s="269"/>
      <c r="F669" s="269"/>
      <c r="G669" s="269"/>
      <c r="H669" s="269"/>
      <c r="I669" s="269"/>
      <c r="J669" s="269"/>
      <c r="K669" s="269"/>
      <c r="L669" s="269"/>
      <c r="M669" s="269"/>
      <c r="N669" s="269"/>
      <c r="O669" s="269"/>
      <c r="P669" s="269"/>
      <c r="Q669" s="269"/>
      <c r="R669" s="269"/>
      <c r="S669" s="269"/>
      <c r="T669" s="269"/>
      <c r="U669" s="269"/>
      <c r="V669" s="269"/>
      <c r="W669" s="269"/>
      <c r="X669" s="269"/>
      <c r="Y669" s="269"/>
      <c r="Z669" s="269"/>
    </row>
    <row r="670" spans="1:26" ht="14.4" hidden="1" x14ac:dyDescent="0.3">
      <c r="A670" s="269"/>
      <c r="B670" s="270"/>
      <c r="C670" s="269"/>
      <c r="D670" s="269"/>
      <c r="E670" s="269"/>
      <c r="F670" s="269"/>
      <c r="G670" s="269"/>
      <c r="H670" s="269"/>
      <c r="I670" s="269"/>
      <c r="J670" s="269"/>
      <c r="K670" s="269"/>
      <c r="L670" s="269"/>
      <c r="M670" s="269"/>
      <c r="N670" s="269"/>
      <c r="O670" s="269"/>
      <c r="P670" s="269"/>
      <c r="Q670" s="269"/>
      <c r="R670" s="269"/>
      <c r="S670" s="269"/>
      <c r="T670" s="269"/>
      <c r="U670" s="269"/>
      <c r="V670" s="269"/>
      <c r="W670" s="269"/>
      <c r="X670" s="269"/>
      <c r="Y670" s="269"/>
      <c r="Z670" s="269"/>
    </row>
    <row r="671" spans="1:26" ht="14.4" hidden="1" x14ac:dyDescent="0.3">
      <c r="C671" s="229"/>
      <c r="E671" s="229"/>
      <c r="F671" s="229"/>
      <c r="G671" s="229"/>
      <c r="H671" s="229"/>
    </row>
    <row r="672" spans="1:26" ht="14.4" hidden="1" x14ac:dyDescent="0.3">
      <c r="C672" s="229"/>
      <c r="E672" s="229"/>
      <c r="F672" s="229"/>
      <c r="G672" s="229"/>
      <c r="H672" s="229"/>
    </row>
    <row r="673" spans="3:8" ht="14.4" hidden="1" x14ac:dyDescent="0.3">
      <c r="C673" s="229"/>
      <c r="E673" s="229"/>
      <c r="F673" s="229"/>
      <c r="G673" s="229"/>
      <c r="H673" s="229"/>
    </row>
    <row r="674" spans="3:8" ht="14.4" hidden="1" x14ac:dyDescent="0.3"/>
    <row r="675" spans="3:8" ht="14.4" hidden="1" x14ac:dyDescent="0.3"/>
    <row r="676" spans="3:8" ht="14.4" hidden="1" x14ac:dyDescent="0.3"/>
    <row r="677" spans="3:8" ht="14.4" hidden="1" x14ac:dyDescent="0.3"/>
    <row r="678" spans="3:8" ht="14.4" hidden="1" x14ac:dyDescent="0.3"/>
    <row r="679" spans="3:8" ht="14.4" hidden="1" x14ac:dyDescent="0.3"/>
    <row r="680" spans="3:8" ht="14.4" hidden="1" x14ac:dyDescent="0.3"/>
    <row r="681" spans="3:8" ht="14.4" hidden="1" x14ac:dyDescent="0.3"/>
    <row r="682" spans="3:8" ht="14.4" hidden="1" x14ac:dyDescent="0.3"/>
  </sheetData>
  <sheetProtection algorithmName="SHA-512" hashValue="+FERG9xDdJvrP83JbGMrvo2GPn+CQqf+gB6/wxXZImOg4DrksQcVDQ/czYCdgUwLFXZPxlXLrFRcqbe1VNhcmA==" saltValue="Suiy52YAomqywHYtVV+iyQ==" spinCount="100000" sheet="1" objects="1" scenarios="1"/>
  <mergeCells count="31">
    <mergeCell ref="D10:E10"/>
    <mergeCell ref="D11:E11"/>
    <mergeCell ref="D13:E13"/>
    <mergeCell ref="D14:E14"/>
    <mergeCell ref="C10:C12"/>
    <mergeCell ref="C13:C15"/>
    <mergeCell ref="D15:E15"/>
    <mergeCell ref="D12:E12"/>
    <mergeCell ref="O8:O9"/>
    <mergeCell ref="F8:F9"/>
    <mergeCell ref="I8:I9"/>
    <mergeCell ref="J8:J9"/>
    <mergeCell ref="K8:K9"/>
    <mergeCell ref="L8:L9"/>
    <mergeCell ref="M8:M9"/>
    <mergeCell ref="G8:G9"/>
    <mergeCell ref="H8:H9"/>
    <mergeCell ref="N8:N9"/>
    <mergeCell ref="F47:G47"/>
    <mergeCell ref="M74:M77"/>
    <mergeCell ref="M55:M58"/>
    <mergeCell ref="C269:E269"/>
    <mergeCell ref="C268:E268"/>
    <mergeCell ref="E52:E53"/>
    <mergeCell ref="C87:G88"/>
    <mergeCell ref="C71:D71"/>
    <mergeCell ref="D57:E57"/>
    <mergeCell ref="C68:G69"/>
    <mergeCell ref="F75:F76"/>
    <mergeCell ref="D76:E76"/>
    <mergeCell ref="F56:F57"/>
  </mergeCells>
  <phoneticPr fontId="37" type="noConversion"/>
  <conditionalFormatting sqref="L96">
    <cfRule type="expression" dxfId="356" priority="365">
      <formula>#REF!="nee"</formula>
    </cfRule>
  </conditionalFormatting>
  <conditionalFormatting sqref="M96:N96">
    <cfRule type="expression" dxfId="355" priority="367">
      <formula>L96="nee"</formula>
    </cfRule>
  </conditionalFormatting>
  <conditionalFormatting sqref="L131">
    <cfRule type="expression" dxfId="354" priority="362">
      <formula>#REF!="nee"</formula>
    </cfRule>
  </conditionalFormatting>
  <conditionalFormatting sqref="M131:N131">
    <cfRule type="expression" dxfId="353" priority="364">
      <formula>L131="nee"</formula>
    </cfRule>
  </conditionalFormatting>
  <conditionalFormatting sqref="L166">
    <cfRule type="expression" dxfId="352" priority="359">
      <formula>#REF!="nee"</formula>
    </cfRule>
  </conditionalFormatting>
  <conditionalFormatting sqref="M166:N166">
    <cfRule type="expression" dxfId="351" priority="361">
      <formula>L166="nee"</formula>
    </cfRule>
  </conditionalFormatting>
  <conditionalFormatting sqref="L201">
    <cfRule type="expression" dxfId="350" priority="356">
      <formula>#REF!="nee"</formula>
    </cfRule>
  </conditionalFormatting>
  <conditionalFormatting sqref="M201:N201">
    <cfRule type="expression" dxfId="349" priority="358">
      <formula>L201="nee"</formula>
    </cfRule>
  </conditionalFormatting>
  <conditionalFormatting sqref="L236">
    <cfRule type="expression" dxfId="348" priority="353">
      <formula>#REF!="nee"</formula>
    </cfRule>
  </conditionalFormatting>
  <conditionalFormatting sqref="M236:N236">
    <cfRule type="expression" dxfId="347" priority="355">
      <formula>L236="nee"</formula>
    </cfRule>
  </conditionalFormatting>
  <conditionalFormatting sqref="M96:N96 M131:N131 M166:N166 M201:N201 M236:N236">
    <cfRule type="expression" dxfId="346" priority="465">
      <formula>#REF!="nee"</formula>
    </cfRule>
  </conditionalFormatting>
  <conditionalFormatting sqref="H59">
    <cfRule type="expression" dxfId="345" priority="348">
      <formula>O59=2</formula>
    </cfRule>
  </conditionalFormatting>
  <conditionalFormatting sqref="H63">
    <cfRule type="expression" dxfId="344" priority="347">
      <formula>O63=2</formula>
    </cfRule>
  </conditionalFormatting>
  <conditionalFormatting sqref="H64">
    <cfRule type="expression" dxfId="343" priority="346">
      <formula>O64=2</formula>
    </cfRule>
  </conditionalFormatting>
  <conditionalFormatting sqref="H65">
    <cfRule type="expression" dxfId="342" priority="345">
      <formula>O65=2</formula>
    </cfRule>
  </conditionalFormatting>
  <conditionalFormatting sqref="H66">
    <cfRule type="expression" dxfId="341" priority="344">
      <formula>O66=2</formula>
    </cfRule>
  </conditionalFormatting>
  <conditionalFormatting sqref="H67">
    <cfRule type="expression" dxfId="340" priority="343">
      <formula>O67=2</formula>
    </cfRule>
  </conditionalFormatting>
  <conditionalFormatting sqref="H62">
    <cfRule type="expression" dxfId="339" priority="342">
      <formula>O62=2</formula>
    </cfRule>
  </conditionalFormatting>
  <conditionalFormatting sqref="I59">
    <cfRule type="expression" dxfId="338" priority="339">
      <formula>O59=2</formula>
    </cfRule>
    <cfRule type="expression" dxfId="337" priority="340">
      <formula>P59=0</formula>
    </cfRule>
    <cfRule type="expression" dxfId="336" priority="341">
      <formula>P59=1</formula>
    </cfRule>
  </conditionalFormatting>
  <conditionalFormatting sqref="M60:M64">
    <cfRule type="expression" dxfId="335" priority="336">
      <formula>O60=2</formula>
    </cfRule>
    <cfRule type="expression" dxfId="334" priority="337">
      <formula>Q60=0</formula>
    </cfRule>
    <cfRule type="expression" dxfId="333" priority="338">
      <formula>Q60=1</formula>
    </cfRule>
  </conditionalFormatting>
  <conditionalFormatting sqref="L59">
    <cfRule type="expression" dxfId="332" priority="334">
      <formula>V59=2</formula>
    </cfRule>
  </conditionalFormatting>
  <conditionalFormatting sqref="E67">
    <cfRule type="expression" dxfId="331" priority="332">
      <formula>E66&lt;&gt;"&gt;"</formula>
    </cfRule>
    <cfRule type="expression" dxfId="330" priority="333">
      <formula>E66="&gt;"</formula>
    </cfRule>
  </conditionalFormatting>
  <conditionalFormatting sqref="L60:L62">
    <cfRule type="expression" dxfId="329" priority="331">
      <formula>O60=2</formula>
    </cfRule>
  </conditionalFormatting>
  <conditionalFormatting sqref="L63">
    <cfRule type="expression" dxfId="328" priority="330">
      <formula>O63=2</formula>
    </cfRule>
  </conditionalFormatting>
  <conditionalFormatting sqref="L64">
    <cfRule type="expression" dxfId="327" priority="329">
      <formula>O64=2</formula>
    </cfRule>
  </conditionalFormatting>
  <conditionalFormatting sqref="L65">
    <cfRule type="expression" dxfId="326" priority="328">
      <formula>O65=2</formula>
    </cfRule>
  </conditionalFormatting>
  <conditionalFormatting sqref="L66">
    <cfRule type="expression" dxfId="325" priority="327">
      <formula>O66=2</formula>
    </cfRule>
  </conditionalFormatting>
  <conditionalFormatting sqref="L67">
    <cfRule type="expression" dxfId="324" priority="326">
      <formula>O67=2</formula>
    </cfRule>
  </conditionalFormatting>
  <conditionalFormatting sqref="L60">
    <cfRule type="expression" dxfId="323" priority="325">
      <formula>V60=2</formula>
    </cfRule>
  </conditionalFormatting>
  <conditionalFormatting sqref="L61">
    <cfRule type="expression" dxfId="322" priority="324">
      <formula>V61=2</formula>
    </cfRule>
  </conditionalFormatting>
  <conditionalFormatting sqref="H60">
    <cfRule type="expression" dxfId="321" priority="323">
      <formula>O60=2</formula>
    </cfRule>
  </conditionalFormatting>
  <conditionalFormatting sqref="H61:H67">
    <cfRule type="expression" dxfId="320" priority="322">
      <formula>O61=2</formula>
    </cfRule>
  </conditionalFormatting>
  <conditionalFormatting sqref="M65">
    <cfRule type="cellIs" dxfId="319" priority="254" operator="greaterThan">
      <formula>$M$64</formula>
    </cfRule>
    <cfRule type="expression" dxfId="318" priority="319">
      <formula>O65=2</formula>
    </cfRule>
    <cfRule type="expression" dxfId="317" priority="320">
      <formula>Q65=0</formula>
    </cfRule>
    <cfRule type="expression" dxfId="316" priority="321">
      <formula>Q65=1</formula>
    </cfRule>
  </conditionalFormatting>
  <conditionalFormatting sqref="M66">
    <cfRule type="cellIs" dxfId="315" priority="253" operator="greaterThan">
      <formula>$M$65</formula>
    </cfRule>
    <cfRule type="expression" dxfId="314" priority="316">
      <formula>O66=2</formula>
    </cfRule>
    <cfRule type="expression" dxfId="313" priority="317">
      <formula>Q66=0</formula>
    </cfRule>
    <cfRule type="expression" dxfId="312" priority="318">
      <formula>Q66=1</formula>
    </cfRule>
  </conditionalFormatting>
  <conditionalFormatting sqref="M67">
    <cfRule type="cellIs" dxfId="311" priority="252" operator="greaterThan">
      <formula>$M$66</formula>
    </cfRule>
    <cfRule type="expression" dxfId="310" priority="313">
      <formula>O67=2</formula>
    </cfRule>
    <cfRule type="expression" dxfId="309" priority="314">
      <formula>Q67=0</formula>
    </cfRule>
    <cfRule type="expression" dxfId="308" priority="315">
      <formula>Q67=1</formula>
    </cfRule>
  </conditionalFormatting>
  <conditionalFormatting sqref="M59:M67">
    <cfRule type="expression" dxfId="307" priority="310">
      <formula>O59=2</formula>
    </cfRule>
    <cfRule type="expression" dxfId="306" priority="311">
      <formula>Q59=0</formula>
    </cfRule>
    <cfRule type="expression" dxfId="305" priority="312">
      <formula>Q59=1</formula>
    </cfRule>
  </conditionalFormatting>
  <conditionalFormatting sqref="H66">
    <cfRule type="expression" dxfId="304" priority="309">
      <formula>O66=2</formula>
    </cfRule>
  </conditionalFormatting>
  <conditionalFormatting sqref="I60:I61">
    <cfRule type="cellIs" dxfId="303" priority="272" operator="greaterThan">
      <formula>$I$60</formula>
    </cfRule>
    <cfRule type="cellIs" dxfId="302" priority="273" operator="greaterThan">
      <formula>$I$60</formula>
    </cfRule>
    <cfRule type="cellIs" dxfId="301" priority="274" operator="greaterThan">
      <formula>$I$60</formula>
    </cfRule>
    <cfRule type="cellIs" dxfId="300" priority="275" operator="greaterThan">
      <formula>$I$60</formula>
    </cfRule>
    <cfRule type="cellIs" dxfId="299" priority="276" operator="greaterThan">
      <formula>$I$60</formula>
    </cfRule>
    <cfRule type="expression" dxfId="298" priority="303">
      <formula>O60=2</formula>
    </cfRule>
    <cfRule type="expression" dxfId="297" priority="304">
      <formula>P60=0</formula>
    </cfRule>
    <cfRule type="expression" dxfId="296" priority="305">
      <formula>P60=1</formula>
    </cfRule>
  </conditionalFormatting>
  <conditionalFormatting sqref="I62">
    <cfRule type="cellIs" dxfId="295" priority="268" operator="greaterThan">
      <formula>$I$61</formula>
    </cfRule>
    <cfRule type="expression" dxfId="294" priority="300">
      <formula>O62=2</formula>
    </cfRule>
    <cfRule type="expression" dxfId="293" priority="301">
      <formula>P62=0</formula>
    </cfRule>
    <cfRule type="expression" dxfId="292" priority="302">
      <formula>P62=1</formula>
    </cfRule>
  </conditionalFormatting>
  <conditionalFormatting sqref="I63">
    <cfRule type="cellIs" dxfId="291" priority="267" operator="greaterThan">
      <formula>$I$62</formula>
    </cfRule>
    <cfRule type="expression" dxfId="290" priority="297">
      <formula>O63=2</formula>
    </cfRule>
    <cfRule type="expression" dxfId="289" priority="298">
      <formula>P63=0</formula>
    </cfRule>
    <cfRule type="expression" dxfId="288" priority="299">
      <formula>P63=1</formula>
    </cfRule>
  </conditionalFormatting>
  <conditionalFormatting sqref="I64">
    <cfRule type="cellIs" dxfId="287" priority="266" operator="greaterThan">
      <formula>$I$63</formula>
    </cfRule>
    <cfRule type="expression" dxfId="286" priority="294">
      <formula>O64=2</formula>
    </cfRule>
    <cfRule type="expression" dxfId="285" priority="295">
      <formula>P64=0</formula>
    </cfRule>
    <cfRule type="expression" dxfId="284" priority="296">
      <formula>P64=1</formula>
    </cfRule>
  </conditionalFormatting>
  <conditionalFormatting sqref="I65">
    <cfRule type="cellIs" dxfId="283" priority="265" operator="greaterThan">
      <formula>$I$64</formula>
    </cfRule>
    <cfRule type="expression" dxfId="282" priority="291">
      <formula>O65=2</formula>
    </cfRule>
    <cfRule type="expression" dxfId="281" priority="292">
      <formula>P65=0</formula>
    </cfRule>
    <cfRule type="expression" dxfId="280" priority="293">
      <formula>P65=1</formula>
    </cfRule>
  </conditionalFormatting>
  <conditionalFormatting sqref="I66">
    <cfRule type="cellIs" dxfId="279" priority="264" operator="greaterThan">
      <formula>$I$65</formula>
    </cfRule>
    <cfRule type="expression" dxfId="278" priority="288">
      <formula>O66=2</formula>
    </cfRule>
    <cfRule type="expression" dxfId="277" priority="289">
      <formula>P66=0</formula>
    </cfRule>
    <cfRule type="expression" dxfId="276" priority="290">
      <formula>P66=1</formula>
    </cfRule>
  </conditionalFormatting>
  <conditionalFormatting sqref="I67">
    <cfRule type="cellIs" dxfId="275" priority="263" operator="greaterThan">
      <formula>$I$66</formula>
    </cfRule>
    <cfRule type="expression" dxfId="274" priority="285">
      <formula>O67=2</formula>
    </cfRule>
    <cfRule type="expression" dxfId="273" priority="286">
      <formula>P67=0</formula>
    </cfRule>
    <cfRule type="expression" dxfId="272" priority="287">
      <formula>P67=1</formula>
    </cfRule>
  </conditionalFormatting>
  <conditionalFormatting sqref="E59:E66">
    <cfRule type="expression" dxfId="271" priority="283">
      <formula>E58&lt;&gt;"&gt;"</formula>
    </cfRule>
    <cfRule type="expression" dxfId="270" priority="284">
      <formula>E58="&gt;"</formula>
    </cfRule>
  </conditionalFormatting>
  <conditionalFormatting sqref="M68">
    <cfRule type="containsText" dxfId="269" priority="251" operator="containsText" text="Fout">
      <formula>NOT(ISERROR(SEARCH("Fout",M68)))</formula>
    </cfRule>
    <cfRule type="expression" dxfId="268" priority="467">
      <formula>#REF!&gt;0</formula>
    </cfRule>
  </conditionalFormatting>
  <conditionalFormatting sqref="I60">
    <cfRule type="cellIs" dxfId="267" priority="260" operator="greaterThan">
      <formula>$I$59</formula>
    </cfRule>
  </conditionalFormatting>
  <conditionalFormatting sqref="M60">
    <cfRule type="cellIs" dxfId="266" priority="259" operator="greaterThan">
      <formula>$M$59</formula>
    </cfRule>
  </conditionalFormatting>
  <conditionalFormatting sqref="M61">
    <cfRule type="cellIs" dxfId="265" priority="258" operator="greaterThan">
      <formula>$M$60</formula>
    </cfRule>
  </conditionalFormatting>
  <conditionalFormatting sqref="M62">
    <cfRule type="cellIs" dxfId="264" priority="257" operator="greaterThan">
      <formula>$M$61</formula>
    </cfRule>
  </conditionalFormatting>
  <conditionalFormatting sqref="M63">
    <cfRule type="cellIs" dxfId="263" priority="256" operator="greaterThan">
      <formula>$M$62</formula>
    </cfRule>
  </conditionalFormatting>
  <conditionalFormatting sqref="M64">
    <cfRule type="cellIs" dxfId="262" priority="255" operator="greaterThan">
      <formula>$M$63</formula>
    </cfRule>
  </conditionalFormatting>
  <conditionalFormatting sqref="I68">
    <cfRule type="containsText" dxfId="261" priority="248" operator="containsText" text="Fout">
      <formula>NOT(ISERROR(SEARCH("Fout",I68)))</formula>
    </cfRule>
    <cfRule type="expression" dxfId="260" priority="249">
      <formula>#REF!&gt;0</formula>
    </cfRule>
  </conditionalFormatting>
  <conditionalFormatting sqref="H78">
    <cfRule type="expression" dxfId="259" priority="246">
      <formula>O78=2</formula>
    </cfRule>
  </conditionalFormatting>
  <conditionalFormatting sqref="H82">
    <cfRule type="expression" dxfId="258" priority="245">
      <formula>O82=2</formula>
    </cfRule>
  </conditionalFormatting>
  <conditionalFormatting sqref="H83">
    <cfRule type="expression" dxfId="257" priority="244">
      <formula>O83=2</formula>
    </cfRule>
  </conditionalFormatting>
  <conditionalFormatting sqref="H84">
    <cfRule type="expression" dxfId="256" priority="243">
      <formula>O84=2</formula>
    </cfRule>
  </conditionalFormatting>
  <conditionalFormatting sqref="H85">
    <cfRule type="expression" dxfId="255" priority="242">
      <formula>O85=2</formula>
    </cfRule>
  </conditionalFormatting>
  <conditionalFormatting sqref="H86">
    <cfRule type="expression" dxfId="254" priority="241">
      <formula>O86=2</formula>
    </cfRule>
  </conditionalFormatting>
  <conditionalFormatting sqref="H81">
    <cfRule type="expression" dxfId="253" priority="240">
      <formula>O81=2</formula>
    </cfRule>
  </conditionalFormatting>
  <conditionalFormatting sqref="I78:I86">
    <cfRule type="expression" dxfId="252" priority="237">
      <formula>O78=2</formula>
    </cfRule>
    <cfRule type="expression" dxfId="251" priority="238">
      <formula>P78=0</formula>
    </cfRule>
    <cfRule type="expression" dxfId="250" priority="239">
      <formula>P78=1</formula>
    </cfRule>
  </conditionalFormatting>
  <conditionalFormatting sqref="M79:M83">
    <cfRule type="expression" dxfId="249" priority="234">
      <formula>O79=2</formula>
    </cfRule>
    <cfRule type="expression" dxfId="248" priority="235">
      <formula>Q79=0</formula>
    </cfRule>
    <cfRule type="expression" dxfId="247" priority="236">
      <formula>Q79=1</formula>
    </cfRule>
  </conditionalFormatting>
  <conditionalFormatting sqref="L78">
    <cfRule type="expression" dxfId="246" priority="233">
      <formula>V78=2</formula>
    </cfRule>
  </conditionalFormatting>
  <conditionalFormatting sqref="E86">
    <cfRule type="expression" dxfId="245" priority="231">
      <formula>E85&lt;&gt;"&gt;"</formula>
    </cfRule>
    <cfRule type="expression" dxfId="244" priority="232">
      <formula>E85="&gt;"</formula>
    </cfRule>
  </conditionalFormatting>
  <conditionalFormatting sqref="L79:L81">
    <cfRule type="expression" dxfId="243" priority="230">
      <formula>O79=2</formula>
    </cfRule>
  </conditionalFormatting>
  <conditionalFormatting sqref="L82">
    <cfRule type="expression" dxfId="242" priority="229">
      <formula>O82=2</formula>
    </cfRule>
  </conditionalFormatting>
  <conditionalFormatting sqref="L83">
    <cfRule type="expression" dxfId="241" priority="228">
      <formula>O83=2</formula>
    </cfRule>
  </conditionalFormatting>
  <conditionalFormatting sqref="L84">
    <cfRule type="expression" dxfId="240" priority="227">
      <formula>O84=2</formula>
    </cfRule>
  </conditionalFormatting>
  <conditionalFormatting sqref="L85">
    <cfRule type="expression" dxfId="239" priority="226">
      <formula>O85=2</formula>
    </cfRule>
  </conditionalFormatting>
  <conditionalFormatting sqref="L86">
    <cfRule type="expression" dxfId="238" priority="225">
      <formula>O86=2</formula>
    </cfRule>
  </conditionalFormatting>
  <conditionalFormatting sqref="L79">
    <cfRule type="expression" dxfId="237" priority="224">
      <formula>V79=2</formula>
    </cfRule>
  </conditionalFormatting>
  <conditionalFormatting sqref="L80">
    <cfRule type="expression" dxfId="236" priority="223">
      <formula>V80=2</formula>
    </cfRule>
  </conditionalFormatting>
  <conditionalFormatting sqref="H79">
    <cfRule type="expression" dxfId="235" priority="222">
      <formula>O79=2</formula>
    </cfRule>
  </conditionalFormatting>
  <conditionalFormatting sqref="H80:H86">
    <cfRule type="expression" dxfId="234" priority="221">
      <formula>O80=2</formula>
    </cfRule>
  </conditionalFormatting>
  <conditionalFormatting sqref="M84">
    <cfRule type="cellIs" dxfId="233" priority="3" operator="greaterThan">
      <formula>$M$83</formula>
    </cfRule>
    <cfRule type="cellIs" dxfId="232" priority="148" operator="greaterThan">
      <formula>$M$83</formula>
    </cfRule>
    <cfRule type="cellIs" dxfId="231" priority="167" operator="greaterThan">
      <formula>$M$64</formula>
    </cfRule>
    <cfRule type="expression" dxfId="230" priority="218">
      <formula>O84=2</formula>
    </cfRule>
    <cfRule type="expression" dxfId="229" priority="219">
      <formula>Q84=0</formula>
    </cfRule>
    <cfRule type="expression" dxfId="228" priority="220">
      <formula>Q84=1</formula>
    </cfRule>
  </conditionalFormatting>
  <conditionalFormatting sqref="M85">
    <cfRule type="cellIs" dxfId="227" priority="2" operator="greaterThan">
      <formula>$M$84</formula>
    </cfRule>
    <cfRule type="cellIs" dxfId="226" priority="147" operator="greaterThan">
      <formula>$M$84</formula>
    </cfRule>
    <cfRule type="cellIs" dxfId="225" priority="166" operator="greaterThan">
      <formula>$M$65</formula>
    </cfRule>
    <cfRule type="expression" dxfId="224" priority="215">
      <formula>O85=2</formula>
    </cfRule>
    <cfRule type="expression" dxfId="223" priority="216">
      <formula>Q85=0</formula>
    </cfRule>
    <cfRule type="expression" dxfId="222" priority="217">
      <formula>Q85=1</formula>
    </cfRule>
  </conditionalFormatting>
  <conditionalFormatting sqref="M86">
    <cfRule type="cellIs" dxfId="221" priority="1" operator="greaterThan">
      <formula>$M$85</formula>
    </cfRule>
    <cfRule type="cellIs" dxfId="220" priority="146" operator="greaterThan">
      <formula>$M$85</formula>
    </cfRule>
    <cfRule type="cellIs" dxfId="219" priority="165" operator="greaterThan">
      <formula>$M$66</formula>
    </cfRule>
    <cfRule type="expression" dxfId="218" priority="212">
      <formula>O86=2</formula>
    </cfRule>
    <cfRule type="expression" dxfId="217" priority="213">
      <formula>Q86=0</formula>
    </cfRule>
    <cfRule type="expression" dxfId="216" priority="214">
      <formula>Q86=1</formula>
    </cfRule>
  </conditionalFormatting>
  <conditionalFormatting sqref="M78:M86">
    <cfRule type="expression" dxfId="215" priority="209">
      <formula>O78=2</formula>
    </cfRule>
    <cfRule type="expression" dxfId="214" priority="210">
      <formula>Q78=0</formula>
    </cfRule>
    <cfRule type="expression" dxfId="213" priority="211">
      <formula>Q78=1</formula>
    </cfRule>
  </conditionalFormatting>
  <conditionalFormatting sqref="H85">
    <cfRule type="expression" dxfId="212" priority="208">
      <formula>O85=2</formula>
    </cfRule>
  </conditionalFormatting>
  <conditionalFormatting sqref="E78:E85">
    <cfRule type="expression" dxfId="211" priority="185">
      <formula>E77&lt;&gt;"&gt;"</formula>
    </cfRule>
    <cfRule type="expression" dxfId="210" priority="186">
      <formula>E77="&gt;"</formula>
    </cfRule>
  </conditionalFormatting>
  <conditionalFormatting sqref="M87">
    <cfRule type="containsText" dxfId="209" priority="164" operator="containsText" text="Fout">
      <formula>NOT(ISERROR(SEARCH("Fout",M87)))</formula>
    </cfRule>
    <cfRule type="expression" dxfId="208" priority="247">
      <formula>#REF!&gt;0</formula>
    </cfRule>
  </conditionalFormatting>
  <conditionalFormatting sqref="M79">
    <cfRule type="cellIs" dxfId="207" priority="153" operator="greaterThan">
      <formula>$M$78</formula>
    </cfRule>
    <cfRule type="cellIs" dxfId="206" priority="172" operator="greaterThan">
      <formula>$M$59</formula>
    </cfRule>
  </conditionalFormatting>
  <conditionalFormatting sqref="M80">
    <cfRule type="cellIs" dxfId="205" priority="7" operator="greaterThan">
      <formula>$M$79</formula>
    </cfRule>
    <cfRule type="cellIs" dxfId="204" priority="152" operator="greaterThan">
      <formula>$M$79</formula>
    </cfRule>
    <cfRule type="cellIs" dxfId="203" priority="171" operator="greaterThan">
      <formula>$M$60</formula>
    </cfRule>
  </conditionalFormatting>
  <conditionalFormatting sqref="M81">
    <cfRule type="cellIs" dxfId="202" priority="6" operator="greaterThan">
      <formula>$M$80</formula>
    </cfRule>
    <cfRule type="cellIs" dxfId="201" priority="151" operator="greaterThan">
      <formula>$M$80</formula>
    </cfRule>
    <cfRule type="cellIs" dxfId="200" priority="170" operator="greaterThan">
      <formula>$M$61</formula>
    </cfRule>
  </conditionalFormatting>
  <conditionalFormatting sqref="M82">
    <cfRule type="cellIs" dxfId="199" priority="5" operator="greaterThan">
      <formula>$M$81</formula>
    </cfRule>
    <cfRule type="cellIs" dxfId="198" priority="150" operator="greaterThan">
      <formula>$M$81</formula>
    </cfRule>
    <cfRule type="cellIs" dxfId="197" priority="169" operator="greaterThan">
      <formula>$M$62</formula>
    </cfRule>
  </conditionalFormatting>
  <conditionalFormatting sqref="M83">
    <cfRule type="cellIs" dxfId="196" priority="4" operator="greaterThan">
      <formula>$M$82</formula>
    </cfRule>
    <cfRule type="cellIs" dxfId="195" priority="8" operator="greaterThan">
      <formula>$M$82</formula>
    </cfRule>
    <cfRule type="cellIs" dxfId="194" priority="149" operator="greaterThan">
      <formula>$M$82</formula>
    </cfRule>
    <cfRule type="cellIs" dxfId="193" priority="168" operator="greaterThan">
      <formula>$M$63</formula>
    </cfRule>
  </conditionalFormatting>
  <conditionalFormatting sqref="I87">
    <cfRule type="containsText" dxfId="192" priority="162" operator="containsText" text="Fout">
      <formula>NOT(ISERROR(SEARCH("Fout",I87)))</formula>
    </cfRule>
    <cfRule type="expression" dxfId="191" priority="163">
      <formula>#REF!&gt;0</formula>
    </cfRule>
  </conditionalFormatting>
  <conditionalFormatting sqref="I79">
    <cfRule type="cellIs" dxfId="190" priority="16" operator="greaterThan">
      <formula>$I$78</formula>
    </cfRule>
  </conditionalFormatting>
  <conditionalFormatting sqref="I80">
    <cfRule type="cellIs" dxfId="189" priority="15" operator="greaterThan">
      <formula>$I$79</formula>
    </cfRule>
  </conditionalFormatting>
  <conditionalFormatting sqref="I81">
    <cfRule type="cellIs" dxfId="188" priority="14" operator="greaterThan">
      <formula>$I$80</formula>
    </cfRule>
  </conditionalFormatting>
  <conditionalFormatting sqref="I82">
    <cfRule type="cellIs" dxfId="187" priority="13" operator="greaterThan">
      <formula>$I$81</formula>
    </cfRule>
  </conditionalFormatting>
  <conditionalFormatting sqref="I83">
    <cfRule type="cellIs" dxfId="186" priority="12" operator="greaterThan">
      <formula>$I$82</formula>
    </cfRule>
  </conditionalFormatting>
  <conditionalFormatting sqref="I84">
    <cfRule type="cellIs" dxfId="185" priority="11" operator="greaterThan">
      <formula>$I$83</formula>
    </cfRule>
  </conditionalFormatting>
  <conditionalFormatting sqref="I85">
    <cfRule type="cellIs" dxfId="184" priority="10" operator="greaterThan">
      <formula>$I$84</formula>
    </cfRule>
  </conditionalFormatting>
  <conditionalFormatting sqref="I86">
    <cfRule type="cellIs" dxfId="183" priority="9" operator="greaterThan">
      <formula>$I$85</formula>
    </cfRule>
  </conditionalFormatting>
  <pageMargins left="0.7" right="0.7" top="0.75" bottom="0.75" header="0.3" footer="0.3"/>
  <pageSetup paperSize="8" scale="57" orientation="landscape" r:id="rId1"/>
  <ignoredErrors>
    <ignoredError sqref="I60 G12"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L93"/>
  <sheetViews>
    <sheetView showGridLines="0" zoomScale="80" zoomScaleNormal="80" workbookViewId="0">
      <selection activeCell="C34" sqref="C34"/>
    </sheetView>
  </sheetViews>
  <sheetFormatPr defaultColWidth="0" defaultRowHeight="0" customHeight="1" zeroHeight="1" x14ac:dyDescent="0.3"/>
  <cols>
    <col min="1" max="1" width="3.6640625" style="373" customWidth="1"/>
    <col min="2" max="2" width="44.88671875" style="372" customWidth="1"/>
    <col min="3" max="3" width="18.6640625" style="373" customWidth="1"/>
    <col min="4" max="8" width="18.6640625" style="374" customWidth="1"/>
    <col min="9" max="9" width="19.88671875" style="341" customWidth="1"/>
    <col min="10" max="12" width="18.6640625" style="373" customWidth="1"/>
    <col min="13" max="13" width="5.88671875" style="373" customWidth="1"/>
    <col min="14" max="14" width="8.88671875" style="373" hidden="1" customWidth="1"/>
    <col min="15" max="15" width="8.6640625" style="373" hidden="1" customWidth="1"/>
    <col min="16" max="16" width="8.88671875" style="373" hidden="1" customWidth="1"/>
    <col min="17" max="17" width="3.6640625" style="373" hidden="1" customWidth="1"/>
    <col min="18" max="20" width="23.6640625" style="373" hidden="1" customWidth="1"/>
    <col min="21" max="64" width="0" style="373" hidden="1" customWidth="1"/>
    <col min="65" max="16384" width="8.88671875" style="373" hidden="1"/>
  </cols>
  <sheetData>
    <row r="1" spans="1:21" ht="16.95" customHeight="1" x14ac:dyDescent="0.4">
      <c r="A1" s="371"/>
      <c r="I1" s="305"/>
    </row>
    <row r="2" spans="1:21" s="371" customFormat="1" ht="22.8" x14ac:dyDescent="0.4">
      <c r="B2" s="168" t="str">
        <f>Samenvatting!B2</f>
        <v>Europese aanbesteding Data Storage Platform</v>
      </c>
      <c r="C2" s="168"/>
      <c r="D2" s="375"/>
      <c r="E2" s="168"/>
      <c r="F2" s="168"/>
      <c r="G2" s="168"/>
      <c r="H2" s="168"/>
      <c r="I2" s="376"/>
      <c r="J2" s="377"/>
      <c r="K2" s="377"/>
      <c r="L2" s="378"/>
      <c r="M2" s="379"/>
      <c r="N2" s="379"/>
      <c r="O2" s="379"/>
      <c r="P2" s="379"/>
      <c r="Q2" s="379"/>
      <c r="R2" s="379"/>
      <c r="S2" s="379"/>
      <c r="T2" s="379"/>
      <c r="U2" s="379"/>
    </row>
    <row r="3" spans="1:21" s="339" customFormat="1" ht="21" x14ac:dyDescent="0.4">
      <c r="B3" s="184" t="s">
        <v>219</v>
      </c>
      <c r="C3" s="380"/>
      <c r="D3" s="380"/>
      <c r="E3" s="380"/>
      <c r="F3" s="380"/>
      <c r="G3" s="380"/>
      <c r="H3" s="380"/>
      <c r="I3" s="378"/>
      <c r="J3" s="381"/>
      <c r="K3" s="381"/>
      <c r="L3" s="381"/>
      <c r="M3" s="328"/>
      <c r="N3" s="328"/>
      <c r="O3" s="328"/>
      <c r="P3" s="328"/>
      <c r="Q3" s="328"/>
      <c r="R3" s="328"/>
      <c r="S3" s="328"/>
      <c r="T3" s="328"/>
      <c r="U3" s="328"/>
    </row>
    <row r="4" spans="1:21" s="339" customFormat="1" ht="15.6" x14ac:dyDescent="0.3">
      <c r="B4" s="170" t="str">
        <f>Samenvatting!B4</f>
        <v xml:space="preserve"> Kenmerk: IUC23-047</v>
      </c>
      <c r="C4" s="380"/>
      <c r="D4" s="380"/>
      <c r="E4" s="380"/>
      <c r="F4" s="380"/>
      <c r="G4" s="380"/>
      <c r="H4" s="380"/>
      <c r="I4" s="378"/>
      <c r="J4" s="381"/>
      <c r="K4" s="381"/>
      <c r="L4" s="381"/>
      <c r="M4" s="328"/>
      <c r="N4" s="328"/>
      <c r="O4" s="328"/>
      <c r="P4" s="328"/>
      <c r="Q4" s="328"/>
      <c r="R4" s="328"/>
      <c r="S4" s="328"/>
      <c r="T4" s="328"/>
      <c r="U4" s="328"/>
    </row>
    <row r="5" spans="1:21" s="339" customFormat="1" ht="15.6" x14ac:dyDescent="0.3">
      <c r="B5" s="171" t="s">
        <v>73</v>
      </c>
      <c r="C5" s="380"/>
      <c r="D5" s="380"/>
      <c r="E5" s="380"/>
      <c r="F5" s="380"/>
      <c r="G5" s="380"/>
      <c r="H5" s="380"/>
      <c r="I5" s="378"/>
      <c r="J5" s="381"/>
      <c r="K5" s="381"/>
      <c r="L5" s="381"/>
      <c r="M5" s="328"/>
      <c r="N5" s="328"/>
      <c r="O5" s="328"/>
      <c r="P5" s="328"/>
      <c r="Q5" s="328"/>
      <c r="R5" s="328"/>
      <c r="S5" s="328"/>
      <c r="T5" s="328"/>
      <c r="U5" s="328"/>
    </row>
    <row r="6" spans="1:21" s="339" customFormat="1" ht="15.6" x14ac:dyDescent="0.3">
      <c r="B6" s="171"/>
      <c r="C6" s="380"/>
      <c r="D6" s="380"/>
      <c r="E6" s="380"/>
      <c r="F6" s="380"/>
      <c r="G6" s="380"/>
      <c r="H6" s="380"/>
      <c r="I6" s="378"/>
      <c r="J6" s="381"/>
      <c r="K6" s="381"/>
      <c r="L6" s="381"/>
      <c r="M6" s="328"/>
      <c r="N6" s="328"/>
      <c r="O6" s="328"/>
      <c r="P6" s="328"/>
      <c r="Q6" s="328"/>
      <c r="R6" s="328"/>
      <c r="S6" s="328"/>
      <c r="T6" s="328"/>
      <c r="U6" s="328"/>
    </row>
    <row r="7" spans="1:21" s="339" customFormat="1" ht="15.6" x14ac:dyDescent="0.3">
      <c r="B7" s="382"/>
      <c r="C7" s="383"/>
      <c r="D7" s="383"/>
      <c r="E7" s="383"/>
      <c r="F7" s="383"/>
      <c r="G7" s="383"/>
      <c r="H7" s="383"/>
      <c r="I7" s="305"/>
      <c r="J7" s="328"/>
      <c r="K7" s="328"/>
      <c r="L7" s="328"/>
      <c r="M7" s="328"/>
      <c r="N7" s="328"/>
      <c r="O7" s="328"/>
      <c r="P7" s="328"/>
      <c r="Q7" s="328"/>
      <c r="R7" s="328"/>
      <c r="S7" s="328"/>
      <c r="T7" s="328"/>
      <c r="U7" s="328"/>
    </row>
    <row r="8" spans="1:21" s="339" customFormat="1" ht="13.8" x14ac:dyDescent="0.25">
      <c r="B8" s="254" t="s">
        <v>1</v>
      </c>
      <c r="C8" s="255"/>
      <c r="D8" s="256"/>
      <c r="E8" s="480" t="s">
        <v>160</v>
      </c>
      <c r="F8" s="481" t="s">
        <v>161</v>
      </c>
      <c r="G8" s="481" t="s">
        <v>154</v>
      </c>
      <c r="H8" s="481" t="s">
        <v>155</v>
      </c>
      <c r="I8" s="481" t="s">
        <v>156</v>
      </c>
      <c r="J8" s="481" t="s">
        <v>157</v>
      </c>
      <c r="K8" s="481" t="s">
        <v>158</v>
      </c>
      <c r="L8" s="481" t="s">
        <v>159</v>
      </c>
      <c r="M8" s="328"/>
      <c r="N8" s="328"/>
      <c r="O8" s="328"/>
      <c r="P8" s="328"/>
      <c r="Q8" s="328"/>
      <c r="R8" s="328"/>
      <c r="S8" s="328"/>
      <c r="T8" s="328"/>
      <c r="U8" s="328"/>
    </row>
    <row r="9" spans="1:21" s="339" customFormat="1" ht="13.8" x14ac:dyDescent="0.25">
      <c r="B9" s="257" t="s">
        <v>0</v>
      </c>
      <c r="C9" s="258" t="s">
        <v>0</v>
      </c>
      <c r="D9" s="258"/>
      <c r="E9" s="480"/>
      <c r="F9" s="482"/>
      <c r="G9" s="482"/>
      <c r="H9" s="482"/>
      <c r="I9" s="482"/>
      <c r="J9" s="482"/>
      <c r="K9" s="482"/>
      <c r="L9" s="482"/>
      <c r="M9" s="328"/>
      <c r="N9" s="328"/>
      <c r="O9" s="328"/>
      <c r="P9" s="328"/>
      <c r="Q9" s="328"/>
      <c r="R9" s="328"/>
      <c r="S9" s="328"/>
      <c r="T9" s="328"/>
      <c r="U9" s="328"/>
    </row>
    <row r="10" spans="1:21" s="339" customFormat="1" ht="13.8" x14ac:dyDescent="0.25">
      <c r="B10" s="484" t="s">
        <v>268</v>
      </c>
      <c r="C10" s="483" t="s">
        <v>152</v>
      </c>
      <c r="D10" s="483"/>
      <c r="E10" s="259">
        <v>750</v>
      </c>
      <c r="F10" s="259">
        <f>1.1*E10</f>
        <v>825.00000000000011</v>
      </c>
      <c r="G10" s="259">
        <v>900</v>
      </c>
      <c r="H10" s="259">
        <v>1000</v>
      </c>
      <c r="I10" s="259">
        <v>1100</v>
      </c>
      <c r="J10" s="259">
        <v>1200</v>
      </c>
      <c r="K10" s="259">
        <v>1325</v>
      </c>
      <c r="L10" s="259">
        <v>1450</v>
      </c>
      <c r="M10" s="328"/>
      <c r="N10" s="328"/>
      <c r="O10" s="328"/>
      <c r="P10" s="328"/>
      <c r="Q10" s="328"/>
      <c r="R10" s="328"/>
      <c r="S10" s="328"/>
      <c r="T10" s="328"/>
      <c r="U10" s="328"/>
    </row>
    <row r="11" spans="1:21" s="339" customFormat="1" ht="13.8" x14ac:dyDescent="0.25">
      <c r="B11" s="484"/>
      <c r="C11" s="483" t="s">
        <v>153</v>
      </c>
      <c r="D11" s="483"/>
      <c r="E11" s="259">
        <v>750</v>
      </c>
      <c r="F11" s="259">
        <f>1.1*E11</f>
        <v>825.00000000000011</v>
      </c>
      <c r="G11" s="259">
        <v>900</v>
      </c>
      <c r="H11" s="259">
        <v>1000</v>
      </c>
      <c r="I11" s="259">
        <v>1100</v>
      </c>
      <c r="J11" s="259">
        <v>1200</v>
      </c>
      <c r="K11" s="259">
        <v>1325</v>
      </c>
      <c r="L11" s="259">
        <v>1450</v>
      </c>
      <c r="M11" s="328"/>
      <c r="N11" s="328"/>
      <c r="O11" s="328"/>
      <c r="P11" s="328"/>
      <c r="Q11" s="328"/>
      <c r="R11" s="328"/>
      <c r="S11" s="328"/>
      <c r="T11" s="328"/>
      <c r="U11" s="328"/>
    </row>
    <row r="12" spans="1:21" s="339" customFormat="1" ht="13.8" x14ac:dyDescent="0.25">
      <c r="B12" s="484"/>
      <c r="C12" s="485" t="s">
        <v>175</v>
      </c>
      <c r="D12" s="485"/>
      <c r="E12" s="261">
        <f>SUM(E10:E11)</f>
        <v>1500</v>
      </c>
      <c r="F12" s="261">
        <f>SUM(F10:F11)</f>
        <v>1650.0000000000002</v>
      </c>
      <c r="G12" s="261">
        <f t="shared" ref="G12:L12" si="0">SUM(G10:G11)</f>
        <v>1800</v>
      </c>
      <c r="H12" s="261">
        <f t="shared" si="0"/>
        <v>2000</v>
      </c>
      <c r="I12" s="261">
        <f t="shared" si="0"/>
        <v>2200</v>
      </c>
      <c r="J12" s="261">
        <f t="shared" si="0"/>
        <v>2400</v>
      </c>
      <c r="K12" s="261">
        <f t="shared" si="0"/>
        <v>2650</v>
      </c>
      <c r="L12" s="261">
        <f t="shared" si="0"/>
        <v>2900</v>
      </c>
      <c r="M12" s="328"/>
      <c r="N12" s="328"/>
      <c r="O12" s="328"/>
      <c r="P12" s="328"/>
      <c r="Q12" s="328"/>
      <c r="R12" s="328"/>
      <c r="S12" s="328"/>
      <c r="T12" s="328"/>
      <c r="U12" s="328"/>
    </row>
    <row r="13" spans="1:21" s="339" customFormat="1" ht="13.8" x14ac:dyDescent="0.25">
      <c r="B13" s="484" t="s">
        <v>269</v>
      </c>
      <c r="C13" s="483" t="s">
        <v>152</v>
      </c>
      <c r="D13" s="483"/>
      <c r="E13" s="259">
        <v>750</v>
      </c>
      <c r="F13" s="259">
        <f>1.2*E13</f>
        <v>900</v>
      </c>
      <c r="G13" s="259">
        <v>1075</v>
      </c>
      <c r="H13" s="259">
        <v>1300</v>
      </c>
      <c r="I13" s="259">
        <v>1575</v>
      </c>
      <c r="J13" s="259">
        <v>1900</v>
      </c>
      <c r="K13" s="259">
        <v>2275</v>
      </c>
      <c r="L13" s="259">
        <v>2725</v>
      </c>
      <c r="M13" s="328"/>
      <c r="N13" s="328"/>
      <c r="O13" s="328"/>
      <c r="P13" s="328"/>
      <c r="Q13" s="328"/>
      <c r="R13" s="328"/>
      <c r="S13" s="328"/>
      <c r="T13" s="328"/>
      <c r="U13" s="328"/>
    </row>
    <row r="14" spans="1:21" s="339" customFormat="1" ht="13.8" x14ac:dyDescent="0.25">
      <c r="B14" s="484"/>
      <c r="C14" s="483" t="s">
        <v>153</v>
      </c>
      <c r="D14" s="483"/>
      <c r="E14" s="259">
        <v>750</v>
      </c>
      <c r="F14" s="259">
        <f t="shared" ref="F14:L14" si="1">F13</f>
        <v>900</v>
      </c>
      <c r="G14" s="259">
        <f t="shared" si="1"/>
        <v>1075</v>
      </c>
      <c r="H14" s="259">
        <f t="shared" si="1"/>
        <v>1300</v>
      </c>
      <c r="I14" s="259">
        <f t="shared" si="1"/>
        <v>1575</v>
      </c>
      <c r="J14" s="259">
        <f t="shared" si="1"/>
        <v>1900</v>
      </c>
      <c r="K14" s="259">
        <f t="shared" si="1"/>
        <v>2275</v>
      </c>
      <c r="L14" s="259">
        <f t="shared" si="1"/>
        <v>2725</v>
      </c>
      <c r="M14" s="328"/>
      <c r="N14" s="328"/>
      <c r="O14" s="328"/>
      <c r="P14" s="328"/>
      <c r="Q14" s="328"/>
      <c r="R14" s="328"/>
      <c r="S14" s="328"/>
      <c r="T14" s="328"/>
      <c r="U14" s="328"/>
    </row>
    <row r="15" spans="1:21" s="339" customFormat="1" ht="13.8" x14ac:dyDescent="0.25">
      <c r="B15" s="484"/>
      <c r="C15" s="485" t="s">
        <v>175</v>
      </c>
      <c r="D15" s="485"/>
      <c r="E15" s="261">
        <f>SUM(E13:E14)</f>
        <v>1500</v>
      </c>
      <c r="F15" s="261">
        <f t="shared" ref="F15:L15" si="2">SUM(F13:F14)</f>
        <v>1800</v>
      </c>
      <c r="G15" s="261">
        <f t="shared" si="2"/>
        <v>2150</v>
      </c>
      <c r="H15" s="261">
        <f t="shared" si="2"/>
        <v>2600</v>
      </c>
      <c r="I15" s="261">
        <f t="shared" si="2"/>
        <v>3150</v>
      </c>
      <c r="J15" s="261">
        <f t="shared" si="2"/>
        <v>3800</v>
      </c>
      <c r="K15" s="261">
        <f t="shared" si="2"/>
        <v>4550</v>
      </c>
      <c r="L15" s="261">
        <f t="shared" si="2"/>
        <v>5450</v>
      </c>
      <c r="M15" s="328"/>
      <c r="N15" s="328"/>
      <c r="O15" s="328"/>
      <c r="P15" s="328"/>
      <c r="Q15" s="328"/>
      <c r="R15" s="328"/>
      <c r="S15" s="328"/>
      <c r="T15" s="328"/>
      <c r="U15" s="328"/>
    </row>
    <row r="16" spans="1:21" s="339" customFormat="1" ht="11.4" thickBot="1" x14ac:dyDescent="0.3">
      <c r="B16" s="384"/>
      <c r="C16" s="384"/>
      <c r="D16" s="384"/>
      <c r="E16" s="384"/>
      <c r="F16" s="384"/>
      <c r="G16" s="384"/>
      <c r="H16" s="384"/>
      <c r="I16" s="384"/>
      <c r="J16" s="384"/>
      <c r="K16" s="384"/>
      <c r="L16" s="384"/>
      <c r="M16" s="328"/>
      <c r="N16" s="328"/>
      <c r="O16" s="328"/>
      <c r="P16" s="328"/>
      <c r="Q16" s="328"/>
      <c r="R16" s="328"/>
      <c r="S16" s="328"/>
      <c r="T16" s="328"/>
      <c r="U16" s="328"/>
    </row>
    <row r="17" spans="2:21" s="339" customFormat="1" ht="10.8" x14ac:dyDescent="0.25">
      <c r="B17" s="383"/>
      <c r="C17" s="383"/>
      <c r="D17" s="383"/>
      <c r="E17" s="383"/>
      <c r="F17" s="383"/>
      <c r="G17" s="383"/>
      <c r="H17" s="383"/>
      <c r="I17" s="383"/>
      <c r="J17" s="383"/>
      <c r="K17" s="383"/>
      <c r="L17" s="383"/>
      <c r="M17" s="328"/>
      <c r="N17" s="328"/>
      <c r="O17" s="328"/>
      <c r="P17" s="328"/>
      <c r="Q17" s="328"/>
      <c r="R17" s="328"/>
      <c r="S17" s="328"/>
      <c r="T17" s="328"/>
      <c r="U17" s="328"/>
    </row>
    <row r="18" spans="2:21" s="339" customFormat="1" ht="15.6" x14ac:dyDescent="0.3">
      <c r="B18" s="172" t="s">
        <v>173</v>
      </c>
      <c r="C18" s="267"/>
      <c r="D18" s="267"/>
      <c r="E18" s="268"/>
      <c r="F18" s="268"/>
      <c r="G18" s="268"/>
      <c r="H18" s="385"/>
      <c r="I18" s="305"/>
      <c r="J18" s="328"/>
      <c r="K18" s="328"/>
      <c r="L18" s="328"/>
      <c r="M18" s="328"/>
      <c r="N18" s="328"/>
      <c r="O18" s="328"/>
      <c r="P18" s="328"/>
      <c r="Q18" s="328"/>
      <c r="R18" s="328"/>
      <c r="S18" s="328"/>
      <c r="T18" s="328"/>
      <c r="U18" s="328"/>
    </row>
    <row r="19" spans="2:21" s="339" customFormat="1" ht="15.6" x14ac:dyDescent="0.3">
      <c r="B19" s="382"/>
      <c r="C19" s="383"/>
      <c r="D19" s="383"/>
      <c r="E19" s="383"/>
      <c r="F19" s="383"/>
      <c r="G19" s="383"/>
      <c r="H19" s="383"/>
      <c r="I19" s="305"/>
      <c r="J19" s="328"/>
      <c r="K19" s="328"/>
      <c r="L19" s="328"/>
      <c r="M19" s="328"/>
      <c r="N19" s="328"/>
      <c r="O19" s="328"/>
      <c r="P19" s="328"/>
      <c r="Q19" s="328"/>
      <c r="R19" s="328"/>
      <c r="S19" s="328"/>
      <c r="T19" s="328"/>
      <c r="U19" s="328"/>
    </row>
    <row r="20" spans="2:21" s="339" customFormat="1" ht="15.6" x14ac:dyDescent="0.3">
      <c r="B20" s="386" t="s">
        <v>284</v>
      </c>
      <c r="C20" s="387" t="s">
        <v>7</v>
      </c>
      <c r="D20" s="387" t="s">
        <v>8</v>
      </c>
      <c r="E20" s="487" t="s">
        <v>46</v>
      </c>
      <c r="F20" s="488"/>
      <c r="G20" s="488"/>
      <c r="H20" s="489"/>
      <c r="I20" s="305"/>
      <c r="J20" s="328"/>
      <c r="K20" s="328"/>
      <c r="L20" s="328"/>
      <c r="M20" s="328"/>
      <c r="N20" s="328"/>
      <c r="O20" s="328"/>
      <c r="P20" s="328"/>
      <c r="Q20" s="328"/>
      <c r="R20" s="328"/>
      <c r="S20" s="328"/>
      <c r="T20" s="328"/>
      <c r="U20" s="328"/>
    </row>
    <row r="21" spans="2:21" s="339" customFormat="1" ht="15.6" x14ac:dyDescent="0.3">
      <c r="B21" s="4"/>
      <c r="C21" s="160"/>
      <c r="D21" s="160"/>
      <c r="E21" s="486"/>
      <c r="F21" s="486"/>
      <c r="G21" s="486"/>
      <c r="H21" s="486"/>
      <c r="I21" s="305"/>
      <c r="J21" s="328"/>
      <c r="K21" s="328"/>
      <c r="L21" s="328"/>
      <c r="M21" s="328"/>
      <c r="N21" s="328"/>
      <c r="O21" s="328"/>
      <c r="P21" s="328"/>
      <c r="Q21" s="328"/>
      <c r="R21" s="328"/>
      <c r="S21" s="328"/>
      <c r="T21" s="328"/>
      <c r="U21" s="328"/>
    </row>
    <row r="22" spans="2:21" s="339" customFormat="1" ht="15.6" x14ac:dyDescent="0.3">
      <c r="B22" s="4"/>
      <c r="C22" s="160"/>
      <c r="D22" s="160"/>
      <c r="E22" s="161"/>
      <c r="F22" s="162"/>
      <c r="G22" s="162"/>
      <c r="H22" s="163"/>
      <c r="I22" s="305"/>
      <c r="J22" s="328"/>
      <c r="K22" s="328"/>
      <c r="L22" s="328"/>
      <c r="M22" s="328"/>
      <c r="N22" s="328"/>
      <c r="O22" s="328"/>
      <c r="P22" s="328"/>
      <c r="Q22" s="328"/>
      <c r="R22" s="328"/>
      <c r="S22" s="328"/>
      <c r="T22" s="328"/>
      <c r="U22" s="328"/>
    </row>
    <row r="23" spans="2:21" s="339" customFormat="1" ht="15.6" x14ac:dyDescent="0.3">
      <c r="B23" s="4"/>
      <c r="C23" s="160"/>
      <c r="D23" s="160"/>
      <c r="E23" s="161"/>
      <c r="F23" s="162"/>
      <c r="G23" s="162"/>
      <c r="H23" s="163"/>
      <c r="I23" s="305"/>
      <c r="J23" s="328"/>
      <c r="K23" s="328"/>
      <c r="L23" s="328"/>
      <c r="M23" s="328"/>
      <c r="N23" s="328"/>
      <c r="O23" s="328"/>
      <c r="P23" s="328"/>
      <c r="Q23" s="328"/>
      <c r="R23" s="328"/>
      <c r="S23" s="328"/>
      <c r="T23" s="328"/>
      <c r="U23" s="328"/>
    </row>
    <row r="24" spans="2:21" s="339" customFormat="1" ht="15.6" x14ac:dyDescent="0.3">
      <c r="B24" s="4"/>
      <c r="C24" s="160"/>
      <c r="D24" s="160"/>
      <c r="E24" s="490"/>
      <c r="F24" s="491"/>
      <c r="G24" s="491"/>
      <c r="H24" s="492"/>
      <c r="I24" s="305"/>
      <c r="J24" s="328"/>
      <c r="K24" s="328"/>
      <c r="L24" s="328"/>
      <c r="M24" s="328"/>
      <c r="N24" s="328"/>
      <c r="O24" s="328"/>
      <c r="P24" s="328"/>
      <c r="Q24" s="328"/>
      <c r="R24" s="328"/>
      <c r="S24" s="328"/>
      <c r="T24" s="328"/>
      <c r="U24" s="328"/>
    </row>
    <row r="25" spans="2:21" s="339" customFormat="1" ht="15.6" x14ac:dyDescent="0.3">
      <c r="B25" s="4" t="s">
        <v>0</v>
      </c>
      <c r="C25" s="160"/>
      <c r="D25" s="160"/>
      <c r="E25" s="486"/>
      <c r="F25" s="486"/>
      <c r="G25" s="486"/>
      <c r="H25" s="486"/>
      <c r="I25" s="305"/>
      <c r="J25" s="328"/>
      <c r="K25" s="328"/>
      <c r="L25" s="328"/>
      <c r="M25" s="328"/>
      <c r="N25" s="328"/>
      <c r="O25" s="328"/>
      <c r="P25" s="328"/>
      <c r="Q25" s="328"/>
      <c r="R25" s="328"/>
      <c r="S25" s="328"/>
      <c r="T25" s="328"/>
      <c r="U25" s="328"/>
    </row>
    <row r="26" spans="2:21" s="339" customFormat="1" ht="15.6" x14ac:dyDescent="0.3">
      <c r="B26" s="4" t="s">
        <v>0</v>
      </c>
      <c r="C26" s="160"/>
      <c r="D26" s="160"/>
      <c r="E26" s="486"/>
      <c r="F26" s="486"/>
      <c r="G26" s="486"/>
      <c r="H26" s="486"/>
      <c r="I26" s="305"/>
      <c r="J26" s="328"/>
      <c r="K26" s="328"/>
      <c r="L26" s="328"/>
      <c r="M26" s="328"/>
      <c r="N26" s="328"/>
      <c r="O26" s="328"/>
      <c r="P26" s="328"/>
      <c r="Q26" s="328"/>
      <c r="R26" s="328"/>
      <c r="S26" s="328"/>
      <c r="T26" s="328"/>
      <c r="U26" s="328"/>
    </row>
    <row r="27" spans="2:21" s="339" customFormat="1" ht="15.6" x14ac:dyDescent="0.3">
      <c r="B27" s="4" t="s">
        <v>0</v>
      </c>
      <c r="C27" s="160"/>
      <c r="D27" s="160"/>
      <c r="E27" s="486"/>
      <c r="F27" s="486"/>
      <c r="G27" s="486"/>
      <c r="H27" s="486"/>
      <c r="I27" s="305"/>
      <c r="J27" s="328"/>
      <c r="K27" s="328"/>
      <c r="L27" s="328"/>
      <c r="M27" s="328"/>
      <c r="N27" s="328"/>
      <c r="O27" s="328"/>
      <c r="P27" s="328"/>
      <c r="Q27" s="328"/>
      <c r="R27" s="328"/>
      <c r="S27" s="328"/>
      <c r="T27" s="328"/>
      <c r="U27" s="328"/>
    </row>
    <row r="28" spans="2:21" s="339" customFormat="1" ht="14.4" thickBot="1" x14ac:dyDescent="0.35">
      <c r="B28" s="388" t="s">
        <v>45</v>
      </c>
      <c r="C28" s="384"/>
      <c r="D28" s="384"/>
      <c r="E28" s="384"/>
      <c r="F28" s="384"/>
      <c r="G28" s="384"/>
      <c r="H28" s="384"/>
      <c r="I28" s="384"/>
      <c r="J28" s="384"/>
      <c r="K28" s="384"/>
      <c r="L28" s="384"/>
      <c r="M28" s="328"/>
      <c r="N28" s="328"/>
      <c r="O28" s="328"/>
      <c r="P28" s="328"/>
      <c r="Q28" s="328"/>
      <c r="R28" s="328"/>
      <c r="S28" s="328"/>
      <c r="T28" s="328"/>
      <c r="U28" s="328"/>
    </row>
    <row r="29" spans="2:21" s="339" customFormat="1" ht="13.8" x14ac:dyDescent="0.3">
      <c r="B29" s="382"/>
      <c r="C29" s="383"/>
      <c r="D29" s="383"/>
      <c r="E29" s="383"/>
      <c r="F29" s="383"/>
      <c r="G29" s="383"/>
      <c r="H29" s="383"/>
      <c r="I29" s="383"/>
      <c r="J29" s="383"/>
      <c r="K29" s="383"/>
      <c r="L29" s="383"/>
      <c r="M29" s="328"/>
      <c r="N29" s="328"/>
      <c r="O29" s="328"/>
      <c r="P29" s="328"/>
      <c r="Q29" s="328"/>
      <c r="R29" s="328"/>
      <c r="S29" s="328"/>
      <c r="T29" s="328"/>
      <c r="U29" s="328"/>
    </row>
    <row r="30" spans="2:21" s="339" customFormat="1" ht="15.6" x14ac:dyDescent="0.3">
      <c r="B30" s="172" t="s">
        <v>262</v>
      </c>
      <c r="C30" s="267"/>
      <c r="D30" s="267"/>
      <c r="E30" s="268"/>
      <c r="F30" s="268"/>
      <c r="G30" s="268"/>
      <c r="H30" s="268"/>
      <c r="I30" s="268"/>
      <c r="J30" s="268"/>
      <c r="K30" s="268"/>
      <c r="L30" s="268"/>
      <c r="M30" s="328"/>
      <c r="N30" s="328"/>
      <c r="O30" s="328"/>
      <c r="P30" s="328"/>
      <c r="Q30" s="328"/>
      <c r="R30" s="328"/>
      <c r="S30" s="328"/>
      <c r="T30" s="328"/>
      <c r="U30" s="328"/>
    </row>
    <row r="31" spans="2:21" s="339" customFormat="1" ht="15.6" x14ac:dyDescent="0.3">
      <c r="B31" s="389"/>
      <c r="C31" s="389"/>
      <c r="D31" s="389"/>
      <c r="E31" s="389"/>
      <c r="F31" s="389"/>
      <c r="G31" s="389"/>
      <c r="H31" s="389"/>
      <c r="I31" s="305"/>
      <c r="J31" s="328"/>
      <c r="K31" s="328"/>
      <c r="L31" s="328"/>
      <c r="M31" s="328"/>
      <c r="N31" s="328"/>
      <c r="O31" s="328"/>
      <c r="P31" s="328"/>
      <c r="Q31" s="328"/>
      <c r="R31" s="328"/>
      <c r="S31" s="328"/>
      <c r="T31" s="328"/>
      <c r="U31" s="328"/>
    </row>
    <row r="32" spans="2:21" s="339" customFormat="1" ht="15.6" x14ac:dyDescent="0.3">
      <c r="B32" s="301" t="s">
        <v>209</v>
      </c>
      <c r="C32" s="302" t="s">
        <v>0</v>
      </c>
      <c r="D32" s="344"/>
      <c r="E32" s="303" t="s">
        <v>0</v>
      </c>
      <c r="F32" s="303"/>
      <c r="G32" s="303"/>
      <c r="H32" s="304"/>
      <c r="I32" s="305"/>
      <c r="J32" s="301" t="s">
        <v>271</v>
      </c>
      <c r="K32" s="306"/>
      <c r="L32" s="307"/>
      <c r="M32" s="328"/>
      <c r="N32" s="328"/>
      <c r="O32" s="328"/>
      <c r="P32" s="328"/>
      <c r="Q32" s="328"/>
      <c r="R32" s="328"/>
      <c r="S32" s="328"/>
      <c r="T32" s="328"/>
      <c r="U32" s="328"/>
    </row>
    <row r="33" spans="2:23" s="339" customFormat="1" ht="27.6" x14ac:dyDescent="0.3">
      <c r="B33" s="308" t="s">
        <v>19</v>
      </c>
      <c r="C33" s="309" t="str">
        <f>"Vergoeding per " &amp;+B34</f>
        <v>Vergoeding per TB</v>
      </c>
      <c r="D33" s="200" t="s">
        <v>273</v>
      </c>
      <c r="E33" s="310"/>
      <c r="F33" s="310"/>
      <c r="G33" s="310"/>
      <c r="H33" s="311"/>
      <c r="I33" s="305"/>
      <c r="J33" s="312"/>
      <c r="K33" s="313"/>
      <c r="L33" s="314"/>
      <c r="M33" s="328"/>
      <c r="N33" s="328"/>
      <c r="O33" s="328"/>
      <c r="P33" s="328"/>
      <c r="Q33" s="328"/>
      <c r="R33" s="328"/>
      <c r="S33" s="328"/>
      <c r="T33" s="328"/>
      <c r="U33" s="328"/>
    </row>
    <row r="34" spans="2:23" s="339" customFormat="1" ht="15.6" x14ac:dyDescent="0.3">
      <c r="B34" s="315" t="s">
        <v>163</v>
      </c>
      <c r="C34" s="5"/>
      <c r="D34" s="6"/>
      <c r="E34" s="310" t="s">
        <v>0</v>
      </c>
      <c r="F34" s="310"/>
      <c r="G34" s="310"/>
      <c r="H34" s="311"/>
      <c r="I34" s="305"/>
      <c r="J34" s="316">
        <f>+D34</f>
        <v>0</v>
      </c>
      <c r="K34" s="313"/>
      <c r="L34" s="314"/>
      <c r="M34" s="328"/>
      <c r="N34" s="328"/>
      <c r="O34" s="328"/>
      <c r="P34" s="328"/>
      <c r="Q34" s="328"/>
      <c r="R34" s="328"/>
      <c r="S34" s="328"/>
      <c r="T34" s="328"/>
      <c r="U34" s="328"/>
    </row>
    <row r="35" spans="2:23" s="339" customFormat="1" ht="27.6" x14ac:dyDescent="0.3">
      <c r="B35" s="317"/>
      <c r="C35" s="310"/>
      <c r="D35" s="310"/>
      <c r="E35" s="186" t="s">
        <v>0</v>
      </c>
      <c r="F35" s="186"/>
      <c r="G35" s="186" t="s">
        <v>0</v>
      </c>
      <c r="H35" s="201" t="s">
        <v>75</v>
      </c>
      <c r="I35" s="305"/>
      <c r="J35" s="312"/>
      <c r="K35" s="313"/>
      <c r="L35" s="463" t="s">
        <v>270</v>
      </c>
      <c r="M35" s="328"/>
      <c r="N35" s="328"/>
      <c r="O35" s="328"/>
      <c r="P35" s="328"/>
      <c r="Q35" s="328"/>
      <c r="R35" s="328"/>
      <c r="S35" s="328"/>
      <c r="T35" s="328"/>
      <c r="U35" s="328"/>
    </row>
    <row r="36" spans="2:23" s="339" customFormat="1" ht="15.6" customHeight="1" x14ac:dyDescent="0.3">
      <c r="B36" s="318" t="s">
        <v>16</v>
      </c>
      <c r="C36" s="319"/>
      <c r="D36" s="319"/>
      <c r="E36" s="477" t="str">
        <f>"# "&amp;B34</f>
        <v># TB</v>
      </c>
      <c r="F36" s="320"/>
      <c r="G36" s="320" t="s">
        <v>0</v>
      </c>
      <c r="H36" s="218" t="s">
        <v>76</v>
      </c>
      <c r="I36" s="305"/>
      <c r="J36" s="312"/>
      <c r="K36" s="313"/>
      <c r="L36" s="463"/>
      <c r="M36" s="328"/>
      <c r="N36" s="328"/>
      <c r="O36" s="328"/>
      <c r="P36" s="328"/>
      <c r="Q36" s="328"/>
      <c r="R36" s="328"/>
      <c r="S36" s="328"/>
      <c r="T36" s="328"/>
      <c r="U36" s="328"/>
      <c r="V36" s="328"/>
    </row>
    <row r="37" spans="2:23" s="339" customFormat="1" ht="15.6" customHeight="1" x14ac:dyDescent="0.3">
      <c r="B37" s="321"/>
      <c r="C37" s="475" t="str">
        <f>"# "&amp;B34</f>
        <v># TB</v>
      </c>
      <c r="D37" s="476"/>
      <c r="E37" s="478"/>
      <c r="F37" s="200" t="s">
        <v>74</v>
      </c>
      <c r="G37" s="320" t="s">
        <v>78</v>
      </c>
      <c r="H37" s="322" t="s">
        <v>77</v>
      </c>
      <c r="I37" s="305"/>
      <c r="J37" s="312"/>
      <c r="K37" s="320" t="s">
        <v>78</v>
      </c>
      <c r="L37" s="463"/>
      <c r="M37" s="328"/>
      <c r="N37" s="328"/>
      <c r="O37" s="328"/>
      <c r="P37" s="328"/>
      <c r="Q37" s="328"/>
      <c r="R37" s="328"/>
      <c r="S37" s="328"/>
      <c r="T37" s="328"/>
      <c r="U37" s="328"/>
      <c r="V37" s="328"/>
    </row>
    <row r="38" spans="2:23" s="339" customFormat="1" ht="15.6" customHeight="1" x14ac:dyDescent="0.3">
      <c r="B38" s="323" t="s">
        <v>15</v>
      </c>
      <c r="C38" s="324" t="s">
        <v>17</v>
      </c>
      <c r="D38" s="325" t="s">
        <v>18</v>
      </c>
      <c r="E38" s="326" t="s">
        <v>43</v>
      </c>
      <c r="F38" s="327" t="str">
        <f>B34</f>
        <v>TB</v>
      </c>
      <c r="G38" s="327" t="s">
        <v>79</v>
      </c>
      <c r="H38" s="210" t="s">
        <v>66</v>
      </c>
      <c r="I38" s="305"/>
      <c r="J38" s="390"/>
      <c r="K38" s="327" t="s">
        <v>79</v>
      </c>
      <c r="L38" s="464"/>
      <c r="M38" s="305"/>
      <c r="N38" s="328" t="s">
        <v>42</v>
      </c>
      <c r="O38" s="328" t="s">
        <v>42</v>
      </c>
      <c r="P38" s="328" t="s">
        <v>42</v>
      </c>
      <c r="Q38" s="329"/>
      <c r="R38" s="328" t="s">
        <v>41</v>
      </c>
      <c r="S38" s="328" t="s">
        <v>40</v>
      </c>
      <c r="T38" s="328" t="s">
        <v>39</v>
      </c>
      <c r="U38" s="328"/>
      <c r="V38" s="328"/>
      <c r="W38" s="328"/>
    </row>
    <row r="39" spans="2:23" s="339" customFormat="1" ht="15.6" x14ac:dyDescent="0.3">
      <c r="B39" s="330" t="s">
        <v>20</v>
      </c>
      <c r="C39" s="331">
        <v>1</v>
      </c>
      <c r="D39" s="7"/>
      <c r="E39" s="332" t="str">
        <f>IF(+D39&lt;&gt;0,D39,"&gt;")</f>
        <v>&gt;</v>
      </c>
      <c r="F39" s="333">
        <f>+$C$34</f>
        <v>0</v>
      </c>
      <c r="G39" s="8"/>
      <c r="H39" s="334">
        <f t="shared" ref="H39:H47" si="3">IF(N39=2,"",+$C$34*(1-G39))</f>
        <v>0</v>
      </c>
      <c r="I39" s="305"/>
      <c r="J39" s="333">
        <f t="shared" ref="J39:J47" si="4">IF(N39=2,"",$J$34)</f>
        <v>0</v>
      </c>
      <c r="K39" s="8"/>
      <c r="L39" s="334">
        <f t="shared" ref="L39:L47" si="5">IF(N39=2,"",+$D$34*(1-K39))</f>
        <v>0</v>
      </c>
      <c r="M39" s="305"/>
      <c r="N39" s="335">
        <f t="shared" ref="N39:N47" si="6">IF(AND(C39&lt;&gt;" ",D39="&gt;"),0,IF(AND(C39=" ",D39="&gt;"),2,1))</f>
        <v>1</v>
      </c>
      <c r="O39" s="335">
        <v>0</v>
      </c>
      <c r="P39" s="335">
        <v>0</v>
      </c>
      <c r="Q39" s="329"/>
      <c r="R39" s="336" t="str">
        <f t="shared" ref="R39:R47" si="7">C39&amp; " t/m " &amp; D39 &amp; " " &amp; $B$34 &amp; "s"</f>
        <v>1 t/m  TBs</v>
      </c>
      <c r="S39" s="336" t="str">
        <f t="shared" ref="S39:S47" si="8" xml:space="preserve"> "1 t/m " &amp; E39 &amp; " " &amp; $B$34 &amp; "s"</f>
        <v>1 t/m &gt; TBs</v>
      </c>
      <c r="T39" s="336" t="str">
        <f t="shared" ref="T39:T47" si="9">E39&amp;" "&amp;D38&amp;" "&amp;$B$34&amp;"s"</f>
        <v>&gt; tot en met TBs</v>
      </c>
      <c r="U39" s="328"/>
      <c r="V39" s="328"/>
    </row>
    <row r="40" spans="2:23" s="339" customFormat="1" ht="15.6" x14ac:dyDescent="0.3">
      <c r="B40" s="337" t="s">
        <v>21</v>
      </c>
      <c r="C40" s="331">
        <f t="shared" ref="C40:C47" si="10">IF(ISERROR(+D39+1)," ",D39+1)</f>
        <v>1</v>
      </c>
      <c r="D40" s="7"/>
      <c r="E40" s="332" t="str">
        <f t="shared" ref="E40:E47" si="11">IF(N40=2,"",IF(+D40&lt;&gt;0,D40,"&gt;"))</f>
        <v>&gt;</v>
      </c>
      <c r="F40" s="333">
        <f t="shared" ref="F40:F47" si="12">IF(N40=2," ",+$C$34)</f>
        <v>0</v>
      </c>
      <c r="G40" s="8"/>
      <c r="H40" s="334">
        <f t="shared" si="3"/>
        <v>0</v>
      </c>
      <c r="I40" s="305"/>
      <c r="J40" s="333">
        <f t="shared" si="4"/>
        <v>0</v>
      </c>
      <c r="K40" s="8"/>
      <c r="L40" s="334">
        <f t="shared" si="5"/>
        <v>0</v>
      </c>
      <c r="M40" s="305"/>
      <c r="N40" s="335">
        <f t="shared" si="6"/>
        <v>1</v>
      </c>
      <c r="O40" s="335">
        <f t="shared" ref="O40:O47" si="13">IF(N40&lt;&gt;2,IF(H40&gt;H39,1,0),0)</f>
        <v>0</v>
      </c>
      <c r="P40" s="335">
        <f t="shared" ref="P40:P47" si="14">IF(N40&lt;&gt;2,IF(L40&gt;L39,1,0),0)</f>
        <v>0</v>
      </c>
      <c r="Q40" s="329"/>
      <c r="R40" s="336" t="str">
        <f t="shared" si="7"/>
        <v>1 t/m  TBs</v>
      </c>
      <c r="S40" s="336" t="str">
        <f t="shared" si="8"/>
        <v>1 t/m &gt; TBs</v>
      </c>
      <c r="T40" s="336" t="str">
        <f t="shared" si="9"/>
        <v>&gt;  TBs</v>
      </c>
      <c r="U40" s="328"/>
      <c r="V40" s="328"/>
    </row>
    <row r="41" spans="2:23" s="339" customFormat="1" ht="15.6" x14ac:dyDescent="0.3">
      <c r="B41" s="338" t="s">
        <v>22</v>
      </c>
      <c r="C41" s="331">
        <f t="shared" si="10"/>
        <v>1</v>
      </c>
      <c r="D41" s="7"/>
      <c r="E41" s="332" t="str">
        <f t="shared" si="11"/>
        <v>&gt;</v>
      </c>
      <c r="F41" s="333">
        <f t="shared" si="12"/>
        <v>0</v>
      </c>
      <c r="G41" s="8"/>
      <c r="H41" s="334">
        <f t="shared" si="3"/>
        <v>0</v>
      </c>
      <c r="I41" s="305"/>
      <c r="J41" s="333">
        <f t="shared" si="4"/>
        <v>0</v>
      </c>
      <c r="K41" s="8"/>
      <c r="L41" s="334">
        <f t="shared" si="5"/>
        <v>0</v>
      </c>
      <c r="M41" s="305"/>
      <c r="N41" s="335">
        <f t="shared" si="6"/>
        <v>1</v>
      </c>
      <c r="O41" s="335">
        <f t="shared" si="13"/>
        <v>0</v>
      </c>
      <c r="P41" s="335">
        <f t="shared" si="14"/>
        <v>0</v>
      </c>
      <c r="Q41" s="329"/>
      <c r="R41" s="336" t="str">
        <f t="shared" si="7"/>
        <v>1 t/m  TBs</v>
      </c>
      <c r="S41" s="336" t="str">
        <f t="shared" si="8"/>
        <v>1 t/m &gt; TBs</v>
      </c>
      <c r="T41" s="336" t="str">
        <f t="shared" si="9"/>
        <v>&gt;  TBs</v>
      </c>
      <c r="U41" s="328"/>
      <c r="V41" s="328"/>
    </row>
    <row r="42" spans="2:23" s="339" customFormat="1" ht="15.6" x14ac:dyDescent="0.3">
      <c r="B42" s="338" t="s">
        <v>23</v>
      </c>
      <c r="C42" s="331">
        <f t="shared" si="10"/>
        <v>1</v>
      </c>
      <c r="D42" s="7"/>
      <c r="E42" s="332" t="str">
        <f t="shared" si="11"/>
        <v>&gt;</v>
      </c>
      <c r="F42" s="333">
        <f t="shared" si="12"/>
        <v>0</v>
      </c>
      <c r="G42" s="8"/>
      <c r="H42" s="334">
        <f t="shared" si="3"/>
        <v>0</v>
      </c>
      <c r="I42" s="305"/>
      <c r="J42" s="333">
        <f t="shared" si="4"/>
        <v>0</v>
      </c>
      <c r="K42" s="8"/>
      <c r="L42" s="334">
        <f t="shared" si="5"/>
        <v>0</v>
      </c>
      <c r="M42" s="305"/>
      <c r="N42" s="335">
        <f t="shared" si="6"/>
        <v>1</v>
      </c>
      <c r="O42" s="335">
        <f t="shared" si="13"/>
        <v>0</v>
      </c>
      <c r="P42" s="335">
        <f t="shared" si="14"/>
        <v>0</v>
      </c>
      <c r="Q42" s="329"/>
      <c r="R42" s="336" t="str">
        <f t="shared" si="7"/>
        <v>1 t/m  TBs</v>
      </c>
      <c r="S42" s="336" t="str">
        <f t="shared" si="8"/>
        <v>1 t/m &gt; TBs</v>
      </c>
      <c r="T42" s="336" t="str">
        <f t="shared" si="9"/>
        <v>&gt;  TBs</v>
      </c>
      <c r="U42" s="328"/>
      <c r="V42" s="328"/>
    </row>
    <row r="43" spans="2:23" s="339" customFormat="1" ht="15.6" x14ac:dyDescent="0.3">
      <c r="B43" s="330" t="s">
        <v>24</v>
      </c>
      <c r="C43" s="331">
        <f t="shared" si="10"/>
        <v>1</v>
      </c>
      <c r="D43" s="7"/>
      <c r="E43" s="332" t="str">
        <f t="shared" si="11"/>
        <v>&gt;</v>
      </c>
      <c r="F43" s="333">
        <f t="shared" si="12"/>
        <v>0</v>
      </c>
      <c r="G43" s="8"/>
      <c r="H43" s="334">
        <f t="shared" si="3"/>
        <v>0</v>
      </c>
      <c r="I43" s="305"/>
      <c r="J43" s="333">
        <f t="shared" si="4"/>
        <v>0</v>
      </c>
      <c r="K43" s="8"/>
      <c r="L43" s="334">
        <f t="shared" si="5"/>
        <v>0</v>
      </c>
      <c r="M43" s="305"/>
      <c r="N43" s="335">
        <f t="shared" si="6"/>
        <v>1</v>
      </c>
      <c r="O43" s="335">
        <f t="shared" si="13"/>
        <v>0</v>
      </c>
      <c r="P43" s="335">
        <f t="shared" si="14"/>
        <v>0</v>
      </c>
      <c r="Q43" s="329"/>
      <c r="R43" s="336" t="str">
        <f t="shared" si="7"/>
        <v>1 t/m  TBs</v>
      </c>
      <c r="S43" s="336" t="str">
        <f t="shared" si="8"/>
        <v>1 t/m &gt; TBs</v>
      </c>
      <c r="T43" s="336" t="str">
        <f t="shared" si="9"/>
        <v>&gt;  TBs</v>
      </c>
      <c r="U43" s="328"/>
      <c r="V43" s="328"/>
    </row>
    <row r="44" spans="2:23" s="339" customFormat="1" ht="15.6" x14ac:dyDescent="0.3">
      <c r="B44" s="337" t="s">
        <v>25</v>
      </c>
      <c r="C44" s="331">
        <f t="shared" si="10"/>
        <v>1</v>
      </c>
      <c r="D44" s="7"/>
      <c r="E44" s="332" t="str">
        <f t="shared" si="11"/>
        <v>&gt;</v>
      </c>
      <c r="F44" s="333">
        <f t="shared" si="12"/>
        <v>0</v>
      </c>
      <c r="G44" s="8"/>
      <c r="H44" s="334">
        <f t="shared" si="3"/>
        <v>0</v>
      </c>
      <c r="I44" s="305"/>
      <c r="J44" s="333">
        <f t="shared" si="4"/>
        <v>0</v>
      </c>
      <c r="K44" s="8"/>
      <c r="L44" s="334">
        <f t="shared" si="5"/>
        <v>0</v>
      </c>
      <c r="M44" s="305"/>
      <c r="N44" s="335">
        <f t="shared" si="6"/>
        <v>1</v>
      </c>
      <c r="O44" s="335">
        <f t="shared" si="13"/>
        <v>0</v>
      </c>
      <c r="P44" s="335">
        <f t="shared" si="14"/>
        <v>0</v>
      </c>
      <c r="Q44" s="329"/>
      <c r="R44" s="336" t="str">
        <f t="shared" si="7"/>
        <v>1 t/m  TBs</v>
      </c>
      <c r="S44" s="336" t="str">
        <f t="shared" si="8"/>
        <v>1 t/m &gt; TBs</v>
      </c>
      <c r="T44" s="336" t="str">
        <f t="shared" si="9"/>
        <v>&gt;  TBs</v>
      </c>
      <c r="U44" s="328"/>
      <c r="V44" s="328"/>
    </row>
    <row r="45" spans="2:23" s="339" customFormat="1" ht="15.6" x14ac:dyDescent="0.3">
      <c r="B45" s="337" t="s">
        <v>26</v>
      </c>
      <c r="C45" s="331">
        <f t="shared" si="10"/>
        <v>1</v>
      </c>
      <c r="D45" s="7"/>
      <c r="E45" s="332" t="str">
        <f t="shared" si="11"/>
        <v>&gt;</v>
      </c>
      <c r="F45" s="333">
        <f t="shared" si="12"/>
        <v>0</v>
      </c>
      <c r="G45" s="8"/>
      <c r="H45" s="334">
        <f t="shared" si="3"/>
        <v>0</v>
      </c>
      <c r="I45" s="305"/>
      <c r="J45" s="333">
        <f t="shared" si="4"/>
        <v>0</v>
      </c>
      <c r="K45" s="8"/>
      <c r="L45" s="334">
        <f t="shared" si="5"/>
        <v>0</v>
      </c>
      <c r="M45" s="305"/>
      <c r="N45" s="335">
        <f t="shared" si="6"/>
        <v>1</v>
      </c>
      <c r="O45" s="335">
        <f t="shared" si="13"/>
        <v>0</v>
      </c>
      <c r="P45" s="335">
        <f t="shared" si="14"/>
        <v>0</v>
      </c>
      <c r="Q45" s="329"/>
      <c r="R45" s="336" t="str">
        <f t="shared" si="7"/>
        <v>1 t/m  TBs</v>
      </c>
      <c r="S45" s="336" t="str">
        <f t="shared" si="8"/>
        <v>1 t/m &gt; TBs</v>
      </c>
      <c r="T45" s="336" t="str">
        <f t="shared" si="9"/>
        <v>&gt;  TBs</v>
      </c>
      <c r="U45" s="328"/>
      <c r="V45" s="328"/>
    </row>
    <row r="46" spans="2:23" s="339" customFormat="1" ht="15.6" x14ac:dyDescent="0.3">
      <c r="B46" s="337" t="s">
        <v>27</v>
      </c>
      <c r="C46" s="331">
        <f t="shared" si="10"/>
        <v>1</v>
      </c>
      <c r="D46" s="7"/>
      <c r="E46" s="332" t="str">
        <f t="shared" si="11"/>
        <v>&gt;</v>
      </c>
      <c r="F46" s="333">
        <f t="shared" si="12"/>
        <v>0</v>
      </c>
      <c r="G46" s="8"/>
      <c r="H46" s="334">
        <f t="shared" si="3"/>
        <v>0</v>
      </c>
      <c r="I46" s="305"/>
      <c r="J46" s="333">
        <f t="shared" si="4"/>
        <v>0</v>
      </c>
      <c r="K46" s="8"/>
      <c r="L46" s="334">
        <f t="shared" si="5"/>
        <v>0</v>
      </c>
      <c r="M46" s="305"/>
      <c r="N46" s="335">
        <f t="shared" si="6"/>
        <v>1</v>
      </c>
      <c r="O46" s="335">
        <f t="shared" si="13"/>
        <v>0</v>
      </c>
      <c r="P46" s="335">
        <f t="shared" si="14"/>
        <v>0</v>
      </c>
      <c r="Q46" s="329"/>
      <c r="R46" s="336" t="str">
        <f t="shared" si="7"/>
        <v>1 t/m  TBs</v>
      </c>
      <c r="S46" s="336" t="str">
        <f t="shared" si="8"/>
        <v>1 t/m &gt; TBs</v>
      </c>
      <c r="T46" s="336" t="str">
        <f t="shared" si="9"/>
        <v>&gt;  TBs</v>
      </c>
      <c r="U46" s="328"/>
      <c r="V46" s="328"/>
    </row>
    <row r="47" spans="2:23" s="339" customFormat="1" ht="15.6" x14ac:dyDescent="0.3">
      <c r="B47" s="338" t="s">
        <v>28</v>
      </c>
      <c r="C47" s="331">
        <f t="shared" si="10"/>
        <v>1</v>
      </c>
      <c r="D47" s="7"/>
      <c r="E47" s="332" t="str">
        <f t="shared" si="11"/>
        <v>&gt;</v>
      </c>
      <c r="F47" s="333">
        <f t="shared" si="12"/>
        <v>0</v>
      </c>
      <c r="G47" s="8"/>
      <c r="H47" s="334">
        <f t="shared" si="3"/>
        <v>0</v>
      </c>
      <c r="I47" s="305"/>
      <c r="J47" s="333">
        <f t="shared" si="4"/>
        <v>0</v>
      </c>
      <c r="K47" s="8"/>
      <c r="L47" s="334">
        <f t="shared" si="5"/>
        <v>0</v>
      </c>
      <c r="M47" s="305"/>
      <c r="N47" s="335">
        <f t="shared" si="6"/>
        <v>1</v>
      </c>
      <c r="O47" s="335">
        <f t="shared" si="13"/>
        <v>0</v>
      </c>
      <c r="P47" s="335">
        <f t="shared" si="14"/>
        <v>0</v>
      </c>
      <c r="Q47" s="328"/>
      <c r="R47" s="336" t="str">
        <f t="shared" si="7"/>
        <v>1 t/m  TBs</v>
      </c>
      <c r="S47" s="336" t="str">
        <f t="shared" si="8"/>
        <v>1 t/m &gt; TBs</v>
      </c>
      <c r="T47" s="336" t="str">
        <f t="shared" si="9"/>
        <v>&gt;  TBs</v>
      </c>
      <c r="U47" s="328"/>
      <c r="V47" s="328"/>
    </row>
    <row r="48" spans="2:23" s="339" customFormat="1" ht="16.2" customHeight="1" x14ac:dyDescent="0.3">
      <c r="B48" s="472" t="s">
        <v>60</v>
      </c>
      <c r="C48" s="472"/>
      <c r="D48" s="472"/>
      <c r="E48" s="472"/>
      <c r="F48" s="472"/>
      <c r="H48" s="340" t="str">
        <f>IF(O48=0,"OK","Fout !")</f>
        <v>OK</v>
      </c>
      <c r="I48" s="341" t="s">
        <v>38</v>
      </c>
      <c r="J48" s="305"/>
      <c r="L48" s="340" t="str">
        <f>IF(P48=0,"OK","Fout !")</f>
        <v>OK</v>
      </c>
      <c r="M48" s="305"/>
      <c r="N48" s="342"/>
      <c r="O48" s="335">
        <f>SUM(O39:O47)</f>
        <v>0</v>
      </c>
      <c r="P48" s="335">
        <f>SUM(P39:P47)</f>
        <v>0</v>
      </c>
      <c r="Q48" s="328"/>
      <c r="R48" s="328"/>
      <c r="S48" s="328"/>
      <c r="T48" s="328"/>
      <c r="U48" s="328"/>
      <c r="V48" s="328"/>
    </row>
    <row r="49" spans="2:22" s="339" customFormat="1" ht="15.6" x14ac:dyDescent="0.3">
      <c r="B49" s="472"/>
      <c r="C49" s="472"/>
      <c r="D49" s="472"/>
      <c r="E49" s="472"/>
      <c r="F49" s="472"/>
      <c r="I49" s="305"/>
      <c r="J49" s="305"/>
      <c r="K49" s="305"/>
      <c r="L49" s="305"/>
      <c r="M49" s="305"/>
      <c r="N49" s="342"/>
      <c r="O49" s="335"/>
      <c r="P49" s="391"/>
      <c r="Q49" s="328"/>
      <c r="R49" s="328"/>
      <c r="S49" s="328"/>
      <c r="T49" s="328"/>
      <c r="U49" s="328"/>
      <c r="V49" s="328"/>
    </row>
    <row r="50" spans="2:22" s="339" customFormat="1" ht="15.6" x14ac:dyDescent="0.3">
      <c r="B50" s="328"/>
      <c r="C50" s="389"/>
      <c r="D50" s="389"/>
      <c r="E50" s="389"/>
      <c r="F50" s="389"/>
      <c r="I50" s="305"/>
      <c r="J50" s="305"/>
      <c r="K50" s="305"/>
      <c r="L50" s="305"/>
      <c r="M50" s="305"/>
      <c r="N50" s="342"/>
      <c r="O50" s="335"/>
      <c r="P50" s="391"/>
      <c r="Q50" s="328"/>
      <c r="R50" s="328"/>
      <c r="S50" s="328"/>
      <c r="T50" s="328"/>
      <c r="U50" s="328"/>
      <c r="V50" s="328"/>
    </row>
    <row r="51" spans="2:22" s="339" customFormat="1" ht="15.6" x14ac:dyDescent="0.3">
      <c r="B51" s="301" t="s">
        <v>201</v>
      </c>
      <c r="C51" s="302" t="s">
        <v>0</v>
      </c>
      <c r="D51" s="344"/>
      <c r="E51" s="303" t="s">
        <v>0</v>
      </c>
      <c r="F51" s="303"/>
      <c r="G51" s="303"/>
      <c r="H51" s="304"/>
      <c r="I51" s="305"/>
      <c r="J51" s="301" t="s">
        <v>272</v>
      </c>
      <c r="K51" s="306"/>
      <c r="L51" s="307"/>
      <c r="M51" s="328"/>
      <c r="N51" s="328"/>
      <c r="O51" s="328"/>
      <c r="P51" s="328"/>
      <c r="Q51" s="328"/>
      <c r="R51" s="328"/>
      <c r="S51" s="328"/>
      <c r="T51" s="328"/>
      <c r="U51" s="328"/>
      <c r="V51" s="328"/>
    </row>
    <row r="52" spans="2:22" s="339" customFormat="1" ht="27.6" x14ac:dyDescent="0.3">
      <c r="B52" s="308" t="s">
        <v>19</v>
      </c>
      <c r="C52" s="309" t="str">
        <f>"Vergoeding per " &amp;+B53</f>
        <v>Vergoeding per TB</v>
      </c>
      <c r="D52" s="200" t="s">
        <v>273</v>
      </c>
      <c r="E52" s="310"/>
      <c r="F52" s="310"/>
      <c r="G52" s="310"/>
      <c r="H52" s="311"/>
      <c r="I52" s="305"/>
      <c r="J52" s="312"/>
      <c r="K52" s="313"/>
      <c r="L52" s="314"/>
      <c r="M52" s="328"/>
      <c r="N52" s="328"/>
      <c r="O52" s="328"/>
      <c r="P52" s="328"/>
      <c r="Q52" s="328"/>
      <c r="R52" s="328"/>
      <c r="S52" s="328"/>
      <c r="T52" s="328"/>
      <c r="U52" s="328"/>
      <c r="V52" s="328"/>
    </row>
    <row r="53" spans="2:22" s="339" customFormat="1" ht="15.6" x14ac:dyDescent="0.3">
      <c r="B53" s="315" t="s">
        <v>163</v>
      </c>
      <c r="C53" s="5"/>
      <c r="D53" s="6"/>
      <c r="E53" s="310" t="s">
        <v>0</v>
      </c>
      <c r="F53" s="310"/>
      <c r="G53" s="310"/>
      <c r="H53" s="311"/>
      <c r="I53" s="305"/>
      <c r="J53" s="316">
        <f>+D53</f>
        <v>0</v>
      </c>
      <c r="K53" s="313"/>
      <c r="L53" s="314"/>
      <c r="M53" s="328"/>
      <c r="N53" s="328"/>
      <c r="O53" s="328"/>
      <c r="P53" s="328"/>
      <c r="Q53" s="328"/>
      <c r="R53" s="328"/>
      <c r="S53" s="328"/>
      <c r="T53" s="328"/>
      <c r="U53" s="328"/>
      <c r="V53" s="328"/>
    </row>
    <row r="54" spans="2:22" s="339" customFormat="1" ht="27.6" x14ac:dyDescent="0.3">
      <c r="B54" s="317"/>
      <c r="C54" s="310"/>
      <c r="D54" s="310"/>
      <c r="E54" s="186" t="s">
        <v>0</v>
      </c>
      <c r="F54" s="186"/>
      <c r="G54" s="186" t="s">
        <v>0</v>
      </c>
      <c r="H54" s="201" t="s">
        <v>75</v>
      </c>
      <c r="I54" s="305"/>
      <c r="J54" s="312"/>
      <c r="K54" s="313"/>
      <c r="L54" s="463" t="s">
        <v>270</v>
      </c>
      <c r="M54" s="328"/>
      <c r="N54" s="328"/>
      <c r="O54" s="328"/>
      <c r="P54" s="328"/>
      <c r="Q54" s="328"/>
      <c r="R54" s="328"/>
      <c r="S54" s="328"/>
      <c r="T54" s="328"/>
      <c r="U54" s="328"/>
      <c r="V54" s="328"/>
    </row>
    <row r="55" spans="2:22" s="339" customFormat="1" ht="15.6" x14ac:dyDescent="0.3">
      <c r="B55" s="318" t="s">
        <v>16</v>
      </c>
      <c r="C55" s="319"/>
      <c r="D55" s="319"/>
      <c r="E55" s="477" t="str">
        <f>"# "&amp;B53</f>
        <v># TB</v>
      </c>
      <c r="F55" s="320"/>
      <c r="G55" s="320" t="s">
        <v>0</v>
      </c>
      <c r="H55" s="218" t="s">
        <v>76</v>
      </c>
      <c r="I55" s="305"/>
      <c r="J55" s="312"/>
      <c r="K55" s="313"/>
      <c r="L55" s="463"/>
      <c r="M55" s="328"/>
      <c r="N55" s="328"/>
      <c r="O55" s="328"/>
      <c r="P55" s="328"/>
      <c r="Q55" s="328"/>
      <c r="R55" s="328"/>
      <c r="S55" s="328"/>
      <c r="T55" s="328"/>
      <c r="U55" s="328"/>
      <c r="V55" s="328"/>
    </row>
    <row r="56" spans="2:22" s="339" customFormat="1" ht="15.6" x14ac:dyDescent="0.3">
      <c r="B56" s="321"/>
      <c r="C56" s="475" t="str">
        <f>"# "&amp;B53</f>
        <v># TB</v>
      </c>
      <c r="D56" s="476"/>
      <c r="E56" s="478"/>
      <c r="F56" s="200" t="s">
        <v>74</v>
      </c>
      <c r="G56" s="320" t="s">
        <v>78</v>
      </c>
      <c r="H56" s="322" t="s">
        <v>77</v>
      </c>
      <c r="I56" s="305"/>
      <c r="J56" s="312"/>
      <c r="K56" s="320" t="s">
        <v>78</v>
      </c>
      <c r="L56" s="463"/>
      <c r="M56" s="328"/>
      <c r="N56" s="328"/>
      <c r="O56" s="328"/>
      <c r="P56" s="328"/>
      <c r="Q56" s="328"/>
      <c r="R56" s="328"/>
      <c r="S56" s="328"/>
      <c r="T56" s="328"/>
      <c r="U56" s="328"/>
      <c r="V56" s="328"/>
    </row>
    <row r="57" spans="2:22" s="339" customFormat="1" ht="15.6" x14ac:dyDescent="0.3">
      <c r="B57" s="323" t="s">
        <v>15</v>
      </c>
      <c r="C57" s="324" t="s">
        <v>17</v>
      </c>
      <c r="D57" s="325" t="s">
        <v>18</v>
      </c>
      <c r="E57" s="326" t="s">
        <v>43</v>
      </c>
      <c r="F57" s="327" t="str">
        <f>B53</f>
        <v>TB</v>
      </c>
      <c r="G57" s="327" t="s">
        <v>79</v>
      </c>
      <c r="H57" s="210" t="s">
        <v>66</v>
      </c>
      <c r="I57" s="305"/>
      <c r="J57" s="390"/>
      <c r="K57" s="327" t="s">
        <v>79</v>
      </c>
      <c r="L57" s="464"/>
      <c r="M57" s="305"/>
      <c r="N57" s="328" t="s">
        <v>42</v>
      </c>
      <c r="O57" s="328" t="s">
        <v>42</v>
      </c>
      <c r="P57" s="328" t="s">
        <v>42</v>
      </c>
      <c r="Q57" s="329"/>
      <c r="R57" s="328" t="s">
        <v>41</v>
      </c>
      <c r="S57" s="328" t="s">
        <v>40</v>
      </c>
      <c r="T57" s="328" t="s">
        <v>39</v>
      </c>
      <c r="U57" s="328"/>
      <c r="V57" s="328"/>
    </row>
    <row r="58" spans="2:22" s="339" customFormat="1" ht="15.6" x14ac:dyDescent="0.3">
      <c r="B58" s="330" t="s">
        <v>20</v>
      </c>
      <c r="C58" s="331">
        <v>1</v>
      </c>
      <c r="D58" s="7"/>
      <c r="E58" s="332" t="str">
        <f>IF(+D58&lt;&gt;0,D58,"&gt;")</f>
        <v>&gt;</v>
      </c>
      <c r="F58" s="333">
        <f>+$C$53</f>
        <v>0</v>
      </c>
      <c r="G58" s="8"/>
      <c r="H58" s="334">
        <f>IF(N58=2,"",+$C$53*(1-G58))</f>
        <v>0</v>
      </c>
      <c r="I58" s="305"/>
      <c r="J58" s="333">
        <f t="shared" ref="J58:J66" si="15">IF(N58=2,"",$J$53)</f>
        <v>0</v>
      </c>
      <c r="K58" s="8"/>
      <c r="L58" s="334">
        <f>IF(N58=2,"",+$D$53*(1-K58))</f>
        <v>0</v>
      </c>
      <c r="M58" s="305"/>
      <c r="N58" s="335">
        <f t="shared" ref="N58:N66" si="16">IF(AND(C58&lt;&gt;" ",D58="&gt;"),0,IF(AND(C58=" ",D58="&gt;"),2,1))</f>
        <v>1</v>
      </c>
      <c r="O58" s="335">
        <v>0</v>
      </c>
      <c r="P58" s="335">
        <v>0</v>
      </c>
      <c r="Q58" s="329"/>
      <c r="R58" s="336" t="str">
        <f t="shared" ref="R58:R66" si="17">C58&amp; " t/m " &amp; D58 &amp; " " &amp; $B$53 &amp; "s"</f>
        <v>1 t/m  TBs</v>
      </c>
      <c r="S58" s="336" t="str">
        <f t="shared" ref="S58:S66" si="18" xml:space="preserve"> "1 t/m " &amp; E58 &amp; " " &amp; $B$53 &amp; "s"</f>
        <v>1 t/m &gt; TBs</v>
      </c>
      <c r="T58" s="336" t="str">
        <f t="shared" ref="T58:T66" si="19">E58&amp;" "&amp;D57&amp;" "&amp;$B$53&amp;"s"</f>
        <v>&gt; tot en met TBs</v>
      </c>
      <c r="U58" s="328"/>
      <c r="V58" s="328"/>
    </row>
    <row r="59" spans="2:22" s="339" customFormat="1" ht="15.6" x14ac:dyDescent="0.3">
      <c r="B59" s="337" t="s">
        <v>21</v>
      </c>
      <c r="C59" s="331">
        <f t="shared" ref="C59:C66" si="20">IF(ISERROR(+D58+1)," ",D58+1)</f>
        <v>1</v>
      </c>
      <c r="D59" s="7"/>
      <c r="E59" s="332" t="str">
        <f t="shared" ref="E59:E66" si="21">IF(N59=2,"",IF(+D59&lt;&gt;0,D59,"&gt;"))</f>
        <v>&gt;</v>
      </c>
      <c r="F59" s="333">
        <f t="shared" ref="F59:F66" si="22">IF(N59=2," ",+$C$53)</f>
        <v>0</v>
      </c>
      <c r="G59" s="8"/>
      <c r="H59" s="334">
        <f t="shared" ref="H59:H66" si="23">IF(N59=2,"",+$C$53*(1-G59))</f>
        <v>0</v>
      </c>
      <c r="I59" s="305"/>
      <c r="J59" s="333">
        <f t="shared" si="15"/>
        <v>0</v>
      </c>
      <c r="K59" s="8"/>
      <c r="L59" s="334">
        <f t="shared" ref="L59:L66" si="24">IF(N59=2,"",+$D$53*(1-K59))</f>
        <v>0</v>
      </c>
      <c r="M59" s="305"/>
      <c r="N59" s="335">
        <f t="shared" si="16"/>
        <v>1</v>
      </c>
      <c r="O59" s="335">
        <f t="shared" ref="O59:O66" si="25">IF(N59&lt;&gt;2,IF(H59&gt;H58,1,0),0)</f>
        <v>0</v>
      </c>
      <c r="P59" s="335">
        <f t="shared" ref="P59:P66" si="26">IF(N59&lt;&gt;2,IF(L59&gt;L58,1,0),0)</f>
        <v>0</v>
      </c>
      <c r="Q59" s="329"/>
      <c r="R59" s="336" t="str">
        <f t="shared" si="17"/>
        <v>1 t/m  TBs</v>
      </c>
      <c r="S59" s="336" t="str">
        <f t="shared" si="18"/>
        <v>1 t/m &gt; TBs</v>
      </c>
      <c r="T59" s="336" t="str">
        <f t="shared" si="19"/>
        <v>&gt;  TBs</v>
      </c>
      <c r="U59" s="328"/>
      <c r="V59" s="328"/>
    </row>
    <row r="60" spans="2:22" s="339" customFormat="1" ht="15.6" x14ac:dyDescent="0.3">
      <c r="B60" s="338" t="s">
        <v>22</v>
      </c>
      <c r="C60" s="331">
        <f t="shared" si="20"/>
        <v>1</v>
      </c>
      <c r="D60" s="7"/>
      <c r="E60" s="332" t="str">
        <f t="shared" si="21"/>
        <v>&gt;</v>
      </c>
      <c r="F60" s="333">
        <f t="shared" si="22"/>
        <v>0</v>
      </c>
      <c r="G60" s="8"/>
      <c r="H60" s="334">
        <f t="shared" si="23"/>
        <v>0</v>
      </c>
      <c r="I60" s="305"/>
      <c r="J60" s="333">
        <f t="shared" si="15"/>
        <v>0</v>
      </c>
      <c r="K60" s="8"/>
      <c r="L60" s="334">
        <f t="shared" si="24"/>
        <v>0</v>
      </c>
      <c r="M60" s="305"/>
      <c r="N60" s="335">
        <f t="shared" si="16"/>
        <v>1</v>
      </c>
      <c r="O60" s="335">
        <f t="shared" si="25"/>
        <v>0</v>
      </c>
      <c r="P60" s="335">
        <f t="shared" si="26"/>
        <v>0</v>
      </c>
      <c r="Q60" s="329"/>
      <c r="R60" s="336" t="str">
        <f t="shared" si="17"/>
        <v>1 t/m  TBs</v>
      </c>
      <c r="S60" s="336" t="str">
        <f t="shared" si="18"/>
        <v>1 t/m &gt; TBs</v>
      </c>
      <c r="T60" s="336" t="str">
        <f t="shared" si="19"/>
        <v>&gt;  TBs</v>
      </c>
      <c r="U60" s="328"/>
      <c r="V60" s="328"/>
    </row>
    <row r="61" spans="2:22" s="339" customFormat="1" ht="15.6" x14ac:dyDescent="0.3">
      <c r="B61" s="338" t="s">
        <v>23</v>
      </c>
      <c r="C61" s="331">
        <f t="shared" si="20"/>
        <v>1</v>
      </c>
      <c r="D61" s="7"/>
      <c r="E61" s="332" t="str">
        <f t="shared" si="21"/>
        <v>&gt;</v>
      </c>
      <c r="F61" s="333">
        <f t="shared" si="22"/>
        <v>0</v>
      </c>
      <c r="G61" s="8"/>
      <c r="H61" s="334">
        <f t="shared" si="23"/>
        <v>0</v>
      </c>
      <c r="I61" s="305"/>
      <c r="J61" s="333">
        <f t="shared" si="15"/>
        <v>0</v>
      </c>
      <c r="K61" s="8"/>
      <c r="L61" s="334">
        <f t="shared" si="24"/>
        <v>0</v>
      </c>
      <c r="M61" s="305"/>
      <c r="N61" s="335">
        <f t="shared" si="16"/>
        <v>1</v>
      </c>
      <c r="O61" s="335">
        <f t="shared" si="25"/>
        <v>0</v>
      </c>
      <c r="P61" s="335">
        <f t="shared" si="26"/>
        <v>0</v>
      </c>
      <c r="Q61" s="329"/>
      <c r="R61" s="336" t="str">
        <f t="shared" si="17"/>
        <v>1 t/m  TBs</v>
      </c>
      <c r="S61" s="336" t="str">
        <f t="shared" si="18"/>
        <v>1 t/m &gt; TBs</v>
      </c>
      <c r="T61" s="336" t="str">
        <f t="shared" si="19"/>
        <v>&gt;  TBs</v>
      </c>
      <c r="U61" s="328"/>
      <c r="V61" s="328"/>
    </row>
    <row r="62" spans="2:22" s="339" customFormat="1" ht="15.6" x14ac:dyDescent="0.3">
      <c r="B62" s="330" t="s">
        <v>24</v>
      </c>
      <c r="C62" s="331">
        <f t="shared" si="20"/>
        <v>1</v>
      </c>
      <c r="D62" s="7"/>
      <c r="E62" s="332" t="str">
        <f t="shared" si="21"/>
        <v>&gt;</v>
      </c>
      <c r="F62" s="333">
        <f t="shared" si="22"/>
        <v>0</v>
      </c>
      <c r="G62" s="8"/>
      <c r="H62" s="334">
        <f t="shared" si="23"/>
        <v>0</v>
      </c>
      <c r="I62" s="305"/>
      <c r="J62" s="333">
        <f t="shared" si="15"/>
        <v>0</v>
      </c>
      <c r="K62" s="8"/>
      <c r="L62" s="334">
        <f t="shared" si="24"/>
        <v>0</v>
      </c>
      <c r="M62" s="305"/>
      <c r="N62" s="335">
        <f t="shared" si="16"/>
        <v>1</v>
      </c>
      <c r="O62" s="335">
        <f t="shared" si="25"/>
        <v>0</v>
      </c>
      <c r="P62" s="335">
        <f t="shared" si="26"/>
        <v>0</v>
      </c>
      <c r="Q62" s="329"/>
      <c r="R62" s="336" t="str">
        <f t="shared" si="17"/>
        <v>1 t/m  TBs</v>
      </c>
      <c r="S62" s="336" t="str">
        <f t="shared" si="18"/>
        <v>1 t/m &gt; TBs</v>
      </c>
      <c r="T62" s="336" t="str">
        <f t="shared" si="19"/>
        <v>&gt;  TBs</v>
      </c>
      <c r="U62" s="328"/>
      <c r="V62" s="328"/>
    </row>
    <row r="63" spans="2:22" s="339" customFormat="1" ht="15.6" x14ac:dyDescent="0.3">
      <c r="B63" s="337" t="s">
        <v>25</v>
      </c>
      <c r="C63" s="331">
        <f t="shared" si="20"/>
        <v>1</v>
      </c>
      <c r="D63" s="7"/>
      <c r="E63" s="332" t="str">
        <f t="shared" si="21"/>
        <v>&gt;</v>
      </c>
      <c r="F63" s="333">
        <f t="shared" si="22"/>
        <v>0</v>
      </c>
      <c r="G63" s="8"/>
      <c r="H63" s="334">
        <f t="shared" si="23"/>
        <v>0</v>
      </c>
      <c r="I63" s="305"/>
      <c r="J63" s="333">
        <f t="shared" si="15"/>
        <v>0</v>
      </c>
      <c r="K63" s="8"/>
      <c r="L63" s="334">
        <f t="shared" si="24"/>
        <v>0</v>
      </c>
      <c r="M63" s="305"/>
      <c r="N63" s="335">
        <f t="shared" si="16"/>
        <v>1</v>
      </c>
      <c r="O63" s="335">
        <f t="shared" si="25"/>
        <v>0</v>
      </c>
      <c r="P63" s="335">
        <f t="shared" si="26"/>
        <v>0</v>
      </c>
      <c r="Q63" s="329"/>
      <c r="R63" s="336" t="str">
        <f t="shared" si="17"/>
        <v>1 t/m  TBs</v>
      </c>
      <c r="S63" s="336" t="str">
        <f t="shared" si="18"/>
        <v>1 t/m &gt; TBs</v>
      </c>
      <c r="T63" s="336" t="str">
        <f t="shared" si="19"/>
        <v>&gt;  TBs</v>
      </c>
      <c r="U63" s="328"/>
      <c r="V63" s="328"/>
    </row>
    <row r="64" spans="2:22" s="339" customFormat="1" ht="15.6" x14ac:dyDescent="0.3">
      <c r="B64" s="337" t="s">
        <v>26</v>
      </c>
      <c r="C64" s="331">
        <f t="shared" si="20"/>
        <v>1</v>
      </c>
      <c r="D64" s="7"/>
      <c r="E64" s="332" t="str">
        <f t="shared" si="21"/>
        <v>&gt;</v>
      </c>
      <c r="F64" s="333">
        <f t="shared" si="22"/>
        <v>0</v>
      </c>
      <c r="G64" s="8"/>
      <c r="H64" s="334">
        <f t="shared" si="23"/>
        <v>0</v>
      </c>
      <c r="I64" s="305"/>
      <c r="J64" s="333">
        <f t="shared" si="15"/>
        <v>0</v>
      </c>
      <c r="K64" s="8"/>
      <c r="L64" s="334">
        <f t="shared" si="24"/>
        <v>0</v>
      </c>
      <c r="M64" s="305"/>
      <c r="N64" s="335">
        <f t="shared" si="16"/>
        <v>1</v>
      </c>
      <c r="O64" s="335">
        <f t="shared" si="25"/>
        <v>0</v>
      </c>
      <c r="P64" s="335">
        <f t="shared" si="26"/>
        <v>0</v>
      </c>
      <c r="Q64" s="329"/>
      <c r="R64" s="336" t="str">
        <f t="shared" si="17"/>
        <v>1 t/m  TBs</v>
      </c>
      <c r="S64" s="336" t="str">
        <f t="shared" si="18"/>
        <v>1 t/m &gt; TBs</v>
      </c>
      <c r="T64" s="336" t="str">
        <f t="shared" si="19"/>
        <v>&gt;  TBs</v>
      </c>
      <c r="U64" s="328"/>
      <c r="V64" s="328"/>
    </row>
    <row r="65" spans="2:22" s="339" customFormat="1" ht="15.6" x14ac:dyDescent="0.3">
      <c r="B65" s="337" t="s">
        <v>27</v>
      </c>
      <c r="C65" s="331">
        <f t="shared" si="20"/>
        <v>1</v>
      </c>
      <c r="D65" s="7"/>
      <c r="E65" s="332" t="str">
        <f t="shared" si="21"/>
        <v>&gt;</v>
      </c>
      <c r="F65" s="333">
        <f t="shared" si="22"/>
        <v>0</v>
      </c>
      <c r="G65" s="8"/>
      <c r="H65" s="334">
        <f t="shared" si="23"/>
        <v>0</v>
      </c>
      <c r="I65" s="305"/>
      <c r="J65" s="333">
        <f t="shared" si="15"/>
        <v>0</v>
      </c>
      <c r="K65" s="8"/>
      <c r="L65" s="334">
        <f t="shared" si="24"/>
        <v>0</v>
      </c>
      <c r="M65" s="305"/>
      <c r="N65" s="335">
        <f t="shared" si="16"/>
        <v>1</v>
      </c>
      <c r="O65" s="335">
        <f t="shared" si="25"/>
        <v>0</v>
      </c>
      <c r="P65" s="335">
        <f t="shared" si="26"/>
        <v>0</v>
      </c>
      <c r="Q65" s="329"/>
      <c r="R65" s="336" t="str">
        <f t="shared" si="17"/>
        <v>1 t/m  TBs</v>
      </c>
      <c r="S65" s="336" t="str">
        <f t="shared" si="18"/>
        <v>1 t/m &gt; TBs</v>
      </c>
      <c r="T65" s="336" t="str">
        <f t="shared" si="19"/>
        <v>&gt;  TBs</v>
      </c>
      <c r="U65" s="328"/>
      <c r="V65" s="328"/>
    </row>
    <row r="66" spans="2:22" s="339" customFormat="1" ht="15.6" x14ac:dyDescent="0.3">
      <c r="B66" s="338" t="s">
        <v>28</v>
      </c>
      <c r="C66" s="331">
        <f t="shared" si="20"/>
        <v>1</v>
      </c>
      <c r="D66" s="7"/>
      <c r="E66" s="332" t="str">
        <f t="shared" si="21"/>
        <v>&gt;</v>
      </c>
      <c r="F66" s="333">
        <f t="shared" si="22"/>
        <v>0</v>
      </c>
      <c r="G66" s="8"/>
      <c r="H66" s="334">
        <f t="shared" si="23"/>
        <v>0</v>
      </c>
      <c r="I66" s="305"/>
      <c r="J66" s="333">
        <f t="shared" si="15"/>
        <v>0</v>
      </c>
      <c r="K66" s="8"/>
      <c r="L66" s="334">
        <f t="shared" si="24"/>
        <v>0</v>
      </c>
      <c r="M66" s="305"/>
      <c r="N66" s="335">
        <f t="shared" si="16"/>
        <v>1</v>
      </c>
      <c r="O66" s="335">
        <f t="shared" si="25"/>
        <v>0</v>
      </c>
      <c r="P66" s="335">
        <f t="shared" si="26"/>
        <v>0</v>
      </c>
      <c r="Q66" s="328"/>
      <c r="R66" s="336" t="str">
        <f t="shared" si="17"/>
        <v>1 t/m  TBs</v>
      </c>
      <c r="S66" s="336" t="str">
        <f t="shared" si="18"/>
        <v>1 t/m &gt; TBs</v>
      </c>
      <c r="T66" s="336" t="str">
        <f t="shared" si="19"/>
        <v>&gt;  TBs</v>
      </c>
      <c r="U66" s="328"/>
      <c r="V66" s="328"/>
    </row>
    <row r="67" spans="2:22" s="339" customFormat="1" ht="15.6" x14ac:dyDescent="0.3">
      <c r="B67" s="472" t="s">
        <v>60</v>
      </c>
      <c r="C67" s="472"/>
      <c r="D67" s="472"/>
      <c r="E67" s="472"/>
      <c r="F67" s="472"/>
      <c r="H67" s="340" t="str">
        <f>IF(O67=0,"OK","Fout !")</f>
        <v>OK</v>
      </c>
      <c r="I67" s="341" t="s">
        <v>38</v>
      </c>
      <c r="J67" s="305"/>
      <c r="L67" s="340" t="str">
        <f>IF(P67=0,"OK","Fout !")</f>
        <v>OK</v>
      </c>
      <c r="M67" s="305"/>
      <c r="N67" s="342"/>
      <c r="O67" s="335">
        <f>SUM(O58:O66)</f>
        <v>0</v>
      </c>
      <c r="P67" s="335">
        <f>SUM(P58:P66)</f>
        <v>0</v>
      </c>
      <c r="Q67" s="328"/>
      <c r="R67" s="328"/>
      <c r="S67" s="328"/>
      <c r="T67" s="328"/>
      <c r="U67" s="328"/>
      <c r="V67" s="328"/>
    </row>
    <row r="68" spans="2:22" s="339" customFormat="1" ht="15.6" x14ac:dyDescent="0.3">
      <c r="B68" s="472"/>
      <c r="C68" s="472"/>
      <c r="D68" s="472"/>
      <c r="E68" s="472"/>
      <c r="F68" s="472"/>
      <c r="I68" s="305"/>
      <c r="J68" s="305"/>
      <c r="K68" s="305"/>
      <c r="L68" s="305"/>
      <c r="M68" s="305"/>
      <c r="N68" s="342"/>
      <c r="O68" s="335"/>
      <c r="P68" s="391"/>
      <c r="Q68" s="328"/>
      <c r="R68" s="328"/>
      <c r="S68" s="328"/>
      <c r="T68" s="328"/>
      <c r="U68" s="328"/>
      <c r="V68" s="328"/>
    </row>
    <row r="69" spans="2:22" s="339" customFormat="1" ht="16.2" thickBot="1" x14ac:dyDescent="0.35">
      <c r="B69" s="392"/>
      <c r="C69" s="393"/>
      <c r="D69" s="393"/>
      <c r="E69" s="393"/>
      <c r="F69" s="393"/>
      <c r="G69" s="394"/>
      <c r="H69" s="394"/>
      <c r="I69" s="395"/>
      <c r="J69" s="395"/>
      <c r="K69" s="395"/>
      <c r="L69" s="395"/>
      <c r="M69" s="305"/>
      <c r="N69" s="342"/>
      <c r="O69" s="335"/>
      <c r="P69" s="391"/>
      <c r="Q69" s="328"/>
      <c r="R69" s="328"/>
      <c r="S69" s="328"/>
      <c r="T69" s="328"/>
      <c r="U69" s="328"/>
      <c r="V69" s="328"/>
    </row>
    <row r="70" spans="2:22" s="339" customFormat="1" ht="15.6" x14ac:dyDescent="0.3">
      <c r="B70" s="328"/>
      <c r="C70" s="389"/>
      <c r="D70" s="389"/>
      <c r="E70" s="389"/>
      <c r="F70" s="389"/>
      <c r="I70" s="305"/>
      <c r="J70" s="305"/>
      <c r="K70" s="305"/>
      <c r="L70" s="305"/>
      <c r="M70" s="305"/>
      <c r="N70" s="342"/>
      <c r="O70" s="335"/>
      <c r="P70" s="391"/>
      <c r="Q70" s="328"/>
      <c r="R70" s="328"/>
      <c r="S70" s="328"/>
      <c r="T70" s="328"/>
      <c r="U70" s="328"/>
      <c r="V70" s="328"/>
    </row>
    <row r="71" spans="2:22" s="339" customFormat="1" ht="15.6" x14ac:dyDescent="0.3">
      <c r="B71" s="396" t="s">
        <v>56</v>
      </c>
      <c r="C71" s="397" t="s">
        <v>2</v>
      </c>
      <c r="D71" s="397" t="s">
        <v>3</v>
      </c>
      <c r="E71" s="397" t="s">
        <v>4</v>
      </c>
      <c r="F71" s="397" t="s">
        <v>5</v>
      </c>
      <c r="G71" s="397" t="s">
        <v>14</v>
      </c>
      <c r="H71" s="397" t="s">
        <v>166</v>
      </c>
      <c r="I71" s="397" t="s">
        <v>167</v>
      </c>
      <c r="J71" s="397" t="s">
        <v>168</v>
      </c>
      <c r="K71" s="397" t="s">
        <v>169</v>
      </c>
      <c r="L71" s="397" t="s">
        <v>170</v>
      </c>
      <c r="M71" s="305"/>
      <c r="N71" s="328"/>
      <c r="O71" s="328"/>
      <c r="P71" s="328"/>
      <c r="Q71" s="328"/>
      <c r="R71" s="328"/>
      <c r="S71" s="328"/>
      <c r="T71" s="328"/>
      <c r="U71" s="328"/>
      <c r="V71" s="328"/>
    </row>
    <row r="72" spans="2:22" s="339" customFormat="1" ht="15.6" x14ac:dyDescent="0.3">
      <c r="B72" s="398" t="str">
        <f>"Benodigde aantallen RDBMS totaal"</f>
        <v>Benodigde aantallen RDBMS totaal</v>
      </c>
      <c r="C72" s="399">
        <v>750</v>
      </c>
      <c r="D72" s="399">
        <v>750</v>
      </c>
      <c r="E72" s="399">
        <v>750</v>
      </c>
      <c r="F72" s="399">
        <f t="shared" ref="F72:L72" si="27">F10</f>
        <v>825.00000000000011</v>
      </c>
      <c r="G72" s="399">
        <f t="shared" si="27"/>
        <v>900</v>
      </c>
      <c r="H72" s="399">
        <f t="shared" si="27"/>
        <v>1000</v>
      </c>
      <c r="I72" s="399">
        <f t="shared" si="27"/>
        <v>1100</v>
      </c>
      <c r="J72" s="399">
        <f t="shared" si="27"/>
        <v>1200</v>
      </c>
      <c r="K72" s="399">
        <f t="shared" si="27"/>
        <v>1325</v>
      </c>
      <c r="L72" s="399">
        <f t="shared" si="27"/>
        <v>1450</v>
      </c>
      <c r="M72" s="305"/>
      <c r="N72" s="328"/>
      <c r="O72" s="328"/>
      <c r="P72" s="328"/>
      <c r="Q72" s="328"/>
      <c r="R72" s="328"/>
      <c r="S72" s="328"/>
      <c r="T72" s="328"/>
      <c r="U72" s="328"/>
      <c r="V72" s="328"/>
    </row>
    <row r="73" spans="2:22" s="339" customFormat="1" ht="15.6" x14ac:dyDescent="0.3">
      <c r="B73" s="398" t="str">
        <f>"Benodigde aantallen Object Storage totaal"</f>
        <v>Benodigde aantallen Object Storage totaal</v>
      </c>
      <c r="C73" s="399">
        <f>E13</f>
        <v>750</v>
      </c>
      <c r="D73" s="399">
        <f>C73</f>
        <v>750</v>
      </c>
      <c r="E73" s="399">
        <f>C73</f>
        <v>750</v>
      </c>
      <c r="F73" s="399">
        <f t="shared" ref="F73:L73" si="28">F13</f>
        <v>900</v>
      </c>
      <c r="G73" s="399">
        <f t="shared" si="28"/>
        <v>1075</v>
      </c>
      <c r="H73" s="399">
        <f t="shared" si="28"/>
        <v>1300</v>
      </c>
      <c r="I73" s="399">
        <f t="shared" si="28"/>
        <v>1575</v>
      </c>
      <c r="J73" s="399">
        <f t="shared" si="28"/>
        <v>1900</v>
      </c>
      <c r="K73" s="399">
        <f t="shared" si="28"/>
        <v>2275</v>
      </c>
      <c r="L73" s="399">
        <f t="shared" si="28"/>
        <v>2725</v>
      </c>
      <c r="M73" s="305"/>
      <c r="N73" s="328"/>
      <c r="O73" s="328"/>
      <c r="P73" s="328"/>
      <c r="Q73" s="328"/>
      <c r="R73" s="328"/>
      <c r="S73" s="328"/>
      <c r="T73" s="328"/>
      <c r="U73" s="328"/>
      <c r="V73" s="328"/>
    </row>
    <row r="74" spans="2:22" s="339" customFormat="1" ht="15.6" x14ac:dyDescent="0.3">
      <c r="B74" s="398" t="s">
        <v>210</v>
      </c>
      <c r="C74" s="400">
        <f>+C72</f>
        <v>750</v>
      </c>
      <c r="D74" s="400">
        <f>D72-C72</f>
        <v>0</v>
      </c>
      <c r="E74" s="400">
        <f>E72-D72</f>
        <v>0</v>
      </c>
      <c r="F74" s="400">
        <f>F72-C72</f>
        <v>75.000000000000114</v>
      </c>
      <c r="G74" s="400">
        <f t="shared" ref="G74:L75" si="29">G72-F72</f>
        <v>74.999999999999886</v>
      </c>
      <c r="H74" s="400">
        <f t="shared" si="29"/>
        <v>100</v>
      </c>
      <c r="I74" s="400">
        <f t="shared" si="29"/>
        <v>100</v>
      </c>
      <c r="J74" s="400">
        <f t="shared" si="29"/>
        <v>100</v>
      </c>
      <c r="K74" s="400">
        <f t="shared" si="29"/>
        <v>125</v>
      </c>
      <c r="L74" s="400">
        <f t="shared" si="29"/>
        <v>125</v>
      </c>
      <c r="M74" s="305"/>
      <c r="N74" s="328"/>
      <c r="O74" s="328"/>
      <c r="P74" s="328"/>
      <c r="Q74" s="328"/>
      <c r="R74" s="328"/>
      <c r="S74" s="328"/>
      <c r="T74" s="328"/>
      <c r="U74" s="328"/>
      <c r="V74" s="328"/>
    </row>
    <row r="75" spans="2:22" s="339" customFormat="1" ht="15.6" x14ac:dyDescent="0.3">
      <c r="B75" s="398" t="s">
        <v>200</v>
      </c>
      <c r="C75" s="400">
        <f>C73</f>
        <v>750</v>
      </c>
      <c r="D75" s="400">
        <v>0</v>
      </c>
      <c r="E75" s="400">
        <v>0</v>
      </c>
      <c r="F75" s="400">
        <f>F73-E73</f>
        <v>150</v>
      </c>
      <c r="G75" s="400">
        <f t="shared" si="29"/>
        <v>175</v>
      </c>
      <c r="H75" s="400">
        <f t="shared" si="29"/>
        <v>225</v>
      </c>
      <c r="I75" s="400">
        <f t="shared" si="29"/>
        <v>275</v>
      </c>
      <c r="J75" s="400">
        <f t="shared" si="29"/>
        <v>325</v>
      </c>
      <c r="K75" s="400">
        <f t="shared" si="29"/>
        <v>375</v>
      </c>
      <c r="L75" s="400">
        <f t="shared" si="29"/>
        <v>450</v>
      </c>
      <c r="M75" s="305"/>
      <c r="N75" s="328"/>
      <c r="O75" s="328"/>
      <c r="P75" s="328"/>
      <c r="Q75" s="328"/>
      <c r="R75" s="328"/>
      <c r="S75" s="328"/>
      <c r="T75" s="328"/>
      <c r="U75" s="328"/>
      <c r="V75" s="328"/>
    </row>
    <row r="76" spans="2:22" s="339" customFormat="1" ht="13.8" x14ac:dyDescent="0.3">
      <c r="B76" s="398" t="str">
        <f>"Prijs per "&amp;B34&amp;" RDBMS conform staffel "</f>
        <v xml:space="preserve">Prijs per TB RDBMS conform staffel </v>
      </c>
      <c r="C76" s="401">
        <f>IF(ISERROR(INDEX($H$39:$H$47,MATCH(C72,$C$39:$C$47,1))),"",INDEX($H$39:$H$47,MATCH(C72,$C$39:$C$47,1)))</f>
        <v>0</v>
      </c>
      <c r="D76" s="401">
        <f>IF(ISERROR(INDEX($H$39:$H$47,MATCH(D72,$C$39:$C$47,1))),"",INDEX($H$39:$H$47,MATCH(D72,$C$39:$C$47,1)))</f>
        <v>0</v>
      </c>
      <c r="E76" s="401">
        <f>IF(ISERROR(INDEX($H$39:$H$47,MATCH(E72,$C$39:$C$47,1))),"",INDEX($H$39:$H$47,MATCH(E72,$C$39:$C$47,1)))</f>
        <v>0</v>
      </c>
      <c r="F76" s="401">
        <f t="shared" ref="F76:L76" si="30">IF(ISERROR(INDEX($H$39:$H$47,MATCH(F74,$C$39:$C$47,1))),"",INDEX($H$39:$H$47,MATCH(F74,$C$39:$C$47,1)))</f>
        <v>0</v>
      </c>
      <c r="G76" s="401">
        <f t="shared" si="30"/>
        <v>0</v>
      </c>
      <c r="H76" s="401">
        <f t="shared" si="30"/>
        <v>0</v>
      </c>
      <c r="I76" s="401">
        <f t="shared" si="30"/>
        <v>0</v>
      </c>
      <c r="J76" s="401">
        <f t="shared" si="30"/>
        <v>0</v>
      </c>
      <c r="K76" s="401">
        <f t="shared" si="30"/>
        <v>0</v>
      </c>
      <c r="L76" s="401">
        <f t="shared" si="30"/>
        <v>0</v>
      </c>
      <c r="M76" s="328"/>
      <c r="N76" s="328"/>
      <c r="O76" s="328"/>
      <c r="P76" s="328"/>
      <c r="Q76" s="328"/>
      <c r="R76" s="328"/>
      <c r="S76" s="328"/>
      <c r="T76" s="328"/>
      <c r="U76" s="328"/>
    </row>
    <row r="77" spans="2:22" s="339" customFormat="1" ht="13.8" x14ac:dyDescent="0.3">
      <c r="B77" s="398" t="str">
        <f>"Prijs per "&amp;B34&amp;" Object Storage conform staffel "</f>
        <v xml:space="preserve">Prijs per TB Object Storage conform staffel </v>
      </c>
      <c r="C77" s="401">
        <f t="shared" ref="C77:L77" si="31">IF(ISERROR(INDEX($H$58:$H$66,MATCH(C73,$C$58:$C$66,1))),"",INDEX($H$58:$H$66,MATCH(C73,$C$58:$C$66,1)))</f>
        <v>0</v>
      </c>
      <c r="D77" s="401">
        <f t="shared" si="31"/>
        <v>0</v>
      </c>
      <c r="E77" s="401">
        <f t="shared" si="31"/>
        <v>0</v>
      </c>
      <c r="F77" s="401">
        <f t="shared" si="31"/>
        <v>0</v>
      </c>
      <c r="G77" s="401">
        <f t="shared" si="31"/>
        <v>0</v>
      </c>
      <c r="H77" s="401">
        <f t="shared" si="31"/>
        <v>0</v>
      </c>
      <c r="I77" s="401">
        <f t="shared" si="31"/>
        <v>0</v>
      </c>
      <c r="J77" s="401">
        <f t="shared" si="31"/>
        <v>0</v>
      </c>
      <c r="K77" s="401">
        <f t="shared" si="31"/>
        <v>0</v>
      </c>
      <c r="L77" s="401">
        <f t="shared" si="31"/>
        <v>0</v>
      </c>
      <c r="M77" s="328"/>
      <c r="N77" s="328"/>
      <c r="O77" s="328"/>
      <c r="P77" s="328"/>
      <c r="Q77" s="328"/>
      <c r="R77" s="328"/>
      <c r="S77" s="328"/>
      <c r="T77" s="328"/>
      <c r="U77" s="328"/>
    </row>
    <row r="78" spans="2:22" s="339" customFormat="1" ht="13.8" x14ac:dyDescent="0.3">
      <c r="B78" s="398" t="s">
        <v>211</v>
      </c>
      <c r="C78" s="402">
        <f t="shared" ref="C78:L78" si="32">IF(ISERROR(+C76*C74),0,+C76*C74)</f>
        <v>0</v>
      </c>
      <c r="D78" s="402">
        <f t="shared" si="32"/>
        <v>0</v>
      </c>
      <c r="E78" s="402">
        <f t="shared" si="32"/>
        <v>0</v>
      </c>
      <c r="F78" s="402">
        <f t="shared" si="32"/>
        <v>0</v>
      </c>
      <c r="G78" s="402">
        <f t="shared" si="32"/>
        <v>0</v>
      </c>
      <c r="H78" s="402">
        <f t="shared" si="32"/>
        <v>0</v>
      </c>
      <c r="I78" s="402">
        <f t="shared" si="32"/>
        <v>0</v>
      </c>
      <c r="J78" s="402">
        <f t="shared" si="32"/>
        <v>0</v>
      </c>
      <c r="K78" s="402">
        <f t="shared" si="32"/>
        <v>0</v>
      </c>
      <c r="L78" s="402">
        <f t="shared" si="32"/>
        <v>0</v>
      </c>
      <c r="M78" s="328"/>
      <c r="N78" s="328"/>
      <c r="O78" s="328"/>
      <c r="P78" s="328"/>
      <c r="Q78" s="328"/>
      <c r="R78" s="328"/>
      <c r="S78" s="328"/>
      <c r="T78" s="328"/>
      <c r="U78" s="328"/>
    </row>
    <row r="79" spans="2:22" s="339" customFormat="1" ht="13.8" x14ac:dyDescent="0.3">
      <c r="B79" s="398" t="s">
        <v>202</v>
      </c>
      <c r="C79" s="402">
        <f t="shared" ref="C79:L79" si="33">IF(ISERROR(+C77*C75),0,+C77*C75)</f>
        <v>0</v>
      </c>
      <c r="D79" s="402">
        <f t="shared" si="33"/>
        <v>0</v>
      </c>
      <c r="E79" s="402">
        <f t="shared" si="33"/>
        <v>0</v>
      </c>
      <c r="F79" s="402">
        <f t="shared" si="33"/>
        <v>0</v>
      </c>
      <c r="G79" s="402">
        <f t="shared" si="33"/>
        <v>0</v>
      </c>
      <c r="H79" s="402">
        <f t="shared" si="33"/>
        <v>0</v>
      </c>
      <c r="I79" s="402">
        <f t="shared" si="33"/>
        <v>0</v>
      </c>
      <c r="J79" s="402">
        <f t="shared" si="33"/>
        <v>0</v>
      </c>
      <c r="K79" s="402">
        <f t="shared" si="33"/>
        <v>0</v>
      </c>
      <c r="L79" s="402">
        <f t="shared" si="33"/>
        <v>0</v>
      </c>
      <c r="M79" s="328"/>
      <c r="N79" s="328"/>
      <c r="O79" s="328"/>
      <c r="P79" s="328"/>
      <c r="Q79" s="328"/>
      <c r="R79" s="328"/>
      <c r="S79" s="328"/>
      <c r="T79" s="328"/>
      <c r="U79" s="328"/>
    </row>
    <row r="80" spans="2:22" s="339" customFormat="1" ht="14.4" thickBot="1" x14ac:dyDescent="0.35">
      <c r="B80" s="398" t="s">
        <v>37</v>
      </c>
      <c r="C80" s="403">
        <f t="shared" ref="C80:L80" si="34">SUM(C78:C79)</f>
        <v>0</v>
      </c>
      <c r="D80" s="403">
        <f t="shared" si="34"/>
        <v>0</v>
      </c>
      <c r="E80" s="403">
        <f t="shared" si="34"/>
        <v>0</v>
      </c>
      <c r="F80" s="403">
        <f t="shared" si="34"/>
        <v>0</v>
      </c>
      <c r="G80" s="403">
        <f t="shared" si="34"/>
        <v>0</v>
      </c>
      <c r="H80" s="403">
        <f t="shared" si="34"/>
        <v>0</v>
      </c>
      <c r="I80" s="403">
        <f t="shared" si="34"/>
        <v>0</v>
      </c>
      <c r="J80" s="403">
        <f t="shared" si="34"/>
        <v>0</v>
      </c>
      <c r="K80" s="403">
        <f t="shared" si="34"/>
        <v>0</v>
      </c>
      <c r="L80" s="403">
        <f t="shared" si="34"/>
        <v>0</v>
      </c>
      <c r="M80" s="328"/>
      <c r="N80" s="328"/>
      <c r="O80" s="328"/>
      <c r="P80" s="328"/>
      <c r="Q80" s="328"/>
      <c r="R80" s="328"/>
      <c r="S80" s="328"/>
      <c r="T80" s="328"/>
      <c r="U80" s="328"/>
    </row>
    <row r="81" spans="2:21" s="339" customFormat="1" ht="16.2" thickTop="1" x14ac:dyDescent="0.3">
      <c r="B81" s="389"/>
      <c r="C81" s="389"/>
      <c r="D81" s="389"/>
      <c r="E81" s="389"/>
      <c r="F81" s="389"/>
      <c r="G81" s="389"/>
      <c r="H81" s="389"/>
      <c r="I81" s="305"/>
      <c r="J81" s="328"/>
      <c r="K81" s="328"/>
      <c r="L81" s="328"/>
      <c r="M81" s="328"/>
      <c r="N81" s="328"/>
      <c r="O81" s="328"/>
      <c r="P81" s="328"/>
      <c r="Q81" s="328"/>
      <c r="R81" s="328"/>
      <c r="S81" s="328"/>
      <c r="T81" s="328"/>
      <c r="U81" s="328"/>
    </row>
    <row r="82" spans="2:21" s="339" customFormat="1" ht="15.6" x14ac:dyDescent="0.3">
      <c r="B82" s="396" t="s">
        <v>236</v>
      </c>
      <c r="C82" s="404" t="s">
        <v>2</v>
      </c>
      <c r="D82" s="404" t="s">
        <v>3</v>
      </c>
      <c r="E82" s="404" t="s">
        <v>4</v>
      </c>
      <c r="F82" s="404" t="s">
        <v>5</v>
      </c>
      <c r="G82" s="397" t="s">
        <v>14</v>
      </c>
      <c r="H82" s="397" t="s">
        <v>166</v>
      </c>
      <c r="I82" s="397" t="s">
        <v>167</v>
      </c>
      <c r="J82" s="397" t="s">
        <v>168</v>
      </c>
      <c r="K82" s="397" t="s">
        <v>169</v>
      </c>
      <c r="L82" s="397" t="s">
        <v>170</v>
      </c>
      <c r="M82" s="328"/>
      <c r="N82" s="328"/>
      <c r="O82" s="328"/>
      <c r="P82" s="328"/>
      <c r="Q82" s="328"/>
      <c r="R82" s="328"/>
      <c r="S82" s="328"/>
      <c r="T82" s="328"/>
      <c r="U82" s="328"/>
    </row>
    <row r="83" spans="2:21" s="339" customFormat="1" ht="13.8" x14ac:dyDescent="0.3">
      <c r="B83" s="398" t="str">
        <f>"Benodigde aantallen RDBMS totaal"</f>
        <v>Benodigde aantallen RDBMS totaal</v>
      </c>
      <c r="C83" s="400">
        <f>+C72</f>
        <v>750</v>
      </c>
      <c r="D83" s="400">
        <f>+C83</f>
        <v>750</v>
      </c>
      <c r="E83" s="400">
        <f>+D83</f>
        <v>750</v>
      </c>
      <c r="F83" s="400">
        <f t="shared" ref="F83:L83" si="35">F10</f>
        <v>825.00000000000011</v>
      </c>
      <c r="G83" s="400">
        <f t="shared" si="35"/>
        <v>900</v>
      </c>
      <c r="H83" s="400">
        <f t="shared" si="35"/>
        <v>1000</v>
      </c>
      <c r="I83" s="400">
        <f t="shared" si="35"/>
        <v>1100</v>
      </c>
      <c r="J83" s="400">
        <f t="shared" si="35"/>
        <v>1200</v>
      </c>
      <c r="K83" s="400">
        <f t="shared" si="35"/>
        <v>1325</v>
      </c>
      <c r="L83" s="400">
        <f t="shared" si="35"/>
        <v>1450</v>
      </c>
      <c r="M83" s="328"/>
      <c r="N83" s="328"/>
      <c r="O83" s="328"/>
      <c r="P83" s="328"/>
      <c r="Q83" s="328"/>
      <c r="R83" s="328"/>
      <c r="S83" s="328"/>
      <c r="T83" s="328"/>
      <c r="U83" s="328"/>
    </row>
    <row r="84" spans="2:21" s="339" customFormat="1" ht="13.8" x14ac:dyDescent="0.3">
      <c r="B84" s="398" t="str">
        <f>"Benodigde aantallen Object Storage totaal"</f>
        <v>Benodigde aantallen Object Storage totaal</v>
      </c>
      <c r="C84" s="400">
        <f>+C73</f>
        <v>750</v>
      </c>
      <c r="D84" s="400">
        <f t="shared" ref="D84:L84" si="36">+D73</f>
        <v>750</v>
      </c>
      <c r="E84" s="400">
        <f t="shared" si="36"/>
        <v>750</v>
      </c>
      <c r="F84" s="400">
        <f t="shared" si="36"/>
        <v>900</v>
      </c>
      <c r="G84" s="400">
        <f t="shared" si="36"/>
        <v>1075</v>
      </c>
      <c r="H84" s="400">
        <f t="shared" si="36"/>
        <v>1300</v>
      </c>
      <c r="I84" s="400">
        <f t="shared" si="36"/>
        <v>1575</v>
      </c>
      <c r="J84" s="400">
        <f t="shared" si="36"/>
        <v>1900</v>
      </c>
      <c r="K84" s="400">
        <f t="shared" si="36"/>
        <v>2275</v>
      </c>
      <c r="L84" s="400">
        <f t="shared" si="36"/>
        <v>2725</v>
      </c>
      <c r="M84" s="328"/>
      <c r="N84" s="328"/>
      <c r="O84" s="328"/>
      <c r="P84" s="328"/>
      <c r="Q84" s="328"/>
      <c r="R84" s="328"/>
      <c r="S84" s="328"/>
      <c r="T84" s="328"/>
      <c r="U84" s="328"/>
    </row>
    <row r="85" spans="2:21" s="339" customFormat="1" ht="13.8" x14ac:dyDescent="0.3">
      <c r="B85" s="398" t="str">
        <f>"Prijs per TB RDBMS conform staffel "</f>
        <v xml:space="preserve">Prijs per TB RDBMS conform staffel </v>
      </c>
      <c r="C85" s="401">
        <f>IF(ISERROR(INDEX($L$39:$L$47,MATCH(C72,$C$39:$C$47,1))),"",INDEX($L$39:$L$47,MATCH(C72,$C$39:$C$47,1)))</f>
        <v>0</v>
      </c>
      <c r="D85" s="401">
        <f t="shared" ref="D85:L85" si="37">IF(ISERROR(INDEX($L$39:$L$47,MATCH(D83,$C$39:$C$47,1))),"",INDEX($L$39:$L$47,MATCH(D83,$C$39:$C$47,1)))</f>
        <v>0</v>
      </c>
      <c r="E85" s="401">
        <f t="shared" si="37"/>
        <v>0</v>
      </c>
      <c r="F85" s="401">
        <f t="shared" si="37"/>
        <v>0</v>
      </c>
      <c r="G85" s="401">
        <f t="shared" si="37"/>
        <v>0</v>
      </c>
      <c r="H85" s="401">
        <f t="shared" si="37"/>
        <v>0</v>
      </c>
      <c r="I85" s="401">
        <f t="shared" si="37"/>
        <v>0</v>
      </c>
      <c r="J85" s="401">
        <f t="shared" si="37"/>
        <v>0</v>
      </c>
      <c r="K85" s="401">
        <f t="shared" si="37"/>
        <v>0</v>
      </c>
      <c r="L85" s="401">
        <f t="shared" si="37"/>
        <v>0</v>
      </c>
      <c r="M85" s="328"/>
      <c r="N85" s="328"/>
      <c r="O85" s="328"/>
      <c r="P85" s="328"/>
      <c r="Q85" s="328"/>
      <c r="R85" s="328"/>
      <c r="S85" s="328"/>
      <c r="T85" s="328"/>
      <c r="U85" s="328"/>
    </row>
    <row r="86" spans="2:21" s="339" customFormat="1" ht="13.8" x14ac:dyDescent="0.3">
      <c r="B86" s="398" t="str">
        <f>"Prijs per TB Object Storage conform staffel "</f>
        <v xml:space="preserve">Prijs per TB Object Storage conform staffel </v>
      </c>
      <c r="C86" s="401">
        <f t="shared" ref="C86:L86" si="38">IF(ISERROR(INDEX($L$58:$L$66,MATCH(C84,$C$58:$C$66,1))),"",INDEX($L$58:$L$66,MATCH(C84,$C$58:$C$66,1)))</f>
        <v>0</v>
      </c>
      <c r="D86" s="401">
        <f t="shared" si="38"/>
        <v>0</v>
      </c>
      <c r="E86" s="401">
        <f t="shared" si="38"/>
        <v>0</v>
      </c>
      <c r="F86" s="401">
        <f t="shared" si="38"/>
        <v>0</v>
      </c>
      <c r="G86" s="401">
        <f t="shared" si="38"/>
        <v>0</v>
      </c>
      <c r="H86" s="401">
        <f t="shared" si="38"/>
        <v>0</v>
      </c>
      <c r="I86" s="401">
        <f t="shared" si="38"/>
        <v>0</v>
      </c>
      <c r="J86" s="401">
        <f t="shared" si="38"/>
        <v>0</v>
      </c>
      <c r="K86" s="401">
        <f t="shared" si="38"/>
        <v>0</v>
      </c>
      <c r="L86" s="401">
        <f t="shared" si="38"/>
        <v>0</v>
      </c>
      <c r="M86" s="328"/>
      <c r="N86" s="328"/>
      <c r="O86" s="328"/>
      <c r="P86" s="328"/>
      <c r="Q86" s="328"/>
      <c r="R86" s="328"/>
      <c r="S86" s="328"/>
      <c r="T86" s="328"/>
      <c r="U86" s="328"/>
    </row>
    <row r="87" spans="2:21" s="339" customFormat="1" ht="13.8" x14ac:dyDescent="0.3">
      <c r="B87" s="398" t="s">
        <v>274</v>
      </c>
      <c r="C87" s="401">
        <f t="shared" ref="C87:L87" si="39">IF(ISERROR(+C83*C85),0,+C83*C85)</f>
        <v>0</v>
      </c>
      <c r="D87" s="401">
        <f t="shared" si="39"/>
        <v>0</v>
      </c>
      <c r="E87" s="401">
        <f t="shared" si="39"/>
        <v>0</v>
      </c>
      <c r="F87" s="401">
        <f t="shared" si="39"/>
        <v>0</v>
      </c>
      <c r="G87" s="401">
        <f t="shared" si="39"/>
        <v>0</v>
      </c>
      <c r="H87" s="401">
        <f t="shared" si="39"/>
        <v>0</v>
      </c>
      <c r="I87" s="401">
        <f t="shared" si="39"/>
        <v>0</v>
      </c>
      <c r="J87" s="401">
        <f t="shared" si="39"/>
        <v>0</v>
      </c>
      <c r="K87" s="401">
        <f t="shared" si="39"/>
        <v>0</v>
      </c>
      <c r="L87" s="401">
        <f t="shared" si="39"/>
        <v>0</v>
      </c>
      <c r="M87" s="328"/>
      <c r="N87" s="328"/>
      <c r="O87" s="328"/>
      <c r="P87" s="328"/>
      <c r="Q87" s="328"/>
      <c r="R87" s="328"/>
      <c r="S87" s="328"/>
      <c r="T87" s="328"/>
      <c r="U87" s="328"/>
    </row>
    <row r="88" spans="2:21" s="339" customFormat="1" ht="13.8" x14ac:dyDescent="0.3">
      <c r="B88" s="398" t="s">
        <v>275</v>
      </c>
      <c r="C88" s="401">
        <f t="shared" ref="C88:L88" si="40">IF(ISERROR(+C84*C86),0,+C84*C86)</f>
        <v>0</v>
      </c>
      <c r="D88" s="401">
        <f t="shared" si="40"/>
        <v>0</v>
      </c>
      <c r="E88" s="401">
        <f t="shared" si="40"/>
        <v>0</v>
      </c>
      <c r="F88" s="401">
        <f t="shared" si="40"/>
        <v>0</v>
      </c>
      <c r="G88" s="401">
        <f t="shared" si="40"/>
        <v>0</v>
      </c>
      <c r="H88" s="401">
        <f t="shared" si="40"/>
        <v>0</v>
      </c>
      <c r="I88" s="401">
        <f t="shared" si="40"/>
        <v>0</v>
      </c>
      <c r="J88" s="401">
        <f t="shared" si="40"/>
        <v>0</v>
      </c>
      <c r="K88" s="401">
        <f t="shared" si="40"/>
        <v>0</v>
      </c>
      <c r="L88" s="401">
        <f t="shared" si="40"/>
        <v>0</v>
      </c>
      <c r="M88" s="328"/>
      <c r="N88" s="328"/>
      <c r="O88" s="328"/>
      <c r="P88" s="328"/>
      <c r="Q88" s="328"/>
      <c r="R88" s="328"/>
      <c r="S88" s="328"/>
      <c r="T88" s="328"/>
      <c r="U88" s="328"/>
    </row>
    <row r="89" spans="2:21" s="339" customFormat="1" ht="14.4" thickBot="1" x14ac:dyDescent="0.35">
      <c r="B89" s="398" t="s">
        <v>203</v>
      </c>
      <c r="C89" s="405">
        <f t="shared" ref="C89:L89" si="41">SUM(C87:C88)</f>
        <v>0</v>
      </c>
      <c r="D89" s="405">
        <f t="shared" si="41"/>
        <v>0</v>
      </c>
      <c r="E89" s="405">
        <f t="shared" si="41"/>
        <v>0</v>
      </c>
      <c r="F89" s="405">
        <f t="shared" si="41"/>
        <v>0</v>
      </c>
      <c r="G89" s="405">
        <f t="shared" si="41"/>
        <v>0</v>
      </c>
      <c r="H89" s="405">
        <f t="shared" si="41"/>
        <v>0</v>
      </c>
      <c r="I89" s="405">
        <f t="shared" si="41"/>
        <v>0</v>
      </c>
      <c r="J89" s="405">
        <f t="shared" si="41"/>
        <v>0</v>
      </c>
      <c r="K89" s="405">
        <f t="shared" si="41"/>
        <v>0</v>
      </c>
      <c r="L89" s="405">
        <f t="shared" si="41"/>
        <v>0</v>
      </c>
      <c r="M89" s="328"/>
      <c r="N89" s="328"/>
      <c r="O89" s="328"/>
      <c r="P89" s="328"/>
      <c r="Q89" s="328"/>
      <c r="R89" s="328"/>
      <c r="S89" s="328"/>
      <c r="T89" s="328"/>
      <c r="U89" s="328"/>
    </row>
    <row r="90" spans="2:21" s="339" customFormat="1" ht="16.2" thickTop="1" x14ac:dyDescent="0.3">
      <c r="B90" s="389"/>
      <c r="C90" s="389"/>
      <c r="D90" s="389"/>
      <c r="E90" s="389"/>
      <c r="F90" s="389"/>
      <c r="G90" s="389"/>
      <c r="H90" s="389"/>
      <c r="I90" s="305"/>
      <c r="J90" s="328"/>
      <c r="K90" s="328"/>
      <c r="L90" s="328"/>
      <c r="M90" s="328"/>
      <c r="N90" s="328"/>
      <c r="O90" s="328"/>
      <c r="P90" s="328"/>
      <c r="Q90" s="328"/>
      <c r="R90" s="328"/>
      <c r="S90" s="328"/>
      <c r="T90" s="328"/>
      <c r="U90" s="328"/>
    </row>
    <row r="91" spans="2:21" s="339" customFormat="1" ht="15.6" x14ac:dyDescent="0.3">
      <c r="B91" s="396" t="s">
        <v>215</v>
      </c>
      <c r="C91" s="366" t="s">
        <v>36</v>
      </c>
      <c r="D91" s="389"/>
      <c r="E91" s="389"/>
      <c r="F91" s="389"/>
      <c r="G91" s="389"/>
      <c r="H91" s="389"/>
      <c r="I91" s="305"/>
      <c r="J91" s="328"/>
      <c r="K91" s="328"/>
      <c r="L91" s="328"/>
      <c r="M91" s="328"/>
      <c r="N91" s="328"/>
      <c r="O91" s="328"/>
      <c r="P91" s="328"/>
      <c r="Q91" s="328"/>
      <c r="R91" s="328"/>
      <c r="S91" s="328"/>
      <c r="T91" s="328"/>
      <c r="U91" s="328"/>
    </row>
    <row r="92" spans="2:21" s="339" customFormat="1" ht="16.2" thickBot="1" x14ac:dyDescent="0.35">
      <c r="B92" s="175" t="s">
        <v>35</v>
      </c>
      <c r="C92" s="176">
        <f>(SUM(C80:L80)+SUM(C89:L89))*2</f>
        <v>0</v>
      </c>
      <c r="D92" s="406"/>
      <c r="F92" s="389"/>
      <c r="G92" s="389"/>
      <c r="H92" s="389"/>
      <c r="I92" s="305"/>
      <c r="J92" s="328"/>
      <c r="K92" s="328"/>
      <c r="L92" s="328"/>
      <c r="M92" s="328"/>
      <c r="N92" s="328"/>
      <c r="O92" s="328"/>
      <c r="P92" s="328"/>
      <c r="Q92" s="328"/>
      <c r="R92" s="328"/>
      <c r="S92" s="328"/>
      <c r="T92" s="328"/>
      <c r="U92" s="328"/>
    </row>
    <row r="93" spans="2:21" s="339" customFormat="1" ht="15" thickTop="1" thickBot="1" x14ac:dyDescent="0.35">
      <c r="B93" s="388"/>
      <c r="C93" s="384"/>
      <c r="D93" s="384"/>
      <c r="E93" s="384"/>
      <c r="F93" s="384"/>
      <c r="G93" s="384"/>
      <c r="H93" s="384"/>
      <c r="I93" s="384"/>
      <c r="J93" s="384"/>
      <c r="K93" s="384"/>
      <c r="L93" s="384"/>
      <c r="M93" s="328"/>
      <c r="N93" s="328"/>
      <c r="O93" s="328"/>
      <c r="P93" s="328"/>
      <c r="Q93" s="328"/>
      <c r="R93" s="328"/>
      <c r="S93" s="328"/>
      <c r="T93" s="328"/>
      <c r="U93" s="328"/>
    </row>
  </sheetData>
  <sheetProtection algorithmName="SHA-512" hashValue="srWdU8adu0TFNRdf4R/KLg5f3BJmTryepCVylxyzb/8fVF1rzo4wU+ugW41ClmK7NqE9HLlG6r91yuIaA7+J7Q==" saltValue="bmf14YlP8Zhfu2O+Lp4aNQ==" spinCount="100000" sheet="1" objects="1" scenarios="1"/>
  <mergeCells count="30">
    <mergeCell ref="L54:L57"/>
    <mergeCell ref="E55:E56"/>
    <mergeCell ref="C56:D56"/>
    <mergeCell ref="B67:F68"/>
    <mergeCell ref="L35:L38"/>
    <mergeCell ref="B48:F49"/>
    <mergeCell ref="C37:D37"/>
    <mergeCell ref="E36:E37"/>
    <mergeCell ref="B10:B12"/>
    <mergeCell ref="C10:D10"/>
    <mergeCell ref="C11:D11"/>
    <mergeCell ref="C12:D12"/>
    <mergeCell ref="B13:B15"/>
    <mergeCell ref="C13:D13"/>
    <mergeCell ref="C14:D14"/>
    <mergeCell ref="C15:D15"/>
    <mergeCell ref="E27:H27"/>
    <mergeCell ref="E20:H20"/>
    <mergeCell ref="E21:H21"/>
    <mergeCell ref="E24:H24"/>
    <mergeCell ref="E25:H25"/>
    <mergeCell ref="E26:H26"/>
    <mergeCell ref="J8:J9"/>
    <mergeCell ref="K8:K9"/>
    <mergeCell ref="L8:L9"/>
    <mergeCell ref="E8:E9"/>
    <mergeCell ref="F8:F9"/>
    <mergeCell ref="G8:G9"/>
    <mergeCell ref="H8:H9"/>
    <mergeCell ref="I8:I9"/>
  </mergeCells>
  <phoneticPr fontId="37" type="noConversion"/>
  <conditionalFormatting sqref="H48">
    <cfRule type="expression" dxfId="182" priority="259">
      <formula>$O$48&gt;0</formula>
    </cfRule>
  </conditionalFormatting>
  <conditionalFormatting sqref="G39">
    <cfRule type="expression" dxfId="181" priority="258">
      <formula>N39=2</formula>
    </cfRule>
  </conditionalFormatting>
  <conditionalFormatting sqref="G43">
    <cfRule type="expression" dxfId="180" priority="257">
      <formula>N43=2</formula>
    </cfRule>
  </conditionalFormatting>
  <conditionalFormatting sqref="G44">
    <cfRule type="expression" dxfId="179" priority="256">
      <formula>N44=2</formula>
    </cfRule>
  </conditionalFormatting>
  <conditionalFormatting sqref="G45">
    <cfRule type="expression" dxfId="178" priority="255">
      <formula>N45=2</formula>
    </cfRule>
  </conditionalFormatting>
  <conditionalFormatting sqref="G46">
    <cfRule type="expression" dxfId="177" priority="254">
      <formula>N46=2</formula>
    </cfRule>
  </conditionalFormatting>
  <conditionalFormatting sqref="G47">
    <cfRule type="expression" dxfId="176" priority="253">
      <formula>N47=2</formula>
    </cfRule>
  </conditionalFormatting>
  <conditionalFormatting sqref="G42">
    <cfRule type="expression" dxfId="175" priority="252">
      <formula>N42=2</formula>
    </cfRule>
  </conditionalFormatting>
  <conditionalFormatting sqref="H39">
    <cfRule type="expression" dxfId="174" priority="243">
      <formula>N39=2</formula>
    </cfRule>
    <cfRule type="expression" dxfId="173" priority="244">
      <formula>O39=0</formula>
    </cfRule>
    <cfRule type="expression" dxfId="172" priority="245">
      <formula>O39=1</formula>
    </cfRule>
  </conditionalFormatting>
  <conditionalFormatting sqref="L48">
    <cfRule type="expression" dxfId="171" priority="239">
      <formula>$P$48&gt;0</formula>
    </cfRule>
  </conditionalFormatting>
  <conditionalFormatting sqref="L40:L44">
    <cfRule type="expression" dxfId="170" priority="240">
      <formula>N40=2</formula>
    </cfRule>
    <cfRule type="expression" dxfId="169" priority="241">
      <formula>P40=0</formula>
    </cfRule>
    <cfRule type="expression" dxfId="168" priority="242">
      <formula>P40=1</formula>
    </cfRule>
  </conditionalFormatting>
  <conditionalFormatting sqref="K39">
    <cfRule type="expression" dxfId="167" priority="238">
      <formula>U39=2</formula>
    </cfRule>
  </conditionalFormatting>
  <conditionalFormatting sqref="D47">
    <cfRule type="expression" dxfId="166" priority="224">
      <formula>D46&lt;&gt;"&gt;"</formula>
    </cfRule>
    <cfRule type="expression" dxfId="165" priority="225">
      <formula>D46="&gt;"</formula>
    </cfRule>
  </conditionalFormatting>
  <conditionalFormatting sqref="K40:K42">
    <cfRule type="expression" dxfId="164" priority="223">
      <formula>N40=2</formula>
    </cfRule>
  </conditionalFormatting>
  <conditionalFormatting sqref="K43">
    <cfRule type="expression" dxfId="163" priority="222">
      <formula>N43=2</formula>
    </cfRule>
  </conditionalFormatting>
  <conditionalFormatting sqref="K44">
    <cfRule type="expression" dxfId="162" priority="221">
      <formula>N44=2</formula>
    </cfRule>
  </conditionalFormatting>
  <conditionalFormatting sqref="K45">
    <cfRule type="expression" dxfId="161" priority="220">
      <formula>N45=2</formula>
    </cfRule>
  </conditionalFormatting>
  <conditionalFormatting sqref="K46">
    <cfRule type="expression" dxfId="160" priority="219">
      <formula>N46=2</formula>
    </cfRule>
  </conditionalFormatting>
  <conditionalFormatting sqref="K47">
    <cfRule type="expression" dxfId="159" priority="218">
      <formula>N47=2</formula>
    </cfRule>
  </conditionalFormatting>
  <conditionalFormatting sqref="K40">
    <cfRule type="expression" dxfId="158" priority="217">
      <formula>U40=2</formula>
    </cfRule>
  </conditionalFormatting>
  <conditionalFormatting sqref="K41">
    <cfRule type="expression" dxfId="157" priority="216">
      <formula>U41=2</formula>
    </cfRule>
  </conditionalFormatting>
  <conditionalFormatting sqref="G40">
    <cfRule type="expression" dxfId="156" priority="215">
      <formula>N40=2</formula>
    </cfRule>
  </conditionalFormatting>
  <conditionalFormatting sqref="G41:G47">
    <cfRule type="expression" dxfId="155" priority="214">
      <formula>N41=2</formula>
    </cfRule>
  </conditionalFormatting>
  <conditionalFormatting sqref="L45">
    <cfRule type="expression" dxfId="154" priority="211">
      <formula>N45=2</formula>
    </cfRule>
    <cfRule type="expression" dxfId="153" priority="212">
      <formula>P45=0</formula>
    </cfRule>
    <cfRule type="expression" dxfId="152" priority="213">
      <formula>P45=1</formula>
    </cfRule>
  </conditionalFormatting>
  <conditionalFormatting sqref="L46">
    <cfRule type="expression" dxfId="151" priority="208">
      <formula>N46=2</formula>
    </cfRule>
    <cfRule type="expression" dxfId="150" priority="209">
      <formula>P46=0</formula>
    </cfRule>
    <cfRule type="expression" dxfId="149" priority="210">
      <formula>P46=1</formula>
    </cfRule>
  </conditionalFormatting>
  <conditionalFormatting sqref="L47">
    <cfRule type="expression" dxfId="148" priority="205">
      <formula>N47=2</formula>
    </cfRule>
    <cfRule type="expression" dxfId="147" priority="206">
      <formula>P47=0</formula>
    </cfRule>
    <cfRule type="expression" dxfId="146" priority="207">
      <formula>P47=1</formula>
    </cfRule>
  </conditionalFormatting>
  <conditionalFormatting sqref="L39:L47">
    <cfRule type="expression" dxfId="145" priority="202">
      <formula>N39=2</formula>
    </cfRule>
    <cfRule type="expression" dxfId="144" priority="203">
      <formula>P39=0</formula>
    </cfRule>
    <cfRule type="expression" dxfId="143" priority="204">
      <formula>P39=1</formula>
    </cfRule>
  </conditionalFormatting>
  <conditionalFormatting sqref="G46">
    <cfRule type="expression" dxfId="142" priority="191">
      <formula>N46=2</formula>
    </cfRule>
  </conditionalFormatting>
  <conditionalFormatting sqref="H40">
    <cfRule type="expression" dxfId="141" priority="188">
      <formula>N40=2</formula>
    </cfRule>
    <cfRule type="expression" dxfId="140" priority="189">
      <formula>O40=0</formula>
    </cfRule>
    <cfRule type="expression" dxfId="139" priority="190">
      <formula>O40=1</formula>
    </cfRule>
  </conditionalFormatting>
  <conditionalFormatting sqref="H41">
    <cfRule type="expression" dxfId="138" priority="185">
      <formula>N41=2</formula>
    </cfRule>
    <cfRule type="expression" dxfId="137" priority="186">
      <formula>O41=0</formula>
    </cfRule>
    <cfRule type="expression" dxfId="136" priority="187">
      <formula>O41=1</formula>
    </cfRule>
  </conditionalFormatting>
  <conditionalFormatting sqref="H42">
    <cfRule type="expression" dxfId="135" priority="182">
      <formula>N42=2</formula>
    </cfRule>
    <cfRule type="expression" dxfId="134" priority="183">
      <formula>O42=0</formula>
    </cfRule>
    <cfRule type="expression" dxfId="133" priority="184">
      <formula>O42=1</formula>
    </cfRule>
  </conditionalFormatting>
  <conditionalFormatting sqref="H43">
    <cfRule type="expression" dxfId="132" priority="179">
      <formula>N43=2</formula>
    </cfRule>
    <cfRule type="expression" dxfId="131" priority="180">
      <formula>O43=0</formula>
    </cfRule>
    <cfRule type="expression" dxfId="130" priority="181">
      <formula>O43=1</formula>
    </cfRule>
  </conditionalFormatting>
  <conditionalFormatting sqref="H44">
    <cfRule type="expression" dxfId="129" priority="176">
      <formula>N44=2</formula>
    </cfRule>
    <cfRule type="expression" dxfId="128" priority="177">
      <formula>O44=0</formula>
    </cfRule>
    <cfRule type="expression" dxfId="127" priority="178">
      <formula>O44=1</formula>
    </cfRule>
  </conditionalFormatting>
  <conditionalFormatting sqref="H45">
    <cfRule type="expression" dxfId="126" priority="173">
      <formula>N45=2</formula>
    </cfRule>
    <cfRule type="expression" dxfId="125" priority="174">
      <formula>O45=0</formula>
    </cfRule>
    <cfRule type="expression" dxfId="124" priority="175">
      <formula>O45=1</formula>
    </cfRule>
  </conditionalFormatting>
  <conditionalFormatting sqref="H46">
    <cfRule type="expression" dxfId="123" priority="170">
      <formula>N46=2</formula>
    </cfRule>
    <cfRule type="expression" dxfId="122" priority="171">
      <formula>O46=0</formula>
    </cfRule>
    <cfRule type="expression" dxfId="121" priority="172">
      <formula>O46=1</formula>
    </cfRule>
  </conditionalFormatting>
  <conditionalFormatting sqref="H47">
    <cfRule type="expression" dxfId="120" priority="167">
      <formula>N47=2</formula>
    </cfRule>
    <cfRule type="expression" dxfId="119" priority="168">
      <formula>O47=0</formula>
    </cfRule>
    <cfRule type="expression" dxfId="118" priority="169">
      <formula>O47=1</formula>
    </cfRule>
  </conditionalFormatting>
  <conditionalFormatting sqref="D39:D46">
    <cfRule type="expression" dxfId="117" priority="143">
      <formula>D38&lt;&gt;"&gt;"</formula>
    </cfRule>
    <cfRule type="expression" dxfId="116" priority="144">
      <formula>D38="&gt;"</formula>
    </cfRule>
  </conditionalFormatting>
  <conditionalFormatting sqref="H67">
    <cfRule type="containsText" dxfId="115" priority="74" operator="containsText" text="Fout">
      <formula>NOT(ISERROR(SEARCH("Fout",H67)))</formula>
    </cfRule>
    <cfRule type="containsText" dxfId="114" priority="75" operator="containsText" text="Fout">
      <formula>NOT(ISERROR(SEARCH("Fout",H67)))</formula>
    </cfRule>
    <cfRule type="expression" dxfId="113" priority="142">
      <formula>$O$48&gt;0</formula>
    </cfRule>
  </conditionalFormatting>
  <conditionalFormatting sqref="G58">
    <cfRule type="expression" dxfId="112" priority="141">
      <formula>N58=2</formula>
    </cfRule>
  </conditionalFormatting>
  <conditionalFormatting sqref="G62">
    <cfRule type="expression" dxfId="111" priority="140">
      <formula>N62=2</formula>
    </cfRule>
  </conditionalFormatting>
  <conditionalFormatting sqref="G63">
    <cfRule type="expression" dxfId="110" priority="139">
      <formula>N63=2</formula>
    </cfRule>
  </conditionalFormatting>
  <conditionalFormatting sqref="G64">
    <cfRule type="expression" dxfId="109" priority="138">
      <formula>N64=2</formula>
    </cfRule>
  </conditionalFormatting>
  <conditionalFormatting sqref="G65">
    <cfRule type="expression" dxfId="108" priority="137">
      <formula>N65=2</formula>
    </cfRule>
  </conditionalFormatting>
  <conditionalFormatting sqref="G66">
    <cfRule type="expression" dxfId="107" priority="136">
      <formula>N66=2</formula>
    </cfRule>
  </conditionalFormatting>
  <conditionalFormatting sqref="G61">
    <cfRule type="expression" dxfId="106" priority="135">
      <formula>N61=2</formula>
    </cfRule>
  </conditionalFormatting>
  <conditionalFormatting sqref="H58:H66">
    <cfRule type="expression" dxfId="105" priority="132">
      <formula>N58=2</formula>
    </cfRule>
    <cfRule type="expression" dxfId="104" priority="133">
      <formula>O58=0</formula>
    </cfRule>
    <cfRule type="expression" dxfId="103" priority="134">
      <formula>O58=1</formula>
    </cfRule>
  </conditionalFormatting>
  <conditionalFormatting sqref="L67">
    <cfRule type="containsText" dxfId="102" priority="73" operator="containsText" text="Fout">
      <formula>NOT(ISERROR(SEARCH("Fout",L67)))</formula>
    </cfRule>
    <cfRule type="expression" dxfId="101" priority="128">
      <formula>$P$48&gt;0</formula>
    </cfRule>
  </conditionalFormatting>
  <conditionalFormatting sqref="L59:L63">
    <cfRule type="expression" dxfId="100" priority="129">
      <formula>N59=2</formula>
    </cfRule>
    <cfRule type="expression" dxfId="99" priority="130">
      <formula>P59=0</formula>
    </cfRule>
    <cfRule type="expression" dxfId="98" priority="131">
      <formula>P59=1</formula>
    </cfRule>
  </conditionalFormatting>
  <conditionalFormatting sqref="K58">
    <cfRule type="expression" dxfId="97" priority="127">
      <formula>U58=2</formula>
    </cfRule>
  </conditionalFormatting>
  <conditionalFormatting sqref="D66">
    <cfRule type="expression" dxfId="96" priority="125">
      <formula>D65&lt;&gt;"&gt;"</formula>
    </cfRule>
    <cfRule type="expression" dxfId="95" priority="126">
      <formula>D65="&gt;"</formula>
    </cfRule>
  </conditionalFormatting>
  <conditionalFormatting sqref="K59:K61">
    <cfRule type="expression" dxfId="94" priority="124">
      <formula>N59=2</formula>
    </cfRule>
  </conditionalFormatting>
  <conditionalFormatting sqref="K62">
    <cfRule type="expression" dxfId="93" priority="123">
      <formula>N62=2</formula>
    </cfRule>
  </conditionalFormatting>
  <conditionalFormatting sqref="K63">
    <cfRule type="expression" dxfId="92" priority="122">
      <formula>N63=2</formula>
    </cfRule>
  </conditionalFormatting>
  <conditionalFormatting sqref="K64">
    <cfRule type="expression" dxfId="91" priority="121">
      <formula>N64=2</formula>
    </cfRule>
  </conditionalFormatting>
  <conditionalFormatting sqref="K65">
    <cfRule type="expression" dxfId="90" priority="120">
      <formula>N65=2</formula>
    </cfRule>
  </conditionalFormatting>
  <conditionalFormatting sqref="K66">
    <cfRule type="expression" dxfId="89" priority="119">
      <formula>N66=2</formula>
    </cfRule>
  </conditionalFormatting>
  <conditionalFormatting sqref="K59">
    <cfRule type="expression" dxfId="88" priority="118">
      <formula>U59=2</formula>
    </cfRule>
  </conditionalFormatting>
  <conditionalFormatting sqref="K60">
    <cfRule type="expression" dxfId="87" priority="117">
      <formula>U60=2</formula>
    </cfRule>
  </conditionalFormatting>
  <conditionalFormatting sqref="G59">
    <cfRule type="expression" dxfId="86" priority="116">
      <formula>N59=2</formula>
    </cfRule>
  </conditionalFormatting>
  <conditionalFormatting sqref="G60:G66">
    <cfRule type="expression" dxfId="85" priority="115">
      <formula>N60=2</formula>
    </cfRule>
  </conditionalFormatting>
  <conditionalFormatting sqref="L64">
    <cfRule type="expression" dxfId="84" priority="112">
      <formula>N64=2</formula>
    </cfRule>
    <cfRule type="expression" dxfId="83" priority="113">
      <formula>P64=0</formula>
    </cfRule>
    <cfRule type="expression" dxfId="82" priority="114">
      <formula>P64=1</formula>
    </cfRule>
  </conditionalFormatting>
  <conditionalFormatting sqref="L65">
    <cfRule type="expression" dxfId="81" priority="109">
      <formula>N65=2</formula>
    </cfRule>
    <cfRule type="expression" dxfId="80" priority="110">
      <formula>P65=0</formula>
    </cfRule>
    <cfRule type="expression" dxfId="79" priority="111">
      <formula>P65=1</formula>
    </cfRule>
  </conditionalFormatting>
  <conditionalFormatting sqref="L66">
    <cfRule type="expression" dxfId="78" priority="106">
      <formula>N66=2</formula>
    </cfRule>
    <cfRule type="expression" dxfId="77" priority="107">
      <formula>P66=0</formula>
    </cfRule>
    <cfRule type="expression" dxfId="76" priority="108">
      <formula>P66=1</formula>
    </cfRule>
  </conditionalFormatting>
  <conditionalFormatting sqref="L58:L66">
    <cfRule type="expression" dxfId="75" priority="103">
      <formula>N58=2</formula>
    </cfRule>
    <cfRule type="expression" dxfId="74" priority="104">
      <formula>P58=0</formula>
    </cfRule>
    <cfRule type="expression" dxfId="73" priority="105">
      <formula>P58=1</formula>
    </cfRule>
  </conditionalFormatting>
  <conditionalFormatting sqref="G65">
    <cfRule type="expression" dxfId="72" priority="102">
      <formula>N65=2</formula>
    </cfRule>
  </conditionalFormatting>
  <conditionalFormatting sqref="D58:D65">
    <cfRule type="expression" dxfId="71" priority="76">
      <formula>D57&lt;&gt;"&gt;"</formula>
    </cfRule>
    <cfRule type="expression" dxfId="70" priority="77">
      <formula>D57="&gt;"</formula>
    </cfRule>
  </conditionalFormatting>
  <pageMargins left="0.7" right="0.7" top="0.75" bottom="0.75" header="0.3" footer="0.3"/>
  <pageSetup paperSize="9" orientation="portrait" r:id="rId1"/>
  <ignoredErrors>
    <ignoredError sqref="F72:L72 C59:C66 C73:L73 C40:C47" unlockedFormula="1"/>
    <ignoredError sqref="F74"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W84"/>
  <sheetViews>
    <sheetView showGridLines="0" zoomScale="80" zoomScaleNormal="80" workbookViewId="0">
      <selection activeCell="B23" sqref="B23"/>
    </sheetView>
  </sheetViews>
  <sheetFormatPr defaultColWidth="0" defaultRowHeight="0" customHeight="1" zeroHeight="1" x14ac:dyDescent="0.3"/>
  <cols>
    <col min="1" max="1" width="3.6640625" style="373" customWidth="1"/>
    <col min="2" max="2" width="44.88671875" style="372" customWidth="1"/>
    <col min="3" max="3" width="18.6640625" style="373" customWidth="1"/>
    <col min="4" max="12" width="18.6640625" style="374" customWidth="1"/>
    <col min="13" max="13" width="3.6640625" style="341" customWidth="1"/>
    <col min="14" max="14" width="7.109375" style="373" hidden="1" customWidth="1"/>
    <col min="15" max="15" width="8.88671875" style="373" hidden="1" customWidth="1"/>
    <col min="16" max="16" width="4.109375" style="373" hidden="1" customWidth="1"/>
    <col min="17" max="18" width="8.88671875" style="373" hidden="1" customWidth="1"/>
    <col min="19" max="19" width="24.33203125" style="373" hidden="1" customWidth="1"/>
    <col min="20" max="20" width="21.6640625" style="373" hidden="1" customWidth="1"/>
    <col min="21" max="16384" width="3.44140625" style="373" hidden="1"/>
  </cols>
  <sheetData>
    <row r="1" spans="1:21" ht="16.95" customHeight="1" x14ac:dyDescent="0.4">
      <c r="A1" s="371"/>
      <c r="M1" s="305"/>
    </row>
    <row r="2" spans="1:21" s="371" customFormat="1" ht="22.8" x14ac:dyDescent="0.4">
      <c r="B2" s="168" t="str">
        <f>Samenvatting!B2</f>
        <v>Europese aanbesteding Data Storage Platform</v>
      </c>
      <c r="C2" s="168"/>
      <c r="D2" s="375"/>
      <c r="E2" s="168"/>
      <c r="F2" s="168"/>
      <c r="G2" s="168"/>
      <c r="H2" s="168"/>
      <c r="I2" s="168"/>
      <c r="J2" s="168"/>
      <c r="K2" s="168"/>
      <c r="L2" s="168"/>
      <c r="M2" s="305"/>
      <c r="N2" s="379"/>
      <c r="O2" s="379"/>
      <c r="P2" s="379"/>
      <c r="Q2" s="379"/>
      <c r="R2" s="379"/>
      <c r="S2" s="379"/>
      <c r="T2" s="379"/>
      <c r="U2" s="379"/>
    </row>
    <row r="3" spans="1:21" s="339" customFormat="1" ht="21" x14ac:dyDescent="0.4">
      <c r="B3" s="184" t="s">
        <v>290</v>
      </c>
      <c r="C3" s="380"/>
      <c r="D3" s="380"/>
      <c r="E3" s="380"/>
      <c r="F3" s="380"/>
      <c r="G3" s="380"/>
      <c r="H3" s="380"/>
      <c r="I3" s="380"/>
      <c r="J3" s="380"/>
      <c r="K3" s="380"/>
      <c r="L3" s="380"/>
      <c r="M3" s="305"/>
      <c r="N3" s="328"/>
      <c r="O3" s="328"/>
      <c r="P3" s="328"/>
      <c r="Q3" s="328"/>
      <c r="R3" s="328"/>
      <c r="S3" s="328"/>
      <c r="T3" s="328"/>
      <c r="U3" s="328"/>
    </row>
    <row r="4" spans="1:21" s="339" customFormat="1" ht="15.6" x14ac:dyDescent="0.3">
      <c r="B4" s="170" t="str">
        <f>Samenvatting!B4</f>
        <v xml:space="preserve"> Kenmerk: IUC23-047</v>
      </c>
      <c r="C4" s="380"/>
      <c r="D4" s="380"/>
      <c r="E4" s="380"/>
      <c r="F4" s="380"/>
      <c r="G4" s="380"/>
      <c r="H4" s="380"/>
      <c r="I4" s="380"/>
      <c r="J4" s="380"/>
      <c r="K4" s="380"/>
      <c r="L4" s="380"/>
      <c r="M4" s="305"/>
      <c r="N4" s="328"/>
      <c r="O4" s="328"/>
      <c r="P4" s="328"/>
      <c r="Q4" s="328"/>
      <c r="R4" s="328"/>
      <c r="S4" s="328"/>
      <c r="T4" s="328"/>
      <c r="U4" s="328"/>
    </row>
    <row r="5" spans="1:21" s="339" customFormat="1" ht="15.6" x14ac:dyDescent="0.3">
      <c r="B5" s="171" t="s">
        <v>73</v>
      </c>
      <c r="C5" s="380"/>
      <c r="D5" s="380"/>
      <c r="E5" s="380"/>
      <c r="F5" s="380"/>
      <c r="G5" s="380"/>
      <c r="H5" s="380"/>
      <c r="I5" s="380"/>
      <c r="J5" s="380"/>
      <c r="K5" s="380"/>
      <c r="L5" s="380"/>
      <c r="M5" s="305"/>
      <c r="N5" s="328"/>
      <c r="O5" s="328"/>
      <c r="P5" s="328"/>
      <c r="Q5" s="328"/>
      <c r="R5" s="328"/>
      <c r="S5" s="328"/>
      <c r="T5" s="328"/>
      <c r="U5" s="328"/>
    </row>
    <row r="6" spans="1:21" s="339" customFormat="1" ht="15.6" x14ac:dyDescent="0.3">
      <c r="B6" s="188"/>
      <c r="C6" s="407"/>
      <c r="D6" s="408"/>
      <c r="E6" s="409"/>
      <c r="F6" s="409"/>
      <c r="G6" s="409"/>
      <c r="H6" s="408"/>
      <c r="I6" s="408"/>
      <c r="J6" s="408"/>
      <c r="K6" s="408"/>
      <c r="L6" s="408"/>
      <c r="M6" s="305"/>
      <c r="N6" s="328"/>
      <c r="O6" s="328"/>
      <c r="P6" s="328"/>
      <c r="Q6" s="328"/>
      <c r="R6" s="328"/>
      <c r="S6" s="328"/>
      <c r="T6" s="328"/>
      <c r="U6" s="328"/>
    </row>
    <row r="7" spans="1:21" s="339" customFormat="1" ht="15.6" x14ac:dyDescent="0.3">
      <c r="B7" s="382"/>
      <c r="C7" s="383"/>
      <c r="D7" s="383"/>
      <c r="E7" s="383"/>
      <c r="F7" s="383"/>
      <c r="G7" s="383"/>
      <c r="H7" s="383"/>
      <c r="I7" s="383"/>
      <c r="J7" s="383"/>
      <c r="K7" s="383"/>
      <c r="L7" s="383"/>
      <c r="M7" s="305"/>
      <c r="N7" s="328"/>
      <c r="O7" s="328"/>
      <c r="P7" s="328"/>
      <c r="Q7" s="328"/>
      <c r="R7" s="328"/>
      <c r="S7" s="328"/>
      <c r="T7" s="328"/>
      <c r="U7" s="328"/>
    </row>
    <row r="8" spans="1:21" s="339" customFormat="1" ht="15.6" x14ac:dyDescent="0.3">
      <c r="B8" s="254" t="s">
        <v>1</v>
      </c>
      <c r="C8" s="255"/>
      <c r="D8" s="256"/>
      <c r="E8" s="480" t="s">
        <v>160</v>
      </c>
      <c r="F8" s="481" t="s">
        <v>161</v>
      </c>
      <c r="G8" s="481" t="s">
        <v>154</v>
      </c>
      <c r="H8" s="481" t="s">
        <v>155</v>
      </c>
      <c r="I8" s="481" t="s">
        <v>156</v>
      </c>
      <c r="J8" s="481" t="s">
        <v>157</v>
      </c>
      <c r="K8" s="481" t="s">
        <v>158</v>
      </c>
      <c r="L8" s="481" t="s">
        <v>159</v>
      </c>
      <c r="M8" s="305"/>
      <c r="N8" s="328"/>
      <c r="O8" s="328"/>
      <c r="P8" s="328"/>
      <c r="Q8" s="328"/>
      <c r="R8" s="328"/>
      <c r="S8" s="328"/>
      <c r="T8" s="328"/>
      <c r="U8" s="328"/>
    </row>
    <row r="9" spans="1:21" s="339" customFormat="1" ht="15.6" x14ac:dyDescent="0.3">
      <c r="B9" s="257" t="s">
        <v>0</v>
      </c>
      <c r="C9" s="258" t="s">
        <v>0</v>
      </c>
      <c r="D9" s="258"/>
      <c r="E9" s="480"/>
      <c r="F9" s="482"/>
      <c r="G9" s="482"/>
      <c r="H9" s="482"/>
      <c r="I9" s="482"/>
      <c r="J9" s="482"/>
      <c r="K9" s="482"/>
      <c r="L9" s="482"/>
      <c r="M9" s="305"/>
      <c r="N9" s="328"/>
      <c r="O9" s="328"/>
      <c r="P9" s="328"/>
      <c r="Q9" s="328"/>
      <c r="R9" s="328"/>
      <c r="S9" s="328"/>
      <c r="T9" s="328"/>
      <c r="U9" s="328"/>
    </row>
    <row r="10" spans="1:21" s="339" customFormat="1" ht="12" customHeight="1" x14ac:dyDescent="0.3">
      <c r="B10" s="484" t="s">
        <v>268</v>
      </c>
      <c r="C10" s="483" t="s">
        <v>152</v>
      </c>
      <c r="D10" s="483"/>
      <c r="E10" s="259">
        <v>750</v>
      </c>
      <c r="F10" s="259">
        <f>1.1*E10</f>
        <v>825.00000000000011</v>
      </c>
      <c r="G10" s="259">
        <v>900</v>
      </c>
      <c r="H10" s="259">
        <v>1000</v>
      </c>
      <c r="I10" s="259">
        <v>1100</v>
      </c>
      <c r="J10" s="259">
        <v>1200</v>
      </c>
      <c r="K10" s="259">
        <v>1325</v>
      </c>
      <c r="L10" s="259">
        <v>1450</v>
      </c>
      <c r="M10" s="305"/>
      <c r="N10" s="328"/>
      <c r="O10" s="328"/>
      <c r="P10" s="328"/>
      <c r="Q10" s="328"/>
      <c r="R10" s="328"/>
      <c r="S10" s="328"/>
      <c r="T10" s="328"/>
      <c r="U10" s="328"/>
    </row>
    <row r="11" spans="1:21" ht="12" customHeight="1" x14ac:dyDescent="0.3">
      <c r="B11" s="484"/>
      <c r="C11" s="483" t="s">
        <v>153</v>
      </c>
      <c r="D11" s="483"/>
      <c r="E11" s="259">
        <v>750</v>
      </c>
      <c r="F11" s="259">
        <f>1.1*E11</f>
        <v>825.00000000000011</v>
      </c>
      <c r="G11" s="259">
        <v>900</v>
      </c>
      <c r="H11" s="259">
        <v>1000</v>
      </c>
      <c r="I11" s="259">
        <v>1100</v>
      </c>
      <c r="J11" s="259">
        <v>1200</v>
      </c>
      <c r="K11" s="259">
        <v>1325</v>
      </c>
      <c r="L11" s="259">
        <v>1450</v>
      </c>
    </row>
    <row r="12" spans="1:21" s="339" customFormat="1" ht="12" customHeight="1" x14ac:dyDescent="0.3">
      <c r="B12" s="484"/>
      <c r="C12" s="485" t="s">
        <v>175</v>
      </c>
      <c r="D12" s="485"/>
      <c r="E12" s="261">
        <f>SUM(E10:E11)</f>
        <v>1500</v>
      </c>
      <c r="F12" s="261">
        <f>SUM(F10:F11)</f>
        <v>1650.0000000000002</v>
      </c>
      <c r="G12" s="261">
        <f t="shared" ref="G12:L12" si="0">SUM(G10:G11)</f>
        <v>1800</v>
      </c>
      <c r="H12" s="261">
        <f t="shared" si="0"/>
        <v>2000</v>
      </c>
      <c r="I12" s="261">
        <f t="shared" si="0"/>
        <v>2200</v>
      </c>
      <c r="J12" s="261">
        <f t="shared" si="0"/>
        <v>2400</v>
      </c>
      <c r="K12" s="261">
        <f t="shared" si="0"/>
        <v>2650</v>
      </c>
      <c r="L12" s="261">
        <f t="shared" si="0"/>
        <v>2900</v>
      </c>
      <c r="M12" s="305"/>
      <c r="N12" s="328"/>
      <c r="O12" s="328"/>
      <c r="P12" s="328"/>
      <c r="Q12" s="328"/>
      <c r="R12" s="328"/>
      <c r="S12" s="328"/>
      <c r="T12" s="328"/>
      <c r="U12" s="328"/>
    </row>
    <row r="13" spans="1:21" s="339" customFormat="1" ht="12" customHeight="1" x14ac:dyDescent="0.3">
      <c r="B13" s="484" t="s">
        <v>269</v>
      </c>
      <c r="C13" s="483" t="s">
        <v>152</v>
      </c>
      <c r="D13" s="483"/>
      <c r="E13" s="259">
        <v>750</v>
      </c>
      <c r="F13" s="259">
        <f>1.2*E13</f>
        <v>900</v>
      </c>
      <c r="G13" s="259">
        <v>1075</v>
      </c>
      <c r="H13" s="259">
        <v>1300</v>
      </c>
      <c r="I13" s="259">
        <v>1575</v>
      </c>
      <c r="J13" s="259">
        <v>1900</v>
      </c>
      <c r="K13" s="259">
        <v>2275</v>
      </c>
      <c r="L13" s="259">
        <v>2725</v>
      </c>
      <c r="M13" s="305"/>
      <c r="N13" s="328"/>
      <c r="O13" s="328"/>
      <c r="P13" s="328"/>
      <c r="Q13" s="328"/>
      <c r="R13" s="328"/>
      <c r="S13" s="328"/>
      <c r="T13" s="328"/>
      <c r="U13" s="328"/>
    </row>
    <row r="14" spans="1:21" s="339" customFormat="1" ht="12" customHeight="1" x14ac:dyDescent="0.3">
      <c r="B14" s="484"/>
      <c r="C14" s="483" t="s">
        <v>153</v>
      </c>
      <c r="D14" s="483"/>
      <c r="E14" s="259">
        <v>750</v>
      </c>
      <c r="F14" s="259">
        <f t="shared" ref="F14:L14" si="1">F13</f>
        <v>900</v>
      </c>
      <c r="G14" s="259">
        <f t="shared" si="1"/>
        <v>1075</v>
      </c>
      <c r="H14" s="259">
        <f t="shared" si="1"/>
        <v>1300</v>
      </c>
      <c r="I14" s="259">
        <f t="shared" si="1"/>
        <v>1575</v>
      </c>
      <c r="J14" s="259">
        <f t="shared" si="1"/>
        <v>1900</v>
      </c>
      <c r="K14" s="259">
        <f t="shared" si="1"/>
        <v>2275</v>
      </c>
      <c r="L14" s="259">
        <f t="shared" si="1"/>
        <v>2725</v>
      </c>
      <c r="M14" s="305"/>
      <c r="N14" s="328"/>
      <c r="O14" s="328"/>
      <c r="P14" s="328"/>
      <c r="Q14" s="328"/>
      <c r="R14" s="328"/>
      <c r="S14" s="328"/>
      <c r="T14" s="328"/>
      <c r="U14" s="328"/>
    </row>
    <row r="15" spans="1:21" s="339" customFormat="1" ht="12" customHeight="1" x14ac:dyDescent="0.3">
      <c r="B15" s="484"/>
      <c r="C15" s="485" t="s">
        <v>175</v>
      </c>
      <c r="D15" s="485"/>
      <c r="E15" s="261">
        <f>SUM(E13:E14)</f>
        <v>1500</v>
      </c>
      <c r="F15" s="261">
        <f t="shared" ref="F15:L15" si="2">SUM(F13:F14)</f>
        <v>1800</v>
      </c>
      <c r="G15" s="261">
        <f t="shared" si="2"/>
        <v>2150</v>
      </c>
      <c r="H15" s="261">
        <f t="shared" si="2"/>
        <v>2600</v>
      </c>
      <c r="I15" s="261">
        <f t="shared" si="2"/>
        <v>3150</v>
      </c>
      <c r="J15" s="261">
        <f t="shared" si="2"/>
        <v>3800</v>
      </c>
      <c r="K15" s="261">
        <f t="shared" si="2"/>
        <v>4550</v>
      </c>
      <c r="L15" s="261">
        <f t="shared" si="2"/>
        <v>5450</v>
      </c>
      <c r="M15" s="305"/>
      <c r="N15" s="328"/>
      <c r="O15" s="328"/>
      <c r="P15" s="328"/>
      <c r="Q15" s="328"/>
      <c r="R15" s="328"/>
      <c r="S15" s="328"/>
      <c r="T15" s="328"/>
      <c r="U15" s="328"/>
    </row>
    <row r="16" spans="1:21" s="339" customFormat="1" ht="16.2" thickBot="1" x14ac:dyDescent="0.35">
      <c r="B16" s="394"/>
      <c r="C16" s="410"/>
      <c r="D16" s="394"/>
      <c r="E16" s="394"/>
      <c r="F16" s="394"/>
      <c r="G16" s="394"/>
      <c r="H16" s="394"/>
      <c r="I16" s="394"/>
      <c r="J16" s="394"/>
      <c r="K16" s="394"/>
      <c r="L16" s="394"/>
      <c r="M16" s="305"/>
      <c r="N16" s="328"/>
      <c r="O16" s="328"/>
      <c r="P16" s="328"/>
      <c r="Q16" s="328"/>
      <c r="R16" s="328"/>
      <c r="S16" s="328"/>
      <c r="T16" s="328"/>
      <c r="U16" s="328"/>
    </row>
    <row r="17" spans="2:21" s="339" customFormat="1" ht="15.6" x14ac:dyDescent="0.3">
      <c r="B17" s="383"/>
      <c r="C17" s="383"/>
      <c r="D17" s="383"/>
      <c r="E17" s="383"/>
      <c r="F17" s="383"/>
      <c r="G17" s="383"/>
      <c r="H17" s="383"/>
      <c r="I17" s="383"/>
      <c r="J17" s="383"/>
      <c r="K17" s="383"/>
      <c r="L17" s="383"/>
      <c r="M17" s="305"/>
      <c r="N17" s="328"/>
      <c r="O17" s="328"/>
      <c r="P17" s="328"/>
      <c r="Q17" s="328"/>
      <c r="R17" s="328"/>
      <c r="S17" s="328"/>
      <c r="T17" s="328"/>
      <c r="U17" s="328"/>
    </row>
    <row r="18" spans="2:21" s="339" customFormat="1" ht="15.6" x14ac:dyDescent="0.3">
      <c r="B18" s="172" t="s">
        <v>80</v>
      </c>
      <c r="C18" s="267"/>
      <c r="D18" s="267"/>
      <c r="E18" s="268"/>
      <c r="F18" s="268"/>
      <c r="G18" s="268"/>
      <c r="H18" s="385"/>
      <c r="I18" s="383"/>
      <c r="J18" s="383"/>
      <c r="K18" s="383"/>
      <c r="L18" s="383"/>
      <c r="M18" s="305"/>
      <c r="N18" s="328"/>
      <c r="O18" s="328"/>
      <c r="P18" s="328"/>
      <c r="Q18" s="328"/>
      <c r="R18" s="328"/>
      <c r="S18" s="328"/>
      <c r="T18" s="328"/>
      <c r="U18" s="328"/>
    </row>
    <row r="19" spans="2:21" s="339" customFormat="1" ht="15.6" x14ac:dyDescent="0.3">
      <c r="B19" s="382"/>
      <c r="C19" s="383"/>
      <c r="D19" s="383"/>
      <c r="E19" s="383"/>
      <c r="F19" s="383"/>
      <c r="G19" s="383"/>
      <c r="H19" s="383"/>
      <c r="I19" s="383"/>
      <c r="J19" s="383"/>
      <c r="K19" s="383"/>
      <c r="L19" s="383"/>
      <c r="M19" s="305"/>
      <c r="N19" s="328"/>
      <c r="O19" s="328"/>
      <c r="P19" s="328"/>
      <c r="Q19" s="328"/>
      <c r="R19" s="328"/>
      <c r="S19" s="328"/>
      <c r="T19" s="328"/>
      <c r="U19" s="328"/>
    </row>
    <row r="20" spans="2:21" s="339" customFormat="1" ht="15.6" x14ac:dyDescent="0.3">
      <c r="B20" s="386" t="s">
        <v>284</v>
      </c>
      <c r="C20" s="387" t="s">
        <v>7</v>
      </c>
      <c r="D20" s="387" t="s">
        <v>8</v>
      </c>
      <c r="E20" s="487" t="s">
        <v>46</v>
      </c>
      <c r="F20" s="488"/>
      <c r="G20" s="488"/>
      <c r="H20" s="489"/>
      <c r="I20" s="383"/>
      <c r="J20" s="383"/>
      <c r="K20" s="383"/>
      <c r="L20" s="383"/>
      <c r="M20" s="305"/>
      <c r="N20" s="328"/>
      <c r="O20" s="328"/>
      <c r="P20" s="328"/>
      <c r="Q20" s="328"/>
      <c r="R20" s="328"/>
      <c r="S20" s="328"/>
      <c r="T20" s="328"/>
      <c r="U20" s="328"/>
    </row>
    <row r="21" spans="2:21" s="339" customFormat="1" ht="15.6" x14ac:dyDescent="0.3">
      <c r="B21" s="9"/>
      <c r="C21" s="164"/>
      <c r="D21" s="164"/>
      <c r="E21" s="496"/>
      <c r="F21" s="496"/>
      <c r="G21" s="496"/>
      <c r="H21" s="496"/>
      <c r="I21" s="383"/>
      <c r="J21" s="383"/>
      <c r="K21" s="383"/>
      <c r="L21" s="383"/>
      <c r="M21" s="305"/>
      <c r="N21" s="328"/>
      <c r="O21" s="328"/>
      <c r="P21" s="328"/>
      <c r="Q21" s="328"/>
      <c r="R21" s="328"/>
      <c r="S21" s="328"/>
      <c r="T21" s="328"/>
      <c r="U21" s="328"/>
    </row>
    <row r="22" spans="2:21" s="339" customFormat="1" ht="15.6" x14ac:dyDescent="0.3">
      <c r="B22" s="9"/>
      <c r="C22" s="164"/>
      <c r="D22" s="164"/>
      <c r="E22" s="496"/>
      <c r="F22" s="496"/>
      <c r="G22" s="496"/>
      <c r="H22" s="496"/>
      <c r="I22" s="383"/>
      <c r="J22" s="383"/>
      <c r="K22" s="383"/>
      <c r="L22" s="383"/>
      <c r="M22" s="305"/>
      <c r="N22" s="328"/>
      <c r="O22" s="328"/>
      <c r="P22" s="328"/>
      <c r="Q22" s="328"/>
      <c r="R22" s="328"/>
      <c r="S22" s="328"/>
      <c r="T22" s="328"/>
      <c r="U22" s="328"/>
    </row>
    <row r="23" spans="2:21" s="339" customFormat="1" ht="15.6" x14ac:dyDescent="0.3">
      <c r="B23" s="9"/>
      <c r="C23" s="164"/>
      <c r="D23" s="164"/>
      <c r="E23" s="493"/>
      <c r="F23" s="494"/>
      <c r="G23" s="494"/>
      <c r="H23" s="495"/>
      <c r="I23" s="383"/>
      <c r="J23" s="383"/>
      <c r="K23" s="383"/>
      <c r="L23" s="383"/>
      <c r="M23" s="305"/>
      <c r="N23" s="328"/>
      <c r="O23" s="328"/>
      <c r="P23" s="328"/>
      <c r="Q23" s="328"/>
      <c r="R23" s="328"/>
      <c r="S23" s="328"/>
      <c r="T23" s="328"/>
      <c r="U23" s="328"/>
    </row>
    <row r="24" spans="2:21" s="339" customFormat="1" ht="15.6" x14ac:dyDescent="0.3">
      <c r="B24" s="9"/>
      <c r="C24" s="164"/>
      <c r="D24" s="164"/>
      <c r="E24" s="493"/>
      <c r="F24" s="494"/>
      <c r="G24" s="494"/>
      <c r="H24" s="495"/>
      <c r="I24" s="383"/>
      <c r="J24" s="383"/>
      <c r="K24" s="383"/>
      <c r="L24" s="383"/>
      <c r="M24" s="305"/>
      <c r="N24" s="328"/>
      <c r="O24" s="328"/>
      <c r="P24" s="328"/>
      <c r="Q24" s="328"/>
      <c r="R24" s="328"/>
      <c r="S24" s="328"/>
      <c r="T24" s="328"/>
      <c r="U24" s="328"/>
    </row>
    <row r="25" spans="2:21" s="339" customFormat="1" ht="15.6" x14ac:dyDescent="0.3">
      <c r="B25" s="9"/>
      <c r="C25" s="164"/>
      <c r="D25" s="164"/>
      <c r="E25" s="493"/>
      <c r="F25" s="494"/>
      <c r="G25" s="494"/>
      <c r="H25" s="495"/>
      <c r="I25" s="383"/>
      <c r="J25" s="383"/>
      <c r="K25" s="383"/>
      <c r="L25" s="383"/>
      <c r="M25" s="305"/>
      <c r="N25" s="328"/>
      <c r="O25" s="328"/>
      <c r="P25" s="328"/>
      <c r="Q25" s="328"/>
      <c r="R25" s="328"/>
      <c r="S25" s="328"/>
      <c r="T25" s="328"/>
      <c r="U25" s="328"/>
    </row>
    <row r="26" spans="2:21" s="339" customFormat="1" ht="15.6" x14ac:dyDescent="0.3">
      <c r="B26" s="9"/>
      <c r="C26" s="164"/>
      <c r="D26" s="164"/>
      <c r="E26" s="496"/>
      <c r="F26" s="496"/>
      <c r="G26" s="496"/>
      <c r="H26" s="496"/>
      <c r="I26" s="383"/>
      <c r="J26" s="383"/>
      <c r="K26" s="383"/>
      <c r="L26" s="383"/>
      <c r="M26" s="305"/>
      <c r="N26" s="328"/>
      <c r="O26" s="328"/>
      <c r="P26" s="328"/>
      <c r="Q26" s="328"/>
      <c r="R26" s="328"/>
      <c r="S26" s="328"/>
      <c r="T26" s="328"/>
      <c r="U26" s="328"/>
    </row>
    <row r="27" spans="2:21" s="339" customFormat="1" ht="15.6" x14ac:dyDescent="0.3">
      <c r="B27" s="9"/>
      <c r="C27" s="164"/>
      <c r="D27" s="164"/>
      <c r="E27" s="496"/>
      <c r="F27" s="496"/>
      <c r="G27" s="496"/>
      <c r="H27" s="496"/>
      <c r="I27" s="383"/>
      <c r="J27" s="383"/>
      <c r="K27" s="383"/>
      <c r="L27" s="383"/>
      <c r="M27" s="305"/>
      <c r="N27" s="328"/>
      <c r="O27" s="328"/>
      <c r="P27" s="328"/>
      <c r="Q27" s="328"/>
      <c r="R27" s="328"/>
      <c r="S27" s="328"/>
      <c r="T27" s="328"/>
      <c r="U27" s="328"/>
    </row>
    <row r="28" spans="2:21" s="339" customFormat="1" ht="15.6" x14ac:dyDescent="0.3">
      <c r="B28" s="411" t="s">
        <v>45</v>
      </c>
      <c r="C28" s="412"/>
      <c r="D28" s="412"/>
      <c r="E28" s="412"/>
      <c r="F28" s="412"/>
      <c r="G28" s="412"/>
      <c r="H28" s="412"/>
      <c r="I28" s="383"/>
      <c r="J28" s="383"/>
      <c r="K28" s="383"/>
      <c r="L28" s="383"/>
      <c r="M28" s="305"/>
      <c r="N28" s="328"/>
      <c r="O28" s="328"/>
      <c r="P28" s="328"/>
      <c r="Q28" s="328"/>
      <c r="R28" s="328"/>
      <c r="S28" s="328"/>
      <c r="T28" s="328"/>
      <c r="U28" s="328"/>
    </row>
    <row r="29" spans="2:21" s="339" customFormat="1" ht="16.2" thickBot="1" x14ac:dyDescent="0.35">
      <c r="B29" s="388"/>
      <c r="C29" s="384"/>
      <c r="D29" s="384"/>
      <c r="E29" s="384"/>
      <c r="F29" s="384"/>
      <c r="G29" s="384"/>
      <c r="H29" s="384"/>
      <c r="I29" s="383"/>
      <c r="J29" s="383"/>
      <c r="K29" s="383"/>
      <c r="L29" s="383"/>
      <c r="M29" s="305"/>
      <c r="N29" s="328"/>
      <c r="O29" s="328"/>
      <c r="P29" s="328"/>
      <c r="Q29" s="328"/>
      <c r="R29" s="328"/>
      <c r="S29" s="328"/>
      <c r="T29" s="328"/>
      <c r="U29" s="328"/>
    </row>
    <row r="30" spans="2:21" s="339" customFormat="1" ht="15.6" x14ac:dyDescent="0.3">
      <c r="B30" s="382"/>
      <c r="C30" s="383"/>
      <c r="D30" s="383"/>
      <c r="E30" s="383"/>
      <c r="F30" s="383"/>
      <c r="G30" s="383"/>
      <c r="H30" s="383"/>
      <c r="I30" s="383"/>
      <c r="J30" s="383"/>
      <c r="K30" s="383"/>
      <c r="L30" s="383"/>
      <c r="M30" s="305"/>
      <c r="N30" s="328"/>
      <c r="O30" s="328"/>
      <c r="P30" s="328"/>
      <c r="Q30" s="328"/>
      <c r="R30" s="328"/>
      <c r="S30" s="328"/>
      <c r="T30" s="328"/>
      <c r="U30" s="328"/>
    </row>
    <row r="31" spans="2:21" s="339" customFormat="1" ht="15.6" x14ac:dyDescent="0.3">
      <c r="B31" s="172" t="s">
        <v>276</v>
      </c>
      <c r="C31" s="267"/>
      <c r="D31" s="267"/>
      <c r="E31" s="268"/>
      <c r="F31" s="268"/>
      <c r="G31" s="268"/>
      <c r="H31" s="385"/>
      <c r="I31" s="383"/>
      <c r="J31" s="383"/>
      <c r="K31" s="383"/>
      <c r="L31" s="383"/>
      <c r="M31" s="305"/>
      <c r="N31" s="328"/>
      <c r="O31" s="328"/>
      <c r="P31" s="328"/>
      <c r="Q31" s="328"/>
      <c r="R31" s="328"/>
      <c r="S31" s="328"/>
      <c r="T31" s="328"/>
      <c r="U31" s="328"/>
    </row>
    <row r="32" spans="2:21" s="339" customFormat="1" ht="15.6" x14ac:dyDescent="0.3">
      <c r="B32" s="389"/>
      <c r="C32" s="389"/>
      <c r="D32" s="389"/>
      <c r="E32" s="389"/>
      <c r="F32" s="389"/>
      <c r="G32" s="389"/>
      <c r="H32" s="389"/>
      <c r="I32" s="383"/>
      <c r="J32" s="383"/>
      <c r="K32" s="383"/>
      <c r="L32" s="383"/>
      <c r="M32" s="305"/>
      <c r="N32" s="328"/>
      <c r="O32" s="328"/>
      <c r="P32" s="328"/>
      <c r="Q32" s="328"/>
      <c r="R32" s="328"/>
      <c r="S32" s="328"/>
      <c r="T32" s="328"/>
      <c r="U32" s="328"/>
    </row>
    <row r="33" spans="2:23" s="339" customFormat="1" ht="15.6" x14ac:dyDescent="0.3">
      <c r="B33" s="301" t="s">
        <v>209</v>
      </c>
      <c r="C33" s="302" t="s">
        <v>0</v>
      </c>
      <c r="D33" s="303"/>
      <c r="E33" s="303" t="s">
        <v>0</v>
      </c>
      <c r="F33" s="303"/>
      <c r="G33" s="303"/>
      <c r="H33" s="304"/>
      <c r="I33" s="383"/>
      <c r="J33" s="383"/>
      <c r="K33" s="383"/>
      <c r="L33" s="383"/>
      <c r="M33" s="305"/>
      <c r="N33" s="328"/>
      <c r="O33" s="328"/>
      <c r="P33" s="328"/>
      <c r="Q33" s="328"/>
      <c r="R33" s="328"/>
      <c r="S33" s="328"/>
      <c r="T33" s="328"/>
      <c r="U33" s="328"/>
    </row>
    <row r="34" spans="2:23" s="339" customFormat="1" ht="15.6" x14ac:dyDescent="0.3">
      <c r="B34" s="413" t="s">
        <v>0</v>
      </c>
      <c r="C34" s="414" t="s">
        <v>0</v>
      </c>
      <c r="D34" s="310"/>
      <c r="E34" s="310"/>
      <c r="F34" s="310"/>
      <c r="G34" s="310"/>
      <c r="H34" s="311"/>
      <c r="I34" s="383"/>
      <c r="J34" s="383"/>
      <c r="K34" s="383"/>
      <c r="L34" s="383"/>
      <c r="M34" s="305"/>
      <c r="N34" s="328"/>
      <c r="O34" s="328"/>
      <c r="P34" s="328"/>
      <c r="Q34" s="328"/>
      <c r="R34" s="328"/>
      <c r="S34" s="328"/>
      <c r="T34" s="328"/>
      <c r="U34" s="328"/>
    </row>
    <row r="35" spans="2:23" s="339" customFormat="1" ht="15.6" x14ac:dyDescent="0.3">
      <c r="B35" s="308" t="s">
        <v>19</v>
      </c>
      <c r="C35" s="415" t="s">
        <v>72</v>
      </c>
      <c r="D35" s="310"/>
      <c r="E35" s="310"/>
      <c r="F35" s="310"/>
      <c r="G35" s="310"/>
      <c r="H35" s="311"/>
      <c r="I35" s="383"/>
      <c r="J35" s="383"/>
      <c r="K35" s="383"/>
      <c r="L35" s="383"/>
      <c r="M35" s="305"/>
      <c r="N35" s="328"/>
      <c r="O35" s="328"/>
      <c r="P35" s="328"/>
      <c r="Q35" s="328"/>
      <c r="R35" s="328"/>
      <c r="S35" s="328"/>
      <c r="T35" s="328"/>
      <c r="U35" s="328"/>
    </row>
    <row r="36" spans="2:23" s="339" customFormat="1" ht="15.6" x14ac:dyDescent="0.3">
      <c r="B36" s="315" t="s">
        <v>163</v>
      </c>
      <c r="C36" s="6"/>
      <c r="D36" s="310" t="s">
        <v>0</v>
      </c>
      <c r="E36" s="310" t="s">
        <v>0</v>
      </c>
      <c r="F36" s="310"/>
      <c r="G36" s="310"/>
      <c r="H36" s="218" t="s">
        <v>72</v>
      </c>
      <c r="I36" s="383"/>
      <c r="J36" s="383"/>
      <c r="K36" s="383"/>
      <c r="L36" s="383"/>
      <c r="M36" s="305"/>
      <c r="N36" s="328"/>
      <c r="O36" s="328"/>
      <c r="P36" s="328"/>
      <c r="Q36" s="328"/>
      <c r="R36" s="328"/>
      <c r="S36" s="328"/>
      <c r="T36" s="328"/>
      <c r="U36" s="328"/>
    </row>
    <row r="37" spans="2:23" s="339" customFormat="1" ht="15.6" x14ac:dyDescent="0.3">
      <c r="B37" s="317"/>
      <c r="C37" s="310"/>
      <c r="D37" s="310"/>
      <c r="E37" s="186" t="s">
        <v>0</v>
      </c>
      <c r="F37" s="186"/>
      <c r="G37" s="186" t="s">
        <v>0</v>
      </c>
      <c r="H37" s="218" t="s">
        <v>81</v>
      </c>
      <c r="I37" s="383"/>
      <c r="J37" s="383"/>
      <c r="K37" s="383"/>
      <c r="L37" s="383"/>
      <c r="M37" s="305"/>
      <c r="N37" s="328"/>
      <c r="O37" s="328"/>
      <c r="P37" s="328"/>
      <c r="Q37" s="328"/>
      <c r="R37" s="328"/>
      <c r="S37" s="328"/>
      <c r="T37" s="328"/>
      <c r="U37" s="328"/>
    </row>
    <row r="38" spans="2:23" s="339" customFormat="1" ht="15.6" x14ac:dyDescent="0.3">
      <c r="B38" s="318" t="s">
        <v>16</v>
      </c>
      <c r="C38" s="319"/>
      <c r="D38" s="319"/>
      <c r="E38" s="477" t="str">
        <f>B36</f>
        <v>TB</v>
      </c>
      <c r="F38" s="320"/>
      <c r="G38" s="320" t="s">
        <v>0</v>
      </c>
      <c r="H38" s="218" t="s">
        <v>64</v>
      </c>
      <c r="I38" s="383"/>
      <c r="J38" s="383"/>
      <c r="K38" s="383"/>
      <c r="L38" s="383"/>
      <c r="M38" s="305"/>
      <c r="N38" s="328"/>
      <c r="O38" s="328"/>
      <c r="P38" s="328"/>
      <c r="Q38" s="328"/>
      <c r="R38" s="328"/>
      <c r="S38" s="328"/>
      <c r="T38" s="328"/>
      <c r="U38" s="328"/>
      <c r="V38" s="328"/>
    </row>
    <row r="39" spans="2:23" s="339" customFormat="1" ht="15" customHeight="1" x14ac:dyDescent="0.3">
      <c r="B39" s="321"/>
      <c r="C39" s="475" t="str">
        <f>B36</f>
        <v>TB</v>
      </c>
      <c r="D39" s="476"/>
      <c r="E39" s="478"/>
      <c r="F39" s="327" t="s">
        <v>44</v>
      </c>
      <c r="G39" s="477" t="s">
        <v>59</v>
      </c>
      <c r="H39" s="322" t="s">
        <v>65</v>
      </c>
      <c r="I39" s="383"/>
      <c r="J39" s="383"/>
      <c r="K39" s="383"/>
      <c r="L39" s="383"/>
      <c r="M39" s="305"/>
      <c r="N39" s="328"/>
      <c r="O39" s="328"/>
      <c r="P39" s="328"/>
      <c r="Q39" s="328"/>
      <c r="R39" s="328"/>
      <c r="S39" s="328"/>
      <c r="T39" s="328"/>
      <c r="U39" s="328"/>
      <c r="V39" s="328"/>
    </row>
    <row r="40" spans="2:23" s="339" customFormat="1" ht="16.2" customHeight="1" x14ac:dyDescent="0.3">
      <c r="B40" s="323" t="s">
        <v>15</v>
      </c>
      <c r="C40" s="324" t="s">
        <v>17</v>
      </c>
      <c r="D40" s="325" t="s">
        <v>18</v>
      </c>
      <c r="E40" s="326" t="s">
        <v>43</v>
      </c>
      <c r="F40" s="416" t="str">
        <f>B36</f>
        <v>TB</v>
      </c>
      <c r="G40" s="503"/>
      <c r="H40" s="210" t="s">
        <v>66</v>
      </c>
      <c r="I40" s="383"/>
      <c r="J40" s="383"/>
      <c r="K40" s="383"/>
      <c r="L40" s="383"/>
      <c r="M40" s="305"/>
      <c r="N40" s="305"/>
      <c r="O40" s="328" t="s">
        <v>42</v>
      </c>
      <c r="P40" s="328" t="s">
        <v>42</v>
      </c>
      <c r="Q40" s="328"/>
      <c r="R40" s="328"/>
      <c r="S40" s="328" t="s">
        <v>42</v>
      </c>
      <c r="T40" s="328" t="s">
        <v>42</v>
      </c>
      <c r="U40" s="328"/>
      <c r="V40" s="328"/>
      <c r="W40" s="328"/>
    </row>
    <row r="41" spans="2:23" s="339" customFormat="1" ht="15.6" x14ac:dyDescent="0.3">
      <c r="B41" s="330" t="s">
        <v>20</v>
      </c>
      <c r="C41" s="331">
        <v>1</v>
      </c>
      <c r="D41" s="10"/>
      <c r="E41" s="332" t="str">
        <f>IF(+D41&lt;&gt;0,D41,"&gt;")</f>
        <v>&gt;</v>
      </c>
      <c r="F41" s="333">
        <f>+$C$36</f>
        <v>0</v>
      </c>
      <c r="G41" s="8"/>
      <c r="H41" s="334">
        <f t="shared" ref="H41:H49" si="3">IF(O41=2,"",+$C$36*(1-G41))</f>
        <v>0</v>
      </c>
      <c r="I41" s="383"/>
      <c r="J41" s="383"/>
      <c r="K41" s="383"/>
      <c r="L41" s="383"/>
      <c r="M41" s="305"/>
      <c r="N41" s="305"/>
      <c r="O41" s="335">
        <f t="shared" ref="O41:O49" si="4">IF(AND(C41&lt;&gt;" ",D41="&gt;"),0,IF(AND(C41=" ",D41="&gt;"),2,1))</f>
        <v>1</v>
      </c>
      <c r="P41" s="335">
        <v>0</v>
      </c>
      <c r="Q41" s="328"/>
      <c r="R41" s="328"/>
      <c r="S41" s="336" t="str">
        <f t="shared" ref="S41:S48" si="5" xml:space="preserve"> "1 t/m " &amp; E41 &amp; " " &amp; $B$36 &amp; "s"</f>
        <v>1 t/m &gt; TBs</v>
      </c>
      <c r="T41" s="336" t="str">
        <f t="shared" ref="T41:T49" si="6">E41&amp;" "&amp;D40&amp;" "&amp;$B$36&amp;"s"</f>
        <v>&gt; tot en met TBs</v>
      </c>
      <c r="U41" s="328"/>
      <c r="V41" s="328"/>
    </row>
    <row r="42" spans="2:23" s="339" customFormat="1" ht="15.6" x14ac:dyDescent="0.3">
      <c r="B42" s="337" t="s">
        <v>21</v>
      </c>
      <c r="C42" s="331">
        <f t="shared" ref="C42:C49" si="7">IF(ISERROR(+D41+1)," ",D41+1)</f>
        <v>1</v>
      </c>
      <c r="D42" s="10"/>
      <c r="E42" s="332" t="str">
        <f t="shared" ref="E42:E49" si="8">IF(O42=2,"",IF(+D42&lt;&gt;0,D42,"&gt;"))</f>
        <v>&gt;</v>
      </c>
      <c r="F42" s="333">
        <f t="shared" ref="F42:F49" si="9">IF(O42=2," ",+$C$36)</f>
        <v>0</v>
      </c>
      <c r="G42" s="8"/>
      <c r="H42" s="334">
        <f t="shared" si="3"/>
        <v>0</v>
      </c>
      <c r="I42" s="383"/>
      <c r="J42" s="383"/>
      <c r="K42" s="383"/>
      <c r="L42" s="383"/>
      <c r="M42" s="305"/>
      <c r="N42" s="305"/>
      <c r="O42" s="335">
        <f t="shared" si="4"/>
        <v>1</v>
      </c>
      <c r="P42" s="335">
        <f t="shared" ref="P42:P49" si="10">IF(O42&lt;&gt;2,IF(H42&gt;H41,1,0),0)</f>
        <v>0</v>
      </c>
      <c r="Q42" s="328"/>
      <c r="R42" s="328"/>
      <c r="S42" s="336" t="str">
        <f t="shared" si="5"/>
        <v>1 t/m &gt; TBs</v>
      </c>
      <c r="T42" s="336" t="str">
        <f t="shared" si="6"/>
        <v>&gt;  TBs</v>
      </c>
      <c r="U42" s="328"/>
      <c r="V42" s="328"/>
    </row>
    <row r="43" spans="2:23" s="339" customFormat="1" ht="15.6" x14ac:dyDescent="0.3">
      <c r="B43" s="338" t="s">
        <v>22</v>
      </c>
      <c r="C43" s="331">
        <f t="shared" si="7"/>
        <v>1</v>
      </c>
      <c r="D43" s="10"/>
      <c r="E43" s="332" t="str">
        <f t="shared" si="8"/>
        <v>&gt;</v>
      </c>
      <c r="F43" s="333">
        <f t="shared" si="9"/>
        <v>0</v>
      </c>
      <c r="G43" s="8"/>
      <c r="H43" s="334">
        <f t="shared" si="3"/>
        <v>0</v>
      </c>
      <c r="I43" s="383"/>
      <c r="J43" s="383"/>
      <c r="K43" s="383"/>
      <c r="L43" s="383"/>
      <c r="M43" s="305"/>
      <c r="N43" s="305"/>
      <c r="O43" s="335">
        <f t="shared" si="4"/>
        <v>1</v>
      </c>
      <c r="P43" s="335">
        <f t="shared" si="10"/>
        <v>0</v>
      </c>
      <c r="Q43" s="328"/>
      <c r="R43" s="328"/>
      <c r="S43" s="336" t="str">
        <f t="shared" si="5"/>
        <v>1 t/m &gt; TBs</v>
      </c>
      <c r="T43" s="336" t="str">
        <f t="shared" si="6"/>
        <v>&gt;  TBs</v>
      </c>
      <c r="U43" s="328"/>
      <c r="V43" s="328"/>
    </row>
    <row r="44" spans="2:23" s="339" customFormat="1" ht="15.6" x14ac:dyDescent="0.3">
      <c r="B44" s="338" t="s">
        <v>23</v>
      </c>
      <c r="C44" s="331">
        <f t="shared" si="7"/>
        <v>1</v>
      </c>
      <c r="D44" s="10"/>
      <c r="E44" s="332" t="str">
        <f t="shared" si="8"/>
        <v>&gt;</v>
      </c>
      <c r="F44" s="333">
        <f t="shared" si="9"/>
        <v>0</v>
      </c>
      <c r="G44" s="8"/>
      <c r="H44" s="334">
        <f t="shared" si="3"/>
        <v>0</v>
      </c>
      <c r="I44" s="383"/>
      <c r="J44" s="383"/>
      <c r="K44" s="383"/>
      <c r="L44" s="383"/>
      <c r="M44" s="305"/>
      <c r="N44" s="305"/>
      <c r="O44" s="335">
        <f t="shared" si="4"/>
        <v>1</v>
      </c>
      <c r="P44" s="335">
        <f t="shared" si="10"/>
        <v>0</v>
      </c>
      <c r="Q44" s="328"/>
      <c r="R44" s="328"/>
      <c r="S44" s="336" t="str">
        <f t="shared" si="5"/>
        <v>1 t/m &gt; TBs</v>
      </c>
      <c r="T44" s="336" t="str">
        <f t="shared" si="6"/>
        <v>&gt;  TBs</v>
      </c>
      <c r="U44" s="328"/>
      <c r="V44" s="328"/>
    </row>
    <row r="45" spans="2:23" s="339" customFormat="1" ht="15.6" x14ac:dyDescent="0.3">
      <c r="B45" s="330" t="s">
        <v>24</v>
      </c>
      <c r="C45" s="331">
        <f t="shared" si="7"/>
        <v>1</v>
      </c>
      <c r="D45" s="10"/>
      <c r="E45" s="332" t="str">
        <f t="shared" si="8"/>
        <v>&gt;</v>
      </c>
      <c r="F45" s="333">
        <f t="shared" si="9"/>
        <v>0</v>
      </c>
      <c r="G45" s="8"/>
      <c r="H45" s="334">
        <f t="shared" si="3"/>
        <v>0</v>
      </c>
      <c r="I45" s="383"/>
      <c r="J45" s="383"/>
      <c r="K45" s="383"/>
      <c r="L45" s="383"/>
      <c r="M45" s="305"/>
      <c r="N45" s="305"/>
      <c r="O45" s="335">
        <f t="shared" si="4"/>
        <v>1</v>
      </c>
      <c r="P45" s="335">
        <f t="shared" si="10"/>
        <v>0</v>
      </c>
      <c r="Q45" s="328"/>
      <c r="R45" s="328"/>
      <c r="S45" s="336" t="str">
        <f t="shared" si="5"/>
        <v>1 t/m &gt; TBs</v>
      </c>
      <c r="T45" s="336" t="str">
        <f t="shared" si="6"/>
        <v>&gt;  TBs</v>
      </c>
      <c r="U45" s="328"/>
      <c r="V45" s="328"/>
    </row>
    <row r="46" spans="2:23" s="339" customFormat="1" ht="15.6" x14ac:dyDescent="0.3">
      <c r="B46" s="337" t="s">
        <v>25</v>
      </c>
      <c r="C46" s="331">
        <f t="shared" si="7"/>
        <v>1</v>
      </c>
      <c r="D46" s="10"/>
      <c r="E46" s="332" t="str">
        <f t="shared" si="8"/>
        <v>&gt;</v>
      </c>
      <c r="F46" s="333">
        <f t="shared" si="9"/>
        <v>0</v>
      </c>
      <c r="G46" s="8"/>
      <c r="H46" s="334">
        <f t="shared" si="3"/>
        <v>0</v>
      </c>
      <c r="I46" s="383"/>
      <c r="J46" s="383"/>
      <c r="K46" s="383"/>
      <c r="L46" s="383"/>
      <c r="M46" s="305"/>
      <c r="N46" s="305"/>
      <c r="O46" s="335">
        <f t="shared" si="4"/>
        <v>1</v>
      </c>
      <c r="P46" s="335">
        <f t="shared" si="10"/>
        <v>0</v>
      </c>
      <c r="Q46" s="328"/>
      <c r="R46" s="328"/>
      <c r="S46" s="336" t="str">
        <f t="shared" si="5"/>
        <v>1 t/m &gt; TBs</v>
      </c>
      <c r="T46" s="336" t="str">
        <f t="shared" si="6"/>
        <v>&gt;  TBs</v>
      </c>
      <c r="U46" s="328"/>
      <c r="V46" s="328"/>
    </row>
    <row r="47" spans="2:23" s="339" customFormat="1" ht="15.6" x14ac:dyDescent="0.3">
      <c r="B47" s="337" t="s">
        <v>26</v>
      </c>
      <c r="C47" s="331">
        <f t="shared" si="7"/>
        <v>1</v>
      </c>
      <c r="D47" s="10"/>
      <c r="E47" s="332" t="str">
        <f t="shared" si="8"/>
        <v>&gt;</v>
      </c>
      <c r="F47" s="333">
        <f t="shared" si="9"/>
        <v>0</v>
      </c>
      <c r="G47" s="8"/>
      <c r="H47" s="334">
        <f t="shared" si="3"/>
        <v>0</v>
      </c>
      <c r="I47" s="383"/>
      <c r="J47" s="383"/>
      <c r="K47" s="383"/>
      <c r="L47" s="383"/>
      <c r="M47" s="305"/>
      <c r="N47" s="305"/>
      <c r="O47" s="335">
        <f t="shared" si="4"/>
        <v>1</v>
      </c>
      <c r="P47" s="335">
        <f t="shared" si="10"/>
        <v>0</v>
      </c>
      <c r="Q47" s="328"/>
      <c r="R47" s="328"/>
      <c r="S47" s="336" t="str">
        <f t="shared" si="5"/>
        <v>1 t/m &gt; TBs</v>
      </c>
      <c r="T47" s="336" t="str">
        <f t="shared" si="6"/>
        <v>&gt;  TBs</v>
      </c>
      <c r="U47" s="328"/>
      <c r="V47" s="328"/>
    </row>
    <row r="48" spans="2:23" s="339" customFormat="1" ht="15.6" x14ac:dyDescent="0.3">
      <c r="B48" s="337" t="s">
        <v>27</v>
      </c>
      <c r="C48" s="331">
        <f t="shared" si="7"/>
        <v>1</v>
      </c>
      <c r="D48" s="10"/>
      <c r="E48" s="332" t="str">
        <f t="shared" si="8"/>
        <v>&gt;</v>
      </c>
      <c r="F48" s="333">
        <f t="shared" si="9"/>
        <v>0</v>
      </c>
      <c r="G48" s="8"/>
      <c r="H48" s="334">
        <f t="shared" si="3"/>
        <v>0</v>
      </c>
      <c r="I48" s="383"/>
      <c r="J48" s="383"/>
      <c r="K48" s="383"/>
      <c r="L48" s="383"/>
      <c r="M48" s="305"/>
      <c r="N48" s="305"/>
      <c r="O48" s="335">
        <f t="shared" si="4"/>
        <v>1</v>
      </c>
      <c r="P48" s="335">
        <f t="shared" si="10"/>
        <v>0</v>
      </c>
      <c r="Q48" s="328"/>
      <c r="R48" s="328"/>
      <c r="S48" s="336" t="str">
        <f t="shared" si="5"/>
        <v>1 t/m &gt; TBs</v>
      </c>
      <c r="T48" s="336" t="str">
        <f t="shared" si="6"/>
        <v>&gt;  TBs</v>
      </c>
      <c r="U48" s="328"/>
      <c r="V48" s="328"/>
    </row>
    <row r="49" spans="2:22" s="339" customFormat="1" ht="15.6" x14ac:dyDescent="0.3">
      <c r="B49" s="338" t="s">
        <v>28</v>
      </c>
      <c r="C49" s="331">
        <f t="shared" si="7"/>
        <v>1</v>
      </c>
      <c r="D49" s="10"/>
      <c r="E49" s="332" t="str">
        <f t="shared" si="8"/>
        <v>&gt;</v>
      </c>
      <c r="F49" s="333">
        <f t="shared" si="9"/>
        <v>0</v>
      </c>
      <c r="G49" s="8"/>
      <c r="H49" s="334">
        <f t="shared" si="3"/>
        <v>0</v>
      </c>
      <c r="I49" s="383"/>
      <c r="J49" s="383"/>
      <c r="K49" s="383"/>
      <c r="L49" s="383"/>
      <c r="M49" s="305"/>
      <c r="N49" s="305"/>
      <c r="O49" s="335">
        <f t="shared" si="4"/>
        <v>1</v>
      </c>
      <c r="P49" s="335">
        <f t="shared" si="10"/>
        <v>0</v>
      </c>
      <c r="Q49" s="328"/>
      <c r="R49" s="328"/>
      <c r="S49" s="336" t="str">
        <f xml:space="preserve"> E49 &amp; " " &amp; $B$36</f>
        <v>&gt; TB</v>
      </c>
      <c r="T49" s="336" t="str">
        <f t="shared" si="6"/>
        <v>&gt;  TBs</v>
      </c>
      <c r="U49" s="328"/>
      <c r="V49" s="328"/>
    </row>
    <row r="50" spans="2:22" s="339" customFormat="1" ht="16.2" customHeight="1" x14ac:dyDescent="0.3">
      <c r="B50" s="497" t="s">
        <v>61</v>
      </c>
      <c r="C50" s="498"/>
      <c r="D50" s="498"/>
      <c r="E50" s="498"/>
      <c r="F50" s="499"/>
      <c r="H50" s="340" t="str">
        <f>IF(P50=0,"OK","Fout !")</f>
        <v>OK</v>
      </c>
      <c r="I50" s="383"/>
      <c r="J50" s="383"/>
      <c r="K50" s="383"/>
      <c r="L50" s="383"/>
      <c r="M50" s="305"/>
      <c r="N50" s="305"/>
      <c r="O50" s="342"/>
      <c r="P50" s="335">
        <f>SUM(P41:P49)</f>
        <v>0</v>
      </c>
      <c r="Q50" s="391"/>
      <c r="R50" s="328"/>
      <c r="S50" s="328"/>
      <c r="T50" s="328"/>
      <c r="U50" s="328"/>
      <c r="V50" s="328"/>
    </row>
    <row r="51" spans="2:22" s="339" customFormat="1" ht="15.6" x14ac:dyDescent="0.3">
      <c r="B51" s="500"/>
      <c r="C51" s="501"/>
      <c r="D51" s="501"/>
      <c r="E51" s="501"/>
      <c r="F51" s="502"/>
      <c r="M51" s="305"/>
      <c r="N51" s="305"/>
      <c r="O51" s="342"/>
      <c r="P51" s="335"/>
      <c r="Q51" s="391"/>
      <c r="R51" s="328"/>
      <c r="S51" s="328"/>
      <c r="T51" s="328"/>
      <c r="U51" s="328"/>
      <c r="V51" s="328"/>
    </row>
    <row r="52" spans="2:22" s="339" customFormat="1" ht="15.6" x14ac:dyDescent="0.3">
      <c r="B52" s="343"/>
      <c r="C52" s="343"/>
      <c r="D52" s="343"/>
      <c r="E52" s="343"/>
      <c r="F52" s="343"/>
      <c r="M52" s="305"/>
      <c r="N52" s="305"/>
      <c r="O52" s="342"/>
      <c r="P52" s="335"/>
      <c r="Q52" s="391"/>
      <c r="R52" s="328"/>
      <c r="S52" s="328"/>
      <c r="T52" s="328"/>
      <c r="U52" s="328"/>
      <c r="V52" s="328"/>
    </row>
    <row r="53" spans="2:22" s="339" customFormat="1" ht="15.6" x14ac:dyDescent="0.3">
      <c r="B53" s="301" t="s">
        <v>201</v>
      </c>
      <c r="C53" s="302" t="s">
        <v>0</v>
      </c>
      <c r="D53" s="303"/>
      <c r="E53" s="303" t="s">
        <v>0</v>
      </c>
      <c r="F53" s="303"/>
      <c r="G53" s="303"/>
      <c r="H53" s="304"/>
      <c r="I53" s="383"/>
      <c r="J53" s="383"/>
      <c r="K53" s="383"/>
      <c r="L53" s="383"/>
      <c r="M53" s="305"/>
      <c r="N53" s="328"/>
      <c r="O53" s="328"/>
      <c r="P53" s="328"/>
      <c r="Q53" s="328"/>
      <c r="R53" s="328"/>
      <c r="S53" s="328"/>
      <c r="T53" s="328"/>
      <c r="U53" s="328"/>
      <c r="V53" s="328"/>
    </row>
    <row r="54" spans="2:22" s="339" customFormat="1" ht="15.6" x14ac:dyDescent="0.3">
      <c r="B54" s="413" t="s">
        <v>0</v>
      </c>
      <c r="C54" s="414" t="s">
        <v>0</v>
      </c>
      <c r="D54" s="310"/>
      <c r="E54" s="310"/>
      <c r="F54" s="310"/>
      <c r="G54" s="310"/>
      <c r="H54" s="311"/>
      <c r="I54" s="383"/>
      <c r="J54" s="383"/>
      <c r="K54" s="383"/>
      <c r="L54" s="383"/>
      <c r="M54" s="305"/>
      <c r="N54" s="328"/>
      <c r="O54" s="328"/>
      <c r="P54" s="328"/>
      <c r="Q54" s="328"/>
      <c r="R54" s="328"/>
      <c r="S54" s="328"/>
      <c r="T54" s="328"/>
      <c r="U54" s="328"/>
      <c r="V54" s="328"/>
    </row>
    <row r="55" spans="2:22" s="339" customFormat="1" ht="15.6" x14ac:dyDescent="0.3">
      <c r="B55" s="308" t="s">
        <v>19</v>
      </c>
      <c r="C55" s="415" t="s">
        <v>72</v>
      </c>
      <c r="D55" s="310"/>
      <c r="E55" s="310"/>
      <c r="F55" s="310"/>
      <c r="G55" s="310"/>
      <c r="H55" s="311"/>
      <c r="I55" s="383"/>
      <c r="J55" s="383"/>
      <c r="K55" s="383"/>
      <c r="L55" s="383"/>
      <c r="M55" s="305"/>
      <c r="N55" s="328"/>
      <c r="O55" s="328"/>
      <c r="P55" s="328"/>
      <c r="Q55" s="328"/>
      <c r="R55" s="328"/>
      <c r="S55" s="328"/>
      <c r="T55" s="328"/>
      <c r="U55" s="328"/>
      <c r="V55" s="328"/>
    </row>
    <row r="56" spans="2:22" s="339" customFormat="1" ht="15.6" x14ac:dyDescent="0.3">
      <c r="B56" s="315" t="s">
        <v>163</v>
      </c>
      <c r="C56" s="6"/>
      <c r="D56" s="310" t="s">
        <v>0</v>
      </c>
      <c r="E56" s="310" t="s">
        <v>0</v>
      </c>
      <c r="F56" s="310"/>
      <c r="G56" s="310"/>
      <c r="H56" s="218" t="s">
        <v>72</v>
      </c>
      <c r="I56" s="383"/>
      <c r="J56" s="383"/>
      <c r="K56" s="383"/>
      <c r="L56" s="383"/>
      <c r="M56" s="305"/>
      <c r="N56" s="328"/>
      <c r="O56" s="328"/>
      <c r="P56" s="328"/>
      <c r="Q56" s="328"/>
      <c r="R56" s="328"/>
      <c r="S56" s="328"/>
      <c r="T56" s="328"/>
      <c r="U56" s="328"/>
      <c r="V56" s="328"/>
    </row>
    <row r="57" spans="2:22" s="339" customFormat="1" ht="15.6" x14ac:dyDescent="0.3">
      <c r="B57" s="317"/>
      <c r="C57" s="310"/>
      <c r="D57" s="310"/>
      <c r="E57" s="186" t="s">
        <v>0</v>
      </c>
      <c r="F57" s="186"/>
      <c r="G57" s="186" t="s">
        <v>0</v>
      </c>
      <c r="H57" s="218" t="s">
        <v>81</v>
      </c>
      <c r="I57" s="383"/>
      <c r="J57" s="383"/>
      <c r="K57" s="383"/>
      <c r="L57" s="383"/>
      <c r="M57" s="305"/>
      <c r="N57" s="328"/>
      <c r="O57" s="328"/>
      <c r="P57" s="328"/>
      <c r="Q57" s="328"/>
      <c r="R57" s="328"/>
      <c r="S57" s="328"/>
      <c r="T57" s="328"/>
      <c r="U57" s="328"/>
      <c r="V57" s="328"/>
    </row>
    <row r="58" spans="2:22" s="339" customFormat="1" ht="15.6" x14ac:dyDescent="0.3">
      <c r="B58" s="318" t="s">
        <v>16</v>
      </c>
      <c r="C58" s="319"/>
      <c r="D58" s="319"/>
      <c r="E58" s="477" t="str">
        <f>B56</f>
        <v>TB</v>
      </c>
      <c r="F58" s="320"/>
      <c r="G58" s="320" t="s">
        <v>0</v>
      </c>
      <c r="H58" s="218" t="s">
        <v>64</v>
      </c>
      <c r="I58" s="383"/>
      <c r="J58" s="383"/>
      <c r="K58" s="383"/>
      <c r="L58" s="383"/>
      <c r="M58" s="305"/>
      <c r="N58" s="328"/>
      <c r="O58" s="328"/>
      <c r="P58" s="328"/>
      <c r="Q58" s="328"/>
      <c r="R58" s="328"/>
      <c r="S58" s="328"/>
      <c r="T58" s="328"/>
      <c r="U58" s="328"/>
      <c r="V58" s="328"/>
    </row>
    <row r="59" spans="2:22" s="339" customFormat="1" ht="15.6" x14ac:dyDescent="0.3">
      <c r="B59" s="321"/>
      <c r="C59" s="475" t="str">
        <f>B56</f>
        <v>TB</v>
      </c>
      <c r="D59" s="476"/>
      <c r="E59" s="478"/>
      <c r="F59" s="327" t="s">
        <v>44</v>
      </c>
      <c r="G59" s="477" t="s">
        <v>59</v>
      </c>
      <c r="H59" s="322" t="s">
        <v>65</v>
      </c>
      <c r="I59" s="383"/>
      <c r="J59" s="383"/>
      <c r="K59" s="383"/>
      <c r="L59" s="383"/>
      <c r="M59" s="305"/>
      <c r="N59" s="328"/>
      <c r="O59" s="328"/>
      <c r="P59" s="328"/>
      <c r="Q59" s="328"/>
      <c r="R59" s="328"/>
      <c r="S59" s="328"/>
      <c r="T59" s="328"/>
      <c r="U59" s="328"/>
      <c r="V59" s="328"/>
    </row>
    <row r="60" spans="2:22" s="339" customFormat="1" ht="15.6" x14ac:dyDescent="0.3">
      <c r="B60" s="323" t="s">
        <v>15</v>
      </c>
      <c r="C60" s="324" t="s">
        <v>17</v>
      </c>
      <c r="D60" s="325" t="s">
        <v>18</v>
      </c>
      <c r="E60" s="326" t="s">
        <v>43</v>
      </c>
      <c r="F60" s="416" t="str">
        <f>B56</f>
        <v>TB</v>
      </c>
      <c r="G60" s="503"/>
      <c r="H60" s="210" t="s">
        <v>66</v>
      </c>
      <c r="I60" s="383"/>
      <c r="J60" s="383"/>
      <c r="K60" s="383"/>
      <c r="L60" s="383"/>
      <c r="M60" s="305"/>
      <c r="N60" s="305"/>
      <c r="O60" s="328" t="s">
        <v>42</v>
      </c>
      <c r="P60" s="328" t="s">
        <v>42</v>
      </c>
      <c r="Q60" s="328"/>
      <c r="R60" s="328"/>
      <c r="S60" s="328" t="s">
        <v>42</v>
      </c>
      <c r="T60" s="328" t="s">
        <v>42</v>
      </c>
      <c r="U60" s="328"/>
      <c r="V60" s="328"/>
    </row>
    <row r="61" spans="2:22" s="339" customFormat="1" ht="15.6" x14ac:dyDescent="0.3">
      <c r="B61" s="330" t="s">
        <v>20</v>
      </c>
      <c r="C61" s="331">
        <v>1</v>
      </c>
      <c r="D61" s="10"/>
      <c r="E61" s="332" t="str">
        <f>IF(+D61&lt;&gt;0,D61,"&gt;")</f>
        <v>&gt;</v>
      </c>
      <c r="F61" s="333">
        <f>+$C$56</f>
        <v>0</v>
      </c>
      <c r="G61" s="8"/>
      <c r="H61" s="334">
        <f t="shared" ref="H61:H69" si="11">IF(O61=2,"",+$C$56*(1-G61))</f>
        <v>0</v>
      </c>
      <c r="I61" s="383"/>
      <c r="J61" s="383"/>
      <c r="K61" s="383"/>
      <c r="L61" s="383"/>
      <c r="M61" s="305"/>
      <c r="N61" s="305"/>
      <c r="O61" s="335">
        <f t="shared" ref="O61:O69" si="12">IF(AND(C61&lt;&gt;" ",D61="&gt;"),0,IF(AND(C61=" ",D61="&gt;"),2,1))</f>
        <v>1</v>
      </c>
      <c r="P61" s="335">
        <v>0</v>
      </c>
      <c r="Q61" s="328"/>
      <c r="R61" s="328"/>
      <c r="S61" s="336" t="str">
        <f t="shared" ref="S61:S68" si="13" xml:space="preserve"> "1 t/m " &amp; E61 &amp; " " &amp; $B$56 &amp; "s"</f>
        <v>1 t/m &gt; TBs</v>
      </c>
      <c r="T61" s="336" t="str">
        <f t="shared" ref="T61:T69" si="14">E61&amp;" "&amp;D60&amp;" "&amp;$B$56&amp;"s"</f>
        <v>&gt; tot en met TBs</v>
      </c>
      <c r="U61" s="328"/>
      <c r="V61" s="328"/>
    </row>
    <row r="62" spans="2:22" s="339" customFormat="1" ht="15.6" customHeight="1" x14ac:dyDescent="0.3">
      <c r="B62" s="337" t="s">
        <v>21</v>
      </c>
      <c r="C62" s="331">
        <f t="shared" ref="C62:C69" si="15">IF(ISERROR(+D61+1)," ",D61+1)</f>
        <v>1</v>
      </c>
      <c r="D62" s="10"/>
      <c r="E62" s="332" t="str">
        <f t="shared" ref="E62:E69" si="16">IF(O62=2,"",IF(+D62&lt;&gt;0,D62,"&gt;"))</f>
        <v>&gt;</v>
      </c>
      <c r="F62" s="333">
        <f t="shared" ref="F62:F69" si="17">IF(O62=2," ",+$C$56)</f>
        <v>0</v>
      </c>
      <c r="G62" s="8"/>
      <c r="H62" s="334">
        <f t="shared" si="11"/>
        <v>0</v>
      </c>
      <c r="I62" s="383"/>
      <c r="J62" s="383"/>
      <c r="K62" s="383"/>
      <c r="L62" s="383"/>
      <c r="M62" s="305"/>
      <c r="N62" s="305"/>
      <c r="O62" s="335">
        <f t="shared" si="12"/>
        <v>1</v>
      </c>
      <c r="P62" s="335">
        <f t="shared" ref="P62:P69" si="18">IF(O62&lt;&gt;2,IF(H62&gt;H61,1,0),0)</f>
        <v>0</v>
      </c>
      <c r="Q62" s="328"/>
      <c r="R62" s="328"/>
      <c r="S62" s="336" t="str">
        <f t="shared" si="13"/>
        <v>1 t/m &gt; TBs</v>
      </c>
      <c r="T62" s="336" t="str">
        <f t="shared" si="14"/>
        <v>&gt;  TBs</v>
      </c>
      <c r="U62" s="328"/>
      <c r="V62" s="328"/>
    </row>
    <row r="63" spans="2:22" s="339" customFormat="1" ht="15.6" x14ac:dyDescent="0.3">
      <c r="B63" s="338" t="s">
        <v>22</v>
      </c>
      <c r="C63" s="331">
        <f t="shared" si="15"/>
        <v>1</v>
      </c>
      <c r="D63" s="10"/>
      <c r="E63" s="332" t="str">
        <f t="shared" si="16"/>
        <v>&gt;</v>
      </c>
      <c r="F63" s="333">
        <f t="shared" si="17"/>
        <v>0</v>
      </c>
      <c r="G63" s="8"/>
      <c r="H63" s="334">
        <f t="shared" si="11"/>
        <v>0</v>
      </c>
      <c r="I63" s="383"/>
      <c r="J63" s="383"/>
      <c r="K63" s="383"/>
      <c r="L63" s="383"/>
      <c r="M63" s="305"/>
      <c r="N63" s="305"/>
      <c r="O63" s="335">
        <f t="shared" si="12"/>
        <v>1</v>
      </c>
      <c r="P63" s="335">
        <f t="shared" si="18"/>
        <v>0</v>
      </c>
      <c r="Q63" s="328"/>
      <c r="R63" s="328"/>
      <c r="S63" s="336" t="str">
        <f t="shared" si="13"/>
        <v>1 t/m &gt; TBs</v>
      </c>
      <c r="T63" s="336" t="str">
        <f t="shared" si="14"/>
        <v>&gt;  TBs</v>
      </c>
      <c r="U63" s="328"/>
      <c r="V63" s="328"/>
    </row>
    <row r="64" spans="2:22" s="339" customFormat="1" ht="15.6" x14ac:dyDescent="0.3">
      <c r="B64" s="338" t="s">
        <v>23</v>
      </c>
      <c r="C64" s="331">
        <f t="shared" si="15"/>
        <v>1</v>
      </c>
      <c r="D64" s="10"/>
      <c r="E64" s="332" t="str">
        <f t="shared" si="16"/>
        <v>&gt;</v>
      </c>
      <c r="F64" s="333">
        <f t="shared" si="17"/>
        <v>0</v>
      </c>
      <c r="G64" s="8"/>
      <c r="H64" s="334">
        <f t="shared" si="11"/>
        <v>0</v>
      </c>
      <c r="I64" s="383"/>
      <c r="J64" s="383"/>
      <c r="K64" s="383"/>
      <c r="L64" s="383"/>
      <c r="M64" s="305"/>
      <c r="N64" s="305"/>
      <c r="O64" s="335">
        <f t="shared" si="12"/>
        <v>1</v>
      </c>
      <c r="P64" s="335">
        <f t="shared" si="18"/>
        <v>0</v>
      </c>
      <c r="Q64" s="328"/>
      <c r="R64" s="328"/>
      <c r="S64" s="336" t="str">
        <f t="shared" si="13"/>
        <v>1 t/m &gt; TBs</v>
      </c>
      <c r="T64" s="336" t="str">
        <f t="shared" si="14"/>
        <v>&gt;  TBs</v>
      </c>
      <c r="U64" s="328"/>
      <c r="V64" s="328"/>
    </row>
    <row r="65" spans="2:22" s="339" customFormat="1" ht="15.6" x14ac:dyDescent="0.3">
      <c r="B65" s="330" t="s">
        <v>24</v>
      </c>
      <c r="C65" s="331">
        <f t="shared" si="15"/>
        <v>1</v>
      </c>
      <c r="D65" s="10"/>
      <c r="E65" s="332" t="str">
        <f t="shared" si="16"/>
        <v>&gt;</v>
      </c>
      <c r="F65" s="333">
        <f t="shared" si="17"/>
        <v>0</v>
      </c>
      <c r="G65" s="8"/>
      <c r="H65" s="334">
        <f t="shared" si="11"/>
        <v>0</v>
      </c>
      <c r="I65" s="383"/>
      <c r="J65" s="383"/>
      <c r="K65" s="383"/>
      <c r="L65" s="383"/>
      <c r="M65" s="305"/>
      <c r="N65" s="305"/>
      <c r="O65" s="335">
        <f t="shared" si="12"/>
        <v>1</v>
      </c>
      <c r="P65" s="335">
        <f t="shared" si="18"/>
        <v>0</v>
      </c>
      <c r="Q65" s="328"/>
      <c r="R65" s="328"/>
      <c r="S65" s="336" t="str">
        <f t="shared" si="13"/>
        <v>1 t/m &gt; TBs</v>
      </c>
      <c r="T65" s="336" t="str">
        <f t="shared" si="14"/>
        <v>&gt;  TBs</v>
      </c>
      <c r="U65" s="328"/>
      <c r="V65" s="328"/>
    </row>
    <row r="66" spans="2:22" s="339" customFormat="1" ht="15.6" x14ac:dyDescent="0.3">
      <c r="B66" s="337" t="s">
        <v>25</v>
      </c>
      <c r="C66" s="331">
        <f t="shared" si="15"/>
        <v>1</v>
      </c>
      <c r="D66" s="10"/>
      <c r="E66" s="332" t="str">
        <f t="shared" si="16"/>
        <v>&gt;</v>
      </c>
      <c r="F66" s="333">
        <f t="shared" si="17"/>
        <v>0</v>
      </c>
      <c r="G66" s="8"/>
      <c r="H66" s="334">
        <f t="shared" si="11"/>
        <v>0</v>
      </c>
      <c r="I66" s="383"/>
      <c r="J66" s="383"/>
      <c r="K66" s="383"/>
      <c r="L66" s="383"/>
      <c r="M66" s="305"/>
      <c r="N66" s="305"/>
      <c r="O66" s="335">
        <f t="shared" si="12"/>
        <v>1</v>
      </c>
      <c r="P66" s="335">
        <f t="shared" si="18"/>
        <v>0</v>
      </c>
      <c r="Q66" s="328"/>
      <c r="R66" s="328"/>
      <c r="S66" s="336" t="str">
        <f t="shared" si="13"/>
        <v>1 t/m &gt; TBs</v>
      </c>
      <c r="T66" s="336" t="str">
        <f t="shared" si="14"/>
        <v>&gt;  TBs</v>
      </c>
      <c r="U66" s="328"/>
      <c r="V66" s="328"/>
    </row>
    <row r="67" spans="2:22" s="339" customFormat="1" ht="15.6" x14ac:dyDescent="0.3">
      <c r="B67" s="337" t="s">
        <v>26</v>
      </c>
      <c r="C67" s="331">
        <f t="shared" si="15"/>
        <v>1</v>
      </c>
      <c r="D67" s="10"/>
      <c r="E67" s="332" t="str">
        <f t="shared" si="16"/>
        <v>&gt;</v>
      </c>
      <c r="F67" s="333">
        <f t="shared" si="17"/>
        <v>0</v>
      </c>
      <c r="G67" s="8"/>
      <c r="H67" s="334">
        <f t="shared" si="11"/>
        <v>0</v>
      </c>
      <c r="I67" s="383"/>
      <c r="J67" s="383"/>
      <c r="K67" s="383"/>
      <c r="L67" s="383"/>
      <c r="M67" s="305"/>
      <c r="N67" s="305"/>
      <c r="O67" s="335">
        <f t="shared" si="12"/>
        <v>1</v>
      </c>
      <c r="P67" s="335">
        <f t="shared" si="18"/>
        <v>0</v>
      </c>
      <c r="Q67" s="328"/>
      <c r="R67" s="328"/>
      <c r="S67" s="336" t="str">
        <f t="shared" si="13"/>
        <v>1 t/m &gt; TBs</v>
      </c>
      <c r="T67" s="336" t="str">
        <f t="shared" si="14"/>
        <v>&gt;  TBs</v>
      </c>
      <c r="U67" s="328"/>
      <c r="V67" s="328"/>
    </row>
    <row r="68" spans="2:22" s="339" customFormat="1" ht="15.6" x14ac:dyDescent="0.3">
      <c r="B68" s="337" t="s">
        <v>27</v>
      </c>
      <c r="C68" s="331">
        <f t="shared" si="15"/>
        <v>1</v>
      </c>
      <c r="D68" s="10"/>
      <c r="E68" s="332" t="str">
        <f t="shared" si="16"/>
        <v>&gt;</v>
      </c>
      <c r="F68" s="333">
        <f t="shared" si="17"/>
        <v>0</v>
      </c>
      <c r="G68" s="8"/>
      <c r="H68" s="334">
        <f t="shared" si="11"/>
        <v>0</v>
      </c>
      <c r="I68" s="383"/>
      <c r="J68" s="383"/>
      <c r="K68" s="383"/>
      <c r="L68" s="383"/>
      <c r="M68" s="305"/>
      <c r="N68" s="305"/>
      <c r="O68" s="335">
        <f t="shared" si="12"/>
        <v>1</v>
      </c>
      <c r="P68" s="335">
        <f t="shared" si="18"/>
        <v>0</v>
      </c>
      <c r="Q68" s="328"/>
      <c r="R68" s="328"/>
      <c r="S68" s="336" t="str">
        <f t="shared" si="13"/>
        <v>1 t/m &gt; TBs</v>
      </c>
      <c r="T68" s="336" t="str">
        <f t="shared" si="14"/>
        <v>&gt;  TBs</v>
      </c>
      <c r="U68" s="328"/>
      <c r="V68" s="328"/>
    </row>
    <row r="69" spans="2:22" s="339" customFormat="1" ht="15.6" x14ac:dyDescent="0.3">
      <c r="B69" s="338" t="s">
        <v>28</v>
      </c>
      <c r="C69" s="331">
        <f t="shared" si="15"/>
        <v>1</v>
      </c>
      <c r="D69" s="10"/>
      <c r="E69" s="332" t="str">
        <f t="shared" si="16"/>
        <v>&gt;</v>
      </c>
      <c r="F69" s="333">
        <f t="shared" si="17"/>
        <v>0</v>
      </c>
      <c r="G69" s="8"/>
      <c r="H69" s="334">
        <f t="shared" si="11"/>
        <v>0</v>
      </c>
      <c r="I69" s="383"/>
      <c r="J69" s="383"/>
      <c r="K69" s="383"/>
      <c r="L69" s="383"/>
      <c r="M69" s="305"/>
      <c r="N69" s="305"/>
      <c r="O69" s="335">
        <f t="shared" si="12"/>
        <v>1</v>
      </c>
      <c r="P69" s="335">
        <f t="shared" si="18"/>
        <v>0</v>
      </c>
      <c r="Q69" s="328"/>
      <c r="R69" s="328"/>
      <c r="S69" s="336" t="str">
        <f xml:space="preserve"> E69 &amp; " " &amp; $B$56</f>
        <v>&gt; TB</v>
      </c>
      <c r="T69" s="336" t="str">
        <f t="shared" si="14"/>
        <v>&gt;  TBs</v>
      </c>
      <c r="U69" s="328"/>
      <c r="V69" s="328"/>
    </row>
    <row r="70" spans="2:22" s="339" customFormat="1" ht="15.6" x14ac:dyDescent="0.3">
      <c r="B70" s="497" t="s">
        <v>61</v>
      </c>
      <c r="C70" s="498"/>
      <c r="D70" s="498"/>
      <c r="E70" s="498"/>
      <c r="F70" s="499"/>
      <c r="H70" s="340" t="str">
        <f>IF(P70=0,"OK","Fout !")</f>
        <v>OK</v>
      </c>
      <c r="I70" s="383"/>
      <c r="J70" s="383"/>
      <c r="K70" s="383"/>
      <c r="L70" s="383"/>
      <c r="M70" s="305"/>
      <c r="N70" s="305"/>
      <c r="O70" s="342"/>
      <c r="P70" s="335">
        <f>SUM(P61:P69)</f>
        <v>0</v>
      </c>
      <c r="Q70" s="391"/>
      <c r="R70" s="328"/>
      <c r="S70" s="328"/>
      <c r="T70" s="328"/>
      <c r="U70" s="328"/>
      <c r="V70" s="328"/>
    </row>
    <row r="71" spans="2:22" s="339" customFormat="1" ht="15.6" x14ac:dyDescent="0.3">
      <c r="B71" s="500"/>
      <c r="C71" s="501"/>
      <c r="D71" s="501"/>
      <c r="E71" s="501"/>
      <c r="F71" s="502"/>
      <c r="M71" s="305"/>
      <c r="N71" s="305"/>
      <c r="O71" s="342"/>
      <c r="P71" s="335"/>
      <c r="Q71" s="391"/>
      <c r="R71" s="328"/>
      <c r="S71" s="328"/>
      <c r="T71" s="328"/>
      <c r="U71" s="328"/>
      <c r="V71" s="328"/>
    </row>
    <row r="72" spans="2:22" s="339" customFormat="1" ht="15.6" x14ac:dyDescent="0.3">
      <c r="B72" s="343"/>
      <c r="C72" s="343"/>
      <c r="D72" s="343"/>
      <c r="E72" s="343"/>
      <c r="F72" s="343"/>
      <c r="M72" s="305"/>
      <c r="N72" s="305"/>
      <c r="O72" s="342"/>
      <c r="P72" s="335"/>
      <c r="Q72" s="391"/>
      <c r="R72" s="328"/>
      <c r="S72" s="328"/>
      <c r="T72" s="328"/>
      <c r="U72" s="328"/>
      <c r="V72" s="328"/>
    </row>
    <row r="73" spans="2:22" s="339" customFormat="1" ht="15.6" x14ac:dyDescent="0.3">
      <c r="B73" s="396" t="s">
        <v>139</v>
      </c>
      <c r="C73" s="404" t="s">
        <v>2</v>
      </c>
      <c r="D73" s="404" t="s">
        <v>3</v>
      </c>
      <c r="E73" s="404" t="s">
        <v>4</v>
      </c>
      <c r="F73" s="404" t="s">
        <v>5</v>
      </c>
      <c r="G73" s="397" t="s">
        <v>14</v>
      </c>
      <c r="H73" s="397" t="s">
        <v>166</v>
      </c>
      <c r="I73" s="397" t="s">
        <v>167</v>
      </c>
      <c r="J73" s="397" t="s">
        <v>168</v>
      </c>
      <c r="K73" s="397" t="s">
        <v>169</v>
      </c>
      <c r="L73" s="397" t="s">
        <v>170</v>
      </c>
      <c r="M73" s="305"/>
      <c r="N73" s="305"/>
      <c r="O73" s="328"/>
      <c r="P73" s="328"/>
      <c r="Q73" s="328"/>
      <c r="R73" s="328"/>
      <c r="S73" s="328"/>
      <c r="T73" s="328"/>
      <c r="U73" s="328"/>
      <c r="V73" s="328"/>
    </row>
    <row r="74" spans="2:22" s="339" customFormat="1" ht="15.6" x14ac:dyDescent="0.3">
      <c r="B74" s="398" t="str">
        <f>"Benodigd aantal RDBMS "</f>
        <v xml:space="preserve">Benodigd aantal RDBMS </v>
      </c>
      <c r="C74" s="399">
        <f>E10</f>
        <v>750</v>
      </c>
      <c r="D74" s="400">
        <f>E10</f>
        <v>750</v>
      </c>
      <c r="E74" s="400">
        <f t="shared" ref="E74:L74" si="19">E10</f>
        <v>750</v>
      </c>
      <c r="F74" s="400">
        <f t="shared" si="19"/>
        <v>825.00000000000011</v>
      </c>
      <c r="G74" s="400">
        <f t="shared" si="19"/>
        <v>900</v>
      </c>
      <c r="H74" s="400">
        <f t="shared" si="19"/>
        <v>1000</v>
      </c>
      <c r="I74" s="400">
        <f t="shared" si="19"/>
        <v>1100</v>
      </c>
      <c r="J74" s="400">
        <f t="shared" si="19"/>
        <v>1200</v>
      </c>
      <c r="K74" s="400">
        <f t="shared" si="19"/>
        <v>1325</v>
      </c>
      <c r="L74" s="400">
        <f t="shared" si="19"/>
        <v>1450</v>
      </c>
      <c r="M74" s="305"/>
      <c r="N74" s="305"/>
      <c r="O74" s="328"/>
      <c r="P74" s="328"/>
      <c r="Q74" s="328"/>
      <c r="R74" s="328"/>
      <c r="S74" s="328"/>
      <c r="T74" s="328"/>
      <c r="U74" s="328"/>
      <c r="V74" s="328"/>
    </row>
    <row r="75" spans="2:22" s="339" customFormat="1" ht="15.6" x14ac:dyDescent="0.3">
      <c r="B75" s="398" t="str">
        <f>"Benodigd aantal Object Storage"</f>
        <v>Benodigd aantal Object Storage</v>
      </c>
      <c r="C75" s="399">
        <f>E13</f>
        <v>750</v>
      </c>
      <c r="D75" s="400">
        <f>E13</f>
        <v>750</v>
      </c>
      <c r="E75" s="400">
        <f t="shared" ref="E75:L75" si="20">E13</f>
        <v>750</v>
      </c>
      <c r="F75" s="400">
        <f t="shared" si="20"/>
        <v>900</v>
      </c>
      <c r="G75" s="400">
        <f t="shared" si="20"/>
        <v>1075</v>
      </c>
      <c r="H75" s="400">
        <f t="shared" si="20"/>
        <v>1300</v>
      </c>
      <c r="I75" s="400">
        <f t="shared" si="20"/>
        <v>1575</v>
      </c>
      <c r="J75" s="400">
        <f t="shared" si="20"/>
        <v>1900</v>
      </c>
      <c r="K75" s="400">
        <f t="shared" si="20"/>
        <v>2275</v>
      </c>
      <c r="L75" s="400">
        <f t="shared" si="20"/>
        <v>2725</v>
      </c>
      <c r="M75" s="305"/>
      <c r="N75" s="305"/>
      <c r="O75" s="328"/>
      <c r="P75" s="328"/>
      <c r="Q75" s="328"/>
      <c r="R75" s="328"/>
      <c r="S75" s="328"/>
      <c r="T75" s="328"/>
      <c r="U75" s="328"/>
      <c r="V75" s="328"/>
    </row>
    <row r="76" spans="2:22" s="339" customFormat="1" ht="15.6" x14ac:dyDescent="0.3">
      <c r="B76" s="398" t="s">
        <v>204</v>
      </c>
      <c r="C76" s="401">
        <f t="shared" ref="C76:L76" si="21">IF(ISERROR(INDEX($H$41:$H$49,MATCH(C74,$C$41:$C$49,1))),"",INDEX($H$41:$H$49,MATCH(C74,$C$41:$C$49,1)))</f>
        <v>0</v>
      </c>
      <c r="D76" s="401">
        <f t="shared" si="21"/>
        <v>0</v>
      </c>
      <c r="E76" s="401">
        <f t="shared" si="21"/>
        <v>0</v>
      </c>
      <c r="F76" s="401">
        <f t="shared" si="21"/>
        <v>0</v>
      </c>
      <c r="G76" s="401">
        <f t="shared" si="21"/>
        <v>0</v>
      </c>
      <c r="H76" s="401">
        <f t="shared" si="21"/>
        <v>0</v>
      </c>
      <c r="I76" s="401">
        <f t="shared" si="21"/>
        <v>0</v>
      </c>
      <c r="J76" s="401">
        <f t="shared" si="21"/>
        <v>0</v>
      </c>
      <c r="K76" s="401">
        <f t="shared" si="21"/>
        <v>0</v>
      </c>
      <c r="L76" s="401">
        <f t="shared" si="21"/>
        <v>0</v>
      </c>
      <c r="M76" s="305"/>
      <c r="N76" s="328"/>
      <c r="O76" s="328"/>
      <c r="P76" s="328"/>
      <c r="Q76" s="328"/>
      <c r="R76" s="328"/>
      <c r="S76" s="328"/>
      <c r="T76" s="328"/>
      <c r="U76" s="328"/>
    </row>
    <row r="77" spans="2:22" s="339" customFormat="1" ht="15.6" x14ac:dyDescent="0.3">
      <c r="B77" s="398" t="s">
        <v>212</v>
      </c>
      <c r="C77" s="401">
        <f t="shared" ref="C77:L77" si="22">IF(ISERROR(INDEX($H$61:$H$69,MATCH(C75,$C$61:$C$69,1))),"",INDEX($H$61:$H$69,MATCH(C75,$C$61:$C$69,1)))</f>
        <v>0</v>
      </c>
      <c r="D77" s="401">
        <f t="shared" si="22"/>
        <v>0</v>
      </c>
      <c r="E77" s="401">
        <f t="shared" si="22"/>
        <v>0</v>
      </c>
      <c r="F77" s="401">
        <f t="shared" si="22"/>
        <v>0</v>
      </c>
      <c r="G77" s="401">
        <f t="shared" si="22"/>
        <v>0</v>
      </c>
      <c r="H77" s="401">
        <f t="shared" si="22"/>
        <v>0</v>
      </c>
      <c r="I77" s="401">
        <f t="shared" si="22"/>
        <v>0</v>
      </c>
      <c r="J77" s="401">
        <f t="shared" si="22"/>
        <v>0</v>
      </c>
      <c r="K77" s="401">
        <f t="shared" si="22"/>
        <v>0</v>
      </c>
      <c r="L77" s="401">
        <f t="shared" si="22"/>
        <v>0</v>
      </c>
      <c r="M77" s="305"/>
      <c r="N77" s="328"/>
      <c r="O77" s="328"/>
      <c r="P77" s="328"/>
      <c r="Q77" s="328"/>
      <c r="R77" s="328"/>
      <c r="S77" s="328"/>
      <c r="T77" s="328"/>
      <c r="U77" s="328"/>
    </row>
    <row r="78" spans="2:22" s="339" customFormat="1" ht="15.6" x14ac:dyDescent="0.3">
      <c r="B78" s="398" t="s">
        <v>213</v>
      </c>
      <c r="C78" s="417">
        <f t="shared" ref="C78:L78" si="23">C74*C76</f>
        <v>0</v>
      </c>
      <c r="D78" s="417">
        <f t="shared" si="23"/>
        <v>0</v>
      </c>
      <c r="E78" s="417">
        <f t="shared" si="23"/>
        <v>0</v>
      </c>
      <c r="F78" s="417">
        <f t="shared" si="23"/>
        <v>0</v>
      </c>
      <c r="G78" s="417">
        <f t="shared" si="23"/>
        <v>0</v>
      </c>
      <c r="H78" s="417">
        <f t="shared" si="23"/>
        <v>0</v>
      </c>
      <c r="I78" s="417">
        <f t="shared" si="23"/>
        <v>0</v>
      </c>
      <c r="J78" s="417">
        <f t="shared" si="23"/>
        <v>0</v>
      </c>
      <c r="K78" s="417">
        <f t="shared" si="23"/>
        <v>0</v>
      </c>
      <c r="L78" s="417">
        <f t="shared" si="23"/>
        <v>0</v>
      </c>
      <c r="M78" s="305"/>
      <c r="N78" s="328"/>
      <c r="O78" s="328"/>
      <c r="P78" s="328"/>
      <c r="Q78" s="328"/>
      <c r="R78" s="328"/>
      <c r="S78" s="328"/>
      <c r="T78" s="328"/>
      <c r="U78" s="328"/>
    </row>
    <row r="79" spans="2:22" s="339" customFormat="1" ht="15.6" x14ac:dyDescent="0.3">
      <c r="B79" s="398" t="s">
        <v>205</v>
      </c>
      <c r="C79" s="417">
        <f t="shared" ref="C79:L79" si="24">C75*C77</f>
        <v>0</v>
      </c>
      <c r="D79" s="417">
        <f t="shared" si="24"/>
        <v>0</v>
      </c>
      <c r="E79" s="417">
        <f t="shared" si="24"/>
        <v>0</v>
      </c>
      <c r="F79" s="417">
        <f t="shared" si="24"/>
        <v>0</v>
      </c>
      <c r="G79" s="417">
        <f t="shared" si="24"/>
        <v>0</v>
      </c>
      <c r="H79" s="417">
        <f t="shared" si="24"/>
        <v>0</v>
      </c>
      <c r="I79" s="417">
        <f t="shared" si="24"/>
        <v>0</v>
      </c>
      <c r="J79" s="417">
        <f t="shared" si="24"/>
        <v>0</v>
      </c>
      <c r="K79" s="417">
        <f t="shared" si="24"/>
        <v>0</v>
      </c>
      <c r="L79" s="417">
        <f t="shared" si="24"/>
        <v>0</v>
      </c>
      <c r="M79" s="305"/>
      <c r="N79" s="328"/>
      <c r="O79" s="328"/>
      <c r="P79" s="328"/>
      <c r="Q79" s="328"/>
      <c r="R79" s="328"/>
      <c r="S79" s="328"/>
      <c r="T79" s="328"/>
      <c r="U79" s="328"/>
    </row>
    <row r="80" spans="2:22" s="339" customFormat="1" ht="16.2" thickBot="1" x14ac:dyDescent="0.35">
      <c r="B80" s="398" t="s">
        <v>47</v>
      </c>
      <c r="C80" s="403">
        <f t="shared" ref="C80:L80" si="25">SUM(C78:C79)</f>
        <v>0</v>
      </c>
      <c r="D80" s="403">
        <f t="shared" si="25"/>
        <v>0</v>
      </c>
      <c r="E80" s="403">
        <f t="shared" si="25"/>
        <v>0</v>
      </c>
      <c r="F80" s="403">
        <f t="shared" si="25"/>
        <v>0</v>
      </c>
      <c r="G80" s="403">
        <f t="shared" si="25"/>
        <v>0</v>
      </c>
      <c r="H80" s="403">
        <f t="shared" si="25"/>
        <v>0</v>
      </c>
      <c r="I80" s="403">
        <f t="shared" si="25"/>
        <v>0</v>
      </c>
      <c r="J80" s="403">
        <f t="shared" si="25"/>
        <v>0</v>
      </c>
      <c r="K80" s="403">
        <f t="shared" si="25"/>
        <v>0</v>
      </c>
      <c r="L80" s="403">
        <f t="shared" si="25"/>
        <v>0</v>
      </c>
      <c r="M80" s="305"/>
      <c r="N80" s="328"/>
      <c r="O80" s="328"/>
      <c r="P80" s="328"/>
      <c r="Q80" s="328"/>
      <c r="R80" s="328"/>
      <c r="S80" s="328"/>
      <c r="T80" s="328"/>
      <c r="U80" s="328"/>
    </row>
    <row r="81" spans="2:21" s="339" customFormat="1" ht="16.2" thickTop="1" x14ac:dyDescent="0.3">
      <c r="B81" s="389"/>
      <c r="C81" s="389"/>
      <c r="D81" s="389"/>
      <c r="E81" s="389"/>
      <c r="F81" s="389"/>
      <c r="G81" s="389"/>
      <c r="H81" s="389"/>
      <c r="I81" s="389"/>
      <c r="J81" s="389"/>
      <c r="K81" s="389"/>
      <c r="L81" s="389"/>
      <c r="M81" s="305"/>
      <c r="N81" s="328"/>
      <c r="O81" s="328"/>
      <c r="P81" s="328"/>
      <c r="Q81" s="328"/>
      <c r="R81" s="328"/>
      <c r="S81" s="328"/>
      <c r="T81" s="328"/>
      <c r="U81" s="328"/>
    </row>
    <row r="82" spans="2:21" s="339" customFormat="1" ht="15.6" x14ac:dyDescent="0.3">
      <c r="B82" s="396" t="s">
        <v>214</v>
      </c>
      <c r="C82" s="366" t="s">
        <v>36</v>
      </c>
      <c r="D82" s="389"/>
      <c r="E82" s="389"/>
      <c r="F82" s="389"/>
      <c r="G82" s="389"/>
      <c r="H82" s="389"/>
      <c r="I82" s="389"/>
      <c r="J82" s="389"/>
      <c r="K82" s="389"/>
      <c r="L82" s="389"/>
      <c r="M82" s="305"/>
      <c r="N82" s="328"/>
      <c r="O82" s="328"/>
      <c r="P82" s="328"/>
      <c r="Q82" s="328"/>
      <c r="R82" s="328"/>
      <c r="S82" s="328"/>
      <c r="T82" s="328"/>
      <c r="U82" s="328"/>
    </row>
    <row r="83" spans="2:21" s="339" customFormat="1" ht="16.2" thickBot="1" x14ac:dyDescent="0.35">
      <c r="B83" s="175" t="s">
        <v>277</v>
      </c>
      <c r="C83" s="176">
        <f>(SUM(C80:L80))*2</f>
        <v>0</v>
      </c>
      <c r="D83" s="406"/>
      <c r="F83" s="389"/>
      <c r="G83" s="389"/>
      <c r="H83" s="389"/>
      <c r="I83" s="389"/>
      <c r="J83" s="389"/>
      <c r="K83" s="389"/>
      <c r="L83" s="389"/>
      <c r="M83" s="305"/>
      <c r="N83" s="328"/>
      <c r="O83" s="328"/>
      <c r="P83" s="328"/>
      <c r="Q83" s="328"/>
      <c r="R83" s="328"/>
      <c r="S83" s="328"/>
      <c r="T83" s="328"/>
      <c r="U83" s="328"/>
    </row>
    <row r="84" spans="2:21" s="339" customFormat="1" ht="16.8" thickTop="1" thickBot="1" x14ac:dyDescent="0.35">
      <c r="B84" s="388"/>
      <c r="C84" s="384"/>
      <c r="D84" s="384"/>
      <c r="E84" s="384"/>
      <c r="F84" s="384"/>
      <c r="G84" s="384"/>
      <c r="H84" s="384"/>
      <c r="I84" s="383"/>
      <c r="J84" s="383"/>
      <c r="K84" s="383"/>
      <c r="L84" s="383"/>
      <c r="M84" s="305"/>
      <c r="N84" s="328"/>
      <c r="O84" s="328"/>
      <c r="P84" s="328"/>
      <c r="Q84" s="328"/>
      <c r="R84" s="328"/>
      <c r="S84" s="328"/>
      <c r="T84" s="328"/>
      <c r="U84" s="328"/>
    </row>
  </sheetData>
  <sheetProtection algorithmName="SHA-512" hashValue="rZyF1fW+MjwP9HvACm25O7UiVoBGmA+z4jBHAKf7O6lGsWkz1Ng+45kwNXFOaB+a8J3QDdHnuOz0i8t4kv8DBg==" saltValue="ciUVFe/rWZqQbIBheJblYg==" spinCount="100000" sheet="1" objects="1" scenarios="1"/>
  <mergeCells count="32">
    <mergeCell ref="B70:F71"/>
    <mergeCell ref="C39:D39"/>
    <mergeCell ref="E38:E39"/>
    <mergeCell ref="B50:F51"/>
    <mergeCell ref="E26:H26"/>
    <mergeCell ref="E27:H27"/>
    <mergeCell ref="E58:E59"/>
    <mergeCell ref="C59:D59"/>
    <mergeCell ref="G59:G60"/>
    <mergeCell ref="G39:G40"/>
    <mergeCell ref="B10:B12"/>
    <mergeCell ref="C10:D10"/>
    <mergeCell ref="C11:D11"/>
    <mergeCell ref="C12:D12"/>
    <mergeCell ref="B13:B15"/>
    <mergeCell ref="C13:D13"/>
    <mergeCell ref="C14:D14"/>
    <mergeCell ref="C15:D15"/>
    <mergeCell ref="J8:J9"/>
    <mergeCell ref="K8:K9"/>
    <mergeCell ref="E25:H25"/>
    <mergeCell ref="L8:L9"/>
    <mergeCell ref="E23:H23"/>
    <mergeCell ref="E24:H24"/>
    <mergeCell ref="E8:E9"/>
    <mergeCell ref="F8:F9"/>
    <mergeCell ref="G8:G9"/>
    <mergeCell ref="H8:H9"/>
    <mergeCell ref="I8:I9"/>
    <mergeCell ref="E20:H20"/>
    <mergeCell ref="E21:H21"/>
    <mergeCell ref="E22:H22"/>
  </mergeCells>
  <phoneticPr fontId="37" type="noConversion"/>
  <conditionalFormatting sqref="H50">
    <cfRule type="expression" dxfId="69" priority="75">
      <formula>$P$50&gt;0</formula>
    </cfRule>
  </conditionalFormatting>
  <conditionalFormatting sqref="G41">
    <cfRule type="expression" dxfId="68" priority="74">
      <formula>O41=2</formula>
    </cfRule>
  </conditionalFormatting>
  <conditionalFormatting sqref="G45">
    <cfRule type="expression" dxfId="67" priority="73">
      <formula>O45=2</formula>
    </cfRule>
  </conditionalFormatting>
  <conditionalFormatting sqref="G46">
    <cfRule type="expression" dxfId="66" priority="72">
      <formula>O46=2</formula>
    </cfRule>
  </conditionalFormatting>
  <conditionalFormatting sqref="G42">
    <cfRule type="expression" dxfId="65" priority="68">
      <formula>O42=2</formula>
    </cfRule>
  </conditionalFormatting>
  <conditionalFormatting sqref="G43">
    <cfRule type="expression" dxfId="64" priority="67">
      <formula>O43=2</formula>
    </cfRule>
  </conditionalFormatting>
  <conditionalFormatting sqref="G44">
    <cfRule type="expression" dxfId="63" priority="66">
      <formula>O44=2</formula>
    </cfRule>
  </conditionalFormatting>
  <conditionalFormatting sqref="H41">
    <cfRule type="expression" dxfId="62" priority="57">
      <formula>O41=2</formula>
    </cfRule>
    <cfRule type="expression" dxfId="61" priority="58">
      <formula>P41=0</formula>
    </cfRule>
    <cfRule type="expression" dxfId="60" priority="59">
      <formula>P41=1</formula>
    </cfRule>
  </conditionalFormatting>
  <conditionalFormatting sqref="D49">
    <cfRule type="expression" dxfId="59" priority="56">
      <formula>D48="&gt;"</formula>
    </cfRule>
  </conditionalFormatting>
  <conditionalFormatting sqref="H42:H49">
    <cfRule type="expression" dxfId="58" priority="45">
      <formula>O42=2</formula>
    </cfRule>
    <cfRule type="expression" dxfId="57" priority="46">
      <formula>P42=0</formula>
    </cfRule>
    <cfRule type="expression" dxfId="56" priority="47">
      <formula>P42=1</formula>
    </cfRule>
  </conditionalFormatting>
  <conditionalFormatting sqref="G47">
    <cfRule type="expression" dxfId="55" priority="44">
      <formula>O47=2</formula>
    </cfRule>
  </conditionalFormatting>
  <conditionalFormatting sqref="G48">
    <cfRule type="expression" dxfId="54" priority="43">
      <formula>O48=2</formula>
    </cfRule>
  </conditionalFormatting>
  <conditionalFormatting sqref="G49">
    <cfRule type="expression" dxfId="53" priority="42">
      <formula>O49=2</formula>
    </cfRule>
  </conditionalFormatting>
  <conditionalFormatting sqref="D41:D48">
    <cfRule type="expression" dxfId="52" priority="41">
      <formula>D40="&gt;"</formula>
    </cfRule>
  </conditionalFormatting>
  <conditionalFormatting sqref="H70">
    <cfRule type="containsText" dxfId="51" priority="22" operator="containsText" text="Fout">
      <formula>NOT(ISERROR(SEARCH("Fout",H70)))</formula>
    </cfRule>
    <cfRule type="expression" dxfId="50" priority="40">
      <formula>$P$50&gt;0</formula>
    </cfRule>
  </conditionalFormatting>
  <conditionalFormatting sqref="G61">
    <cfRule type="expression" dxfId="49" priority="39">
      <formula>O61=2</formula>
    </cfRule>
  </conditionalFormatting>
  <conditionalFormatting sqref="G65">
    <cfRule type="expression" dxfId="48" priority="38">
      <formula>O65=2</formula>
    </cfRule>
  </conditionalFormatting>
  <conditionalFormatting sqref="G66">
    <cfRule type="expression" dxfId="47" priority="37">
      <formula>O66=2</formula>
    </cfRule>
  </conditionalFormatting>
  <conditionalFormatting sqref="G62">
    <cfRule type="expression" dxfId="46" priority="36">
      <formula>O62=2</formula>
    </cfRule>
  </conditionalFormatting>
  <conditionalFormatting sqref="G63">
    <cfRule type="expression" dxfId="45" priority="35">
      <formula>O63=2</formula>
    </cfRule>
  </conditionalFormatting>
  <conditionalFormatting sqref="G64">
    <cfRule type="expression" dxfId="44" priority="34">
      <formula>O64=2</formula>
    </cfRule>
  </conditionalFormatting>
  <conditionalFormatting sqref="H61">
    <cfRule type="expression" dxfId="43" priority="31">
      <formula>O61=2</formula>
    </cfRule>
    <cfRule type="expression" dxfId="42" priority="32">
      <formula>P61=0</formula>
    </cfRule>
    <cfRule type="expression" dxfId="41" priority="33">
      <formula>P61=1</formula>
    </cfRule>
  </conditionalFormatting>
  <conditionalFormatting sqref="D69">
    <cfRule type="expression" dxfId="40" priority="30">
      <formula>D68="&gt;"</formula>
    </cfRule>
  </conditionalFormatting>
  <conditionalFormatting sqref="H62:H69">
    <cfRule type="expression" dxfId="39" priority="27">
      <formula>O62=2</formula>
    </cfRule>
    <cfRule type="expression" dxfId="38" priority="28">
      <formula>P62=0</formula>
    </cfRule>
    <cfRule type="expression" dxfId="37" priority="29">
      <formula>P62=1</formula>
    </cfRule>
  </conditionalFormatting>
  <conditionalFormatting sqref="G67">
    <cfRule type="expression" dxfId="36" priority="26">
      <formula>O67=2</formula>
    </cfRule>
  </conditionalFormatting>
  <conditionalFormatting sqref="G68">
    <cfRule type="expression" dxfId="35" priority="25">
      <formula>O68=2</formula>
    </cfRule>
  </conditionalFormatting>
  <conditionalFormatting sqref="G69">
    <cfRule type="expression" dxfId="34" priority="24">
      <formula>O69=2</formula>
    </cfRule>
  </conditionalFormatting>
  <conditionalFormatting sqref="D61:D68">
    <cfRule type="expression" dxfId="33" priority="23">
      <formula>D60="&gt;"</formula>
    </cfRule>
  </conditionalFormatting>
  <pageMargins left="0.7" right="0.7" top="0.75" bottom="0.75" header="0.3" footer="0.3"/>
  <pageSetup paperSize="9" orientation="portrait" r:id="rId1"/>
  <ignoredErrors>
    <ignoredError sqref="C74:C75 C62:C69"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R42"/>
  <sheetViews>
    <sheetView showGridLines="0" zoomScale="80" zoomScaleNormal="80" workbookViewId="0">
      <selection activeCell="E30" sqref="E30:L30"/>
    </sheetView>
  </sheetViews>
  <sheetFormatPr defaultColWidth="0" defaultRowHeight="0" customHeight="1" zeroHeight="1" x14ac:dyDescent="0.3"/>
  <cols>
    <col min="1" max="1" width="5.5546875" style="373" customWidth="1"/>
    <col min="2" max="2" width="49.6640625" style="341" customWidth="1"/>
    <col min="3" max="3" width="19.44140625" style="373" customWidth="1"/>
    <col min="4" max="4" width="15" style="374" customWidth="1"/>
    <col min="5" max="5" width="14.6640625" style="374" bestFit="1" customWidth="1"/>
    <col min="6" max="7" width="13.6640625" style="374" bestFit="1" customWidth="1"/>
    <col min="8" max="8" width="13.6640625" style="341" bestFit="1" customWidth="1"/>
    <col min="9" max="11" width="13.6640625" style="373" bestFit="1" customWidth="1"/>
    <col min="12" max="12" width="14.88671875" style="373" bestFit="1" customWidth="1"/>
    <col min="13" max="13" width="8.88671875" style="373" customWidth="1"/>
    <col min="14" max="14" width="24.33203125" style="373" hidden="1" customWidth="1"/>
    <col min="15" max="15" width="21.6640625" style="373" hidden="1" customWidth="1"/>
    <col min="16" max="16" width="8.88671875" style="373" hidden="1" customWidth="1"/>
    <col min="17" max="17" width="24.33203125" style="373" hidden="1" customWidth="1"/>
    <col min="18" max="18" width="21.6640625" style="373" hidden="1" customWidth="1"/>
    <col min="19" max="16384" width="8.88671875" style="373" hidden="1"/>
  </cols>
  <sheetData>
    <row r="1" spans="1:16" ht="16.95" customHeight="1" x14ac:dyDescent="0.4">
      <c r="A1" s="418"/>
      <c r="H1" s="419"/>
    </row>
    <row r="2" spans="1:16" s="418" customFormat="1" ht="22.8" x14ac:dyDescent="0.4">
      <c r="B2" s="168" t="str">
        <f>Samenvatting!B2</f>
        <v>Europese aanbesteding Data Storage Platform</v>
      </c>
      <c r="C2" s="168"/>
      <c r="D2" s="375"/>
      <c r="E2" s="168"/>
      <c r="F2" s="168"/>
      <c r="G2" s="168"/>
      <c r="H2" s="168"/>
      <c r="I2" s="168"/>
      <c r="J2" s="168"/>
      <c r="K2" s="168"/>
      <c r="L2" s="168"/>
      <c r="M2" s="379"/>
      <c r="N2" s="379"/>
      <c r="O2" s="379"/>
      <c r="P2" s="379"/>
    </row>
    <row r="3" spans="1:16" s="420" customFormat="1" ht="21" x14ac:dyDescent="0.4">
      <c r="B3" s="184" t="s">
        <v>221</v>
      </c>
      <c r="C3" s="380"/>
      <c r="D3" s="380"/>
      <c r="E3" s="380"/>
      <c r="F3" s="380"/>
      <c r="G3" s="380"/>
      <c r="H3" s="380"/>
      <c r="I3" s="380"/>
      <c r="J3" s="380"/>
      <c r="K3" s="380"/>
      <c r="L3" s="380"/>
      <c r="M3" s="328"/>
      <c r="N3" s="328"/>
      <c r="O3" s="328"/>
      <c r="P3" s="328"/>
    </row>
    <row r="4" spans="1:16" s="420" customFormat="1" ht="13.8" x14ac:dyDescent="0.3">
      <c r="B4" s="170" t="str">
        <f>Samenvatting!B4</f>
        <v xml:space="preserve"> Kenmerk: IUC23-047</v>
      </c>
      <c r="C4" s="380"/>
      <c r="D4" s="380"/>
      <c r="E4" s="380"/>
      <c r="F4" s="380"/>
      <c r="G4" s="380"/>
      <c r="H4" s="380"/>
      <c r="I4" s="380"/>
      <c r="J4" s="380"/>
      <c r="K4" s="380"/>
      <c r="L4" s="380"/>
      <c r="M4" s="328"/>
      <c r="N4" s="328"/>
      <c r="O4" s="328"/>
      <c r="P4" s="328"/>
    </row>
    <row r="5" spans="1:16" s="420" customFormat="1" ht="13.8" x14ac:dyDescent="0.3">
      <c r="B5" s="171" t="s">
        <v>73</v>
      </c>
      <c r="C5" s="380"/>
      <c r="D5" s="380"/>
      <c r="E5" s="380"/>
      <c r="F5" s="380"/>
      <c r="G5" s="380"/>
      <c r="H5" s="380"/>
      <c r="I5" s="380"/>
      <c r="J5" s="380"/>
      <c r="K5" s="380"/>
      <c r="L5" s="380"/>
      <c r="M5" s="328"/>
      <c r="N5" s="328"/>
      <c r="O5" s="328"/>
      <c r="P5" s="328"/>
    </row>
    <row r="6" spans="1:16" s="420" customFormat="1" ht="13.8" x14ac:dyDescent="0.3">
      <c r="B6" s="188"/>
      <c r="C6" s="407"/>
      <c r="D6" s="408"/>
      <c r="E6" s="409"/>
      <c r="F6" s="409"/>
      <c r="G6" s="409"/>
      <c r="H6" s="409"/>
      <c r="I6" s="409"/>
      <c r="J6" s="409"/>
      <c r="K6" s="409"/>
      <c r="L6" s="409"/>
      <c r="M6" s="328"/>
      <c r="N6" s="328"/>
      <c r="O6" s="328"/>
      <c r="P6" s="328"/>
    </row>
    <row r="7" spans="1:16" s="420" customFormat="1" ht="15.6" x14ac:dyDescent="0.3">
      <c r="B7" s="421"/>
      <c r="C7" s="422"/>
      <c r="D7" s="422"/>
      <c r="E7" s="422"/>
      <c r="F7" s="422"/>
      <c r="G7" s="422"/>
      <c r="H7" s="419"/>
      <c r="I7" s="328"/>
      <c r="J7" s="328"/>
      <c r="K7" s="328"/>
      <c r="L7" s="328"/>
      <c r="M7" s="328"/>
      <c r="N7" s="328"/>
      <c r="O7" s="328"/>
      <c r="P7" s="328"/>
    </row>
    <row r="8" spans="1:16" s="420" customFormat="1" ht="13.95" customHeight="1" x14ac:dyDescent="0.25">
      <c r="B8" s="254" t="s">
        <v>1</v>
      </c>
      <c r="C8" s="255"/>
      <c r="D8" s="256"/>
      <c r="E8" s="480" t="s">
        <v>160</v>
      </c>
      <c r="F8" s="481" t="s">
        <v>161</v>
      </c>
      <c r="G8" s="481" t="s">
        <v>154</v>
      </c>
      <c r="H8" s="481" t="s">
        <v>155</v>
      </c>
      <c r="I8" s="481" t="s">
        <v>156</v>
      </c>
      <c r="J8" s="481" t="s">
        <v>157</v>
      </c>
      <c r="K8" s="481" t="s">
        <v>158</v>
      </c>
      <c r="L8" s="481" t="s">
        <v>159</v>
      </c>
      <c r="M8" s="328"/>
      <c r="N8" s="328"/>
      <c r="O8" s="328"/>
      <c r="P8" s="328"/>
    </row>
    <row r="9" spans="1:16" s="420" customFormat="1" ht="13.8" x14ac:dyDescent="0.25">
      <c r="B9" s="257" t="s">
        <v>0</v>
      </c>
      <c r="C9" s="258" t="s">
        <v>0</v>
      </c>
      <c r="D9" s="258"/>
      <c r="E9" s="480"/>
      <c r="F9" s="482"/>
      <c r="G9" s="482"/>
      <c r="H9" s="482"/>
      <c r="I9" s="482"/>
      <c r="J9" s="482"/>
      <c r="K9" s="482"/>
      <c r="L9" s="482"/>
      <c r="M9" s="328"/>
      <c r="N9" s="328"/>
      <c r="O9" s="328"/>
      <c r="P9" s="328"/>
    </row>
    <row r="10" spans="1:16" s="420" customFormat="1" ht="13.8" x14ac:dyDescent="0.25">
      <c r="B10" s="484" t="s">
        <v>268</v>
      </c>
      <c r="C10" s="483" t="s">
        <v>152</v>
      </c>
      <c r="D10" s="483"/>
      <c r="E10" s="259">
        <v>750</v>
      </c>
      <c r="F10" s="259">
        <f>1.1*E10</f>
        <v>825.00000000000011</v>
      </c>
      <c r="G10" s="259">
        <v>900</v>
      </c>
      <c r="H10" s="259">
        <v>1000</v>
      </c>
      <c r="I10" s="259">
        <v>1100</v>
      </c>
      <c r="J10" s="259">
        <v>1200</v>
      </c>
      <c r="K10" s="259">
        <v>1325</v>
      </c>
      <c r="L10" s="259">
        <v>1450</v>
      </c>
      <c r="M10" s="328"/>
      <c r="N10" s="328"/>
      <c r="O10" s="328"/>
      <c r="P10" s="328"/>
    </row>
    <row r="11" spans="1:16" s="420" customFormat="1" ht="13.8" x14ac:dyDescent="0.25">
      <c r="B11" s="484"/>
      <c r="C11" s="483" t="s">
        <v>153</v>
      </c>
      <c r="D11" s="483"/>
      <c r="E11" s="259">
        <v>750</v>
      </c>
      <c r="F11" s="259">
        <f>1.1*E11</f>
        <v>825.00000000000011</v>
      </c>
      <c r="G11" s="259">
        <v>900</v>
      </c>
      <c r="H11" s="259">
        <v>1000</v>
      </c>
      <c r="I11" s="259">
        <v>1100</v>
      </c>
      <c r="J11" s="259">
        <v>1200</v>
      </c>
      <c r="K11" s="259">
        <v>1325</v>
      </c>
      <c r="L11" s="259">
        <v>1450</v>
      </c>
      <c r="M11" s="328"/>
      <c r="N11" s="328"/>
      <c r="O11" s="328"/>
      <c r="P11" s="328"/>
    </row>
    <row r="12" spans="1:16" s="420" customFormat="1" ht="13.8" x14ac:dyDescent="0.3">
      <c r="A12" s="423"/>
      <c r="B12" s="484"/>
      <c r="C12" s="485" t="s">
        <v>175</v>
      </c>
      <c r="D12" s="485"/>
      <c r="E12" s="261">
        <f>SUM(E10:E11)</f>
        <v>1500</v>
      </c>
      <c r="F12" s="261">
        <f>SUM(F10:F11)</f>
        <v>1650.0000000000002</v>
      </c>
      <c r="G12" s="261">
        <f t="shared" ref="G12:L12" si="0">SUM(G10:G11)</f>
        <v>1800</v>
      </c>
      <c r="H12" s="261">
        <f t="shared" si="0"/>
        <v>2000</v>
      </c>
      <c r="I12" s="261">
        <f t="shared" si="0"/>
        <v>2200</v>
      </c>
      <c r="J12" s="261">
        <f t="shared" si="0"/>
        <v>2400</v>
      </c>
      <c r="K12" s="261">
        <f t="shared" si="0"/>
        <v>2650</v>
      </c>
      <c r="L12" s="261">
        <f t="shared" si="0"/>
        <v>2900</v>
      </c>
      <c r="M12" s="328"/>
      <c r="N12" s="328"/>
      <c r="O12" s="328"/>
      <c r="P12" s="328"/>
    </row>
    <row r="13" spans="1:16" s="420" customFormat="1" ht="13.8" x14ac:dyDescent="0.3">
      <c r="A13" s="423"/>
      <c r="B13" s="484" t="s">
        <v>269</v>
      </c>
      <c r="C13" s="483" t="s">
        <v>152</v>
      </c>
      <c r="D13" s="483"/>
      <c r="E13" s="259">
        <v>750</v>
      </c>
      <c r="F13" s="259">
        <f>1.2*E13</f>
        <v>900</v>
      </c>
      <c r="G13" s="259">
        <v>1075</v>
      </c>
      <c r="H13" s="259">
        <v>1300</v>
      </c>
      <c r="I13" s="259">
        <v>1575</v>
      </c>
      <c r="J13" s="259">
        <v>1900</v>
      </c>
      <c r="K13" s="259">
        <v>2275</v>
      </c>
      <c r="L13" s="259">
        <v>2725</v>
      </c>
      <c r="M13" s="328"/>
      <c r="N13" s="328"/>
      <c r="O13" s="328"/>
      <c r="P13" s="328"/>
    </row>
    <row r="14" spans="1:16" s="420" customFormat="1" ht="13.8" x14ac:dyDescent="0.3">
      <c r="A14" s="423"/>
      <c r="B14" s="484"/>
      <c r="C14" s="483" t="s">
        <v>153</v>
      </c>
      <c r="D14" s="483"/>
      <c r="E14" s="259">
        <v>750</v>
      </c>
      <c r="F14" s="259">
        <f t="shared" ref="F14:L14" si="1">F13</f>
        <v>900</v>
      </c>
      <c r="G14" s="259">
        <f t="shared" si="1"/>
        <v>1075</v>
      </c>
      <c r="H14" s="259">
        <f t="shared" si="1"/>
        <v>1300</v>
      </c>
      <c r="I14" s="259">
        <f t="shared" si="1"/>
        <v>1575</v>
      </c>
      <c r="J14" s="259">
        <f t="shared" si="1"/>
        <v>1900</v>
      </c>
      <c r="K14" s="259">
        <f t="shared" si="1"/>
        <v>2275</v>
      </c>
      <c r="L14" s="259">
        <f t="shared" si="1"/>
        <v>2725</v>
      </c>
      <c r="M14" s="328"/>
      <c r="N14" s="328"/>
      <c r="O14" s="328"/>
      <c r="P14" s="328"/>
    </row>
    <row r="15" spans="1:16" s="420" customFormat="1" ht="13.8" x14ac:dyDescent="0.3">
      <c r="A15" s="423"/>
      <c r="B15" s="484"/>
      <c r="C15" s="485" t="s">
        <v>175</v>
      </c>
      <c r="D15" s="485"/>
      <c r="E15" s="261">
        <f>SUM(E13:E14)</f>
        <v>1500</v>
      </c>
      <c r="F15" s="261">
        <f t="shared" ref="F15:L15" si="2">SUM(F13:F14)</f>
        <v>1800</v>
      </c>
      <c r="G15" s="261">
        <f t="shared" si="2"/>
        <v>2150</v>
      </c>
      <c r="H15" s="261">
        <f t="shared" si="2"/>
        <v>2600</v>
      </c>
      <c r="I15" s="261">
        <f t="shared" si="2"/>
        <v>3150</v>
      </c>
      <c r="J15" s="261">
        <f t="shared" si="2"/>
        <v>3800</v>
      </c>
      <c r="K15" s="261">
        <f t="shared" si="2"/>
        <v>4550</v>
      </c>
      <c r="L15" s="261">
        <f t="shared" si="2"/>
        <v>5450</v>
      </c>
      <c r="M15" s="328"/>
      <c r="N15" s="328"/>
      <c r="O15" s="328"/>
      <c r="P15" s="328"/>
    </row>
    <row r="16" spans="1:16" s="420" customFormat="1" ht="14.4" thickBot="1" x14ac:dyDescent="0.35">
      <c r="A16" s="423"/>
      <c r="B16" s="424"/>
      <c r="C16" s="424"/>
      <c r="D16" s="424"/>
      <c r="E16" s="425"/>
      <c r="F16" s="425"/>
      <c r="G16" s="425"/>
      <c r="H16" s="425"/>
      <c r="I16" s="425"/>
      <c r="J16" s="425"/>
      <c r="K16" s="425"/>
      <c r="L16" s="425"/>
      <c r="M16" s="328"/>
      <c r="N16" s="328"/>
      <c r="O16" s="328"/>
      <c r="P16" s="328"/>
    </row>
    <row r="17" spans="1:16" s="420" customFormat="1" ht="15.6" x14ac:dyDescent="0.3">
      <c r="A17" s="423"/>
      <c r="B17" s="422"/>
      <c r="C17" s="422"/>
      <c r="D17" s="422"/>
      <c r="E17" s="422"/>
      <c r="F17" s="422"/>
      <c r="G17" s="422"/>
      <c r="H17" s="419"/>
      <c r="I17" s="328"/>
      <c r="J17" s="328"/>
      <c r="K17" s="328"/>
      <c r="L17" s="328"/>
      <c r="M17" s="328"/>
      <c r="N17" s="328"/>
      <c r="O17" s="328"/>
      <c r="P17" s="328"/>
    </row>
    <row r="18" spans="1:16" s="420" customFormat="1" ht="15.6" x14ac:dyDescent="0.3">
      <c r="B18" s="172" t="s">
        <v>177</v>
      </c>
      <c r="C18" s="267"/>
      <c r="D18" s="267"/>
      <c r="E18" s="426"/>
      <c r="F18" s="426"/>
      <c r="G18" s="427"/>
      <c r="H18" s="419"/>
      <c r="I18" s="328"/>
      <c r="J18" s="328"/>
      <c r="K18" s="328"/>
      <c r="L18" s="328"/>
      <c r="M18" s="328"/>
      <c r="N18" s="328"/>
      <c r="O18" s="328"/>
      <c r="P18" s="328"/>
    </row>
    <row r="19" spans="1:16" s="420" customFormat="1" ht="15.6" x14ac:dyDescent="0.3">
      <c r="B19" s="421"/>
      <c r="C19" s="422"/>
      <c r="D19" s="422"/>
      <c r="E19" s="422"/>
      <c r="F19" s="422"/>
      <c r="G19" s="422"/>
      <c r="H19" s="419"/>
      <c r="I19" s="328"/>
      <c r="J19" s="328"/>
      <c r="K19" s="328"/>
      <c r="L19" s="328"/>
      <c r="M19" s="328"/>
      <c r="N19" s="328"/>
      <c r="O19" s="328"/>
      <c r="P19" s="328"/>
    </row>
    <row r="20" spans="1:16" s="420" customFormat="1" ht="15.6" x14ac:dyDescent="0.3">
      <c r="B20" s="386" t="s">
        <v>284</v>
      </c>
      <c r="C20" s="387" t="s">
        <v>7</v>
      </c>
      <c r="D20" s="387" t="s">
        <v>8</v>
      </c>
      <c r="E20" s="487" t="s">
        <v>46</v>
      </c>
      <c r="F20" s="488"/>
      <c r="G20" s="489"/>
      <c r="H20" s="419"/>
      <c r="I20" s="328"/>
      <c r="J20" s="328"/>
      <c r="K20" s="328"/>
      <c r="L20" s="328"/>
      <c r="M20" s="328"/>
      <c r="N20" s="328"/>
      <c r="O20" s="328"/>
      <c r="P20" s="328"/>
    </row>
    <row r="21" spans="1:16" s="420" customFormat="1" ht="15.6" x14ac:dyDescent="0.3">
      <c r="B21" s="13"/>
      <c r="C21" s="165"/>
      <c r="D21" s="165"/>
      <c r="E21" s="506"/>
      <c r="F21" s="506"/>
      <c r="G21" s="506"/>
      <c r="H21" s="419"/>
      <c r="I21" s="328"/>
      <c r="J21" s="328"/>
      <c r="K21" s="328"/>
      <c r="L21" s="328"/>
      <c r="M21" s="328"/>
      <c r="N21" s="328"/>
      <c r="O21" s="328"/>
      <c r="P21" s="328"/>
    </row>
    <row r="22" spans="1:16" s="420" customFormat="1" ht="15.6" x14ac:dyDescent="0.3">
      <c r="B22" s="13"/>
      <c r="C22" s="165"/>
      <c r="D22" s="165"/>
      <c r="E22" s="506"/>
      <c r="F22" s="506"/>
      <c r="G22" s="506"/>
      <c r="H22" s="419"/>
      <c r="I22" s="328"/>
      <c r="J22" s="328"/>
      <c r="K22" s="328"/>
      <c r="L22" s="328"/>
      <c r="M22" s="328"/>
      <c r="N22" s="328"/>
      <c r="O22" s="328"/>
      <c r="P22" s="328"/>
    </row>
    <row r="23" spans="1:16" s="420" customFormat="1" ht="15.6" x14ac:dyDescent="0.3">
      <c r="B23" s="13"/>
      <c r="C23" s="165"/>
      <c r="D23" s="165"/>
      <c r="E23" s="506"/>
      <c r="F23" s="506"/>
      <c r="G23" s="506"/>
      <c r="H23" s="419"/>
      <c r="I23" s="328"/>
      <c r="J23" s="328"/>
      <c r="K23" s="328"/>
      <c r="L23" s="328"/>
      <c r="M23" s="328"/>
      <c r="N23" s="328"/>
      <c r="O23" s="328"/>
      <c r="P23" s="328"/>
    </row>
    <row r="24" spans="1:16" s="420" customFormat="1" ht="15.6" x14ac:dyDescent="0.3">
      <c r="B24" s="13"/>
      <c r="C24" s="165"/>
      <c r="D24" s="165"/>
      <c r="E24" s="506"/>
      <c r="F24" s="506"/>
      <c r="G24" s="506"/>
      <c r="H24" s="419"/>
      <c r="I24" s="328"/>
      <c r="J24" s="328"/>
      <c r="K24" s="328"/>
      <c r="L24" s="328"/>
      <c r="M24" s="328"/>
      <c r="N24" s="328"/>
      <c r="O24" s="328"/>
      <c r="P24" s="328"/>
    </row>
    <row r="25" spans="1:16" s="420" customFormat="1" ht="15.6" x14ac:dyDescent="0.3">
      <c r="B25" s="13"/>
      <c r="C25" s="165"/>
      <c r="D25" s="165"/>
      <c r="E25" s="506"/>
      <c r="F25" s="506"/>
      <c r="G25" s="506"/>
      <c r="H25" s="419"/>
      <c r="I25" s="328"/>
      <c r="J25" s="328"/>
      <c r="K25" s="328"/>
      <c r="L25" s="328"/>
      <c r="M25" s="328"/>
      <c r="N25" s="328"/>
      <c r="O25" s="328"/>
      <c r="P25" s="328"/>
    </row>
    <row r="26" spans="1:16" s="420" customFormat="1" ht="15.6" x14ac:dyDescent="0.3">
      <c r="B26" s="13"/>
      <c r="C26" s="165"/>
      <c r="D26" s="165"/>
      <c r="E26" s="506"/>
      <c r="F26" s="506"/>
      <c r="G26" s="506"/>
      <c r="H26" s="419"/>
      <c r="I26" s="328"/>
      <c r="J26" s="328"/>
      <c r="K26" s="328"/>
      <c r="L26" s="328"/>
      <c r="M26" s="328"/>
      <c r="N26" s="328"/>
      <c r="O26" s="328"/>
      <c r="P26" s="328"/>
    </row>
    <row r="27" spans="1:16" s="420" customFormat="1" ht="15.6" x14ac:dyDescent="0.3">
      <c r="B27" s="13"/>
      <c r="C27" s="165"/>
      <c r="D27" s="165"/>
      <c r="E27" s="506"/>
      <c r="F27" s="506"/>
      <c r="G27" s="506"/>
      <c r="H27" s="419"/>
      <c r="I27" s="328"/>
      <c r="J27" s="328"/>
      <c r="K27" s="328"/>
      <c r="L27" s="328"/>
      <c r="M27" s="328"/>
      <c r="N27" s="328"/>
      <c r="O27" s="328"/>
      <c r="P27" s="328"/>
    </row>
    <row r="28" spans="1:16" s="420" customFormat="1" ht="14.4" thickBot="1" x14ac:dyDescent="0.35">
      <c r="B28" s="428" t="s">
        <v>45</v>
      </c>
      <c r="C28" s="429"/>
      <c r="D28" s="429"/>
      <c r="E28" s="429"/>
      <c r="F28" s="429"/>
      <c r="G28" s="429"/>
      <c r="H28" s="429"/>
      <c r="I28" s="429"/>
      <c r="J28" s="429"/>
      <c r="K28" s="429"/>
      <c r="L28" s="429"/>
      <c r="M28" s="328"/>
      <c r="N28" s="328"/>
      <c r="O28" s="328"/>
      <c r="P28" s="328"/>
    </row>
    <row r="29" spans="1:16" s="420" customFormat="1" ht="15.6" x14ac:dyDescent="0.3">
      <c r="B29" s="421"/>
      <c r="C29" s="422"/>
      <c r="D29" s="422"/>
      <c r="E29" s="422"/>
      <c r="F29" s="422"/>
      <c r="G29" s="422"/>
      <c r="H29" s="419"/>
      <c r="I29" s="328"/>
      <c r="J29" s="328"/>
      <c r="K29" s="328"/>
      <c r="L29" s="328"/>
      <c r="M29" s="328"/>
      <c r="N29" s="328"/>
      <c r="O29" s="328"/>
      <c r="P29" s="328"/>
    </row>
    <row r="30" spans="1:16" s="434" customFormat="1" ht="17.399999999999999" x14ac:dyDescent="0.3">
      <c r="A30" s="420"/>
      <c r="B30" s="430" t="s">
        <v>51</v>
      </c>
      <c r="C30" s="431"/>
      <c r="D30" s="432"/>
      <c r="E30" s="504" t="s">
        <v>174</v>
      </c>
      <c r="F30" s="504"/>
      <c r="G30" s="504"/>
      <c r="H30" s="504"/>
      <c r="I30" s="504"/>
      <c r="J30" s="504"/>
      <c r="K30" s="504"/>
      <c r="L30" s="505"/>
      <c r="M30" s="433"/>
      <c r="N30" s="433"/>
      <c r="O30" s="433"/>
      <c r="P30" s="433"/>
    </row>
    <row r="31" spans="1:16" s="434" customFormat="1" ht="15.6" x14ac:dyDescent="0.3">
      <c r="A31" s="420"/>
      <c r="B31" s="435" t="s">
        <v>0</v>
      </c>
      <c r="C31" s="435" t="s">
        <v>0</v>
      </c>
      <c r="D31" s="435"/>
      <c r="E31" s="435"/>
      <c r="F31" s="435"/>
      <c r="G31" s="435"/>
      <c r="H31" s="419"/>
      <c r="I31" s="433"/>
      <c r="J31" s="433"/>
      <c r="K31" s="433"/>
      <c r="L31" s="433"/>
      <c r="M31" s="433"/>
      <c r="N31" s="433"/>
      <c r="O31" s="433"/>
      <c r="P31" s="433"/>
    </row>
    <row r="32" spans="1:16" s="434" customFormat="1" ht="15.6" x14ac:dyDescent="0.3">
      <c r="A32" s="420"/>
      <c r="B32" s="436" t="s">
        <v>46</v>
      </c>
      <c r="C32" s="437" t="s">
        <v>72</v>
      </c>
      <c r="D32" s="435"/>
      <c r="E32" s="435"/>
      <c r="F32" s="438" t="s">
        <v>0</v>
      </c>
      <c r="G32" s="435"/>
      <c r="H32" s="419"/>
      <c r="I32" s="433"/>
      <c r="J32" s="433"/>
      <c r="K32" s="433"/>
      <c r="L32" s="433"/>
      <c r="M32" s="433"/>
      <c r="N32" s="433"/>
      <c r="O32" s="433"/>
      <c r="P32" s="433"/>
    </row>
    <row r="33" spans="1:16" s="434" customFormat="1" ht="16.2" thickBot="1" x14ac:dyDescent="0.35">
      <c r="A33" s="420"/>
      <c r="B33" s="439" t="s">
        <v>50</v>
      </c>
      <c r="C33" s="11"/>
      <c r="D33" s="435"/>
      <c r="E33" s="435"/>
      <c r="F33" s="438"/>
      <c r="G33" s="435"/>
      <c r="H33" s="419"/>
      <c r="I33" s="440"/>
      <c r="J33" s="433"/>
      <c r="K33" s="433"/>
      <c r="L33" s="433"/>
      <c r="M33" s="433"/>
      <c r="N33" s="433"/>
      <c r="O33" s="433"/>
      <c r="P33" s="433"/>
    </row>
    <row r="34" spans="1:16" s="434" customFormat="1" ht="16.2" thickTop="1" x14ac:dyDescent="0.3">
      <c r="A34" s="420"/>
      <c r="B34" s="435"/>
      <c r="C34" s="435"/>
      <c r="D34" s="435"/>
      <c r="E34" s="435"/>
      <c r="F34" s="441"/>
      <c r="G34" s="435"/>
      <c r="H34" s="419"/>
      <c r="I34" s="442"/>
      <c r="J34" s="433"/>
      <c r="K34" s="433"/>
      <c r="L34" s="433"/>
      <c r="M34" s="433"/>
      <c r="N34" s="433"/>
      <c r="O34" s="433"/>
      <c r="P34" s="433"/>
    </row>
    <row r="35" spans="1:16" s="434" customFormat="1" ht="15.6" x14ac:dyDescent="0.3">
      <c r="A35" s="420"/>
      <c r="B35" s="396" t="s">
        <v>57</v>
      </c>
      <c r="C35" s="404" t="s">
        <v>2</v>
      </c>
      <c r="D35" s="404" t="s">
        <v>3</v>
      </c>
      <c r="E35" s="404" t="s">
        <v>49</v>
      </c>
      <c r="F35" s="404" t="s">
        <v>5</v>
      </c>
      <c r="G35" s="397" t="s">
        <v>14</v>
      </c>
      <c r="H35" s="404" t="s">
        <v>166</v>
      </c>
      <c r="I35" s="397" t="s">
        <v>167</v>
      </c>
      <c r="J35" s="404" t="s">
        <v>168</v>
      </c>
      <c r="K35" s="397" t="s">
        <v>169</v>
      </c>
      <c r="L35" s="404" t="s">
        <v>170</v>
      </c>
      <c r="M35" s="433"/>
      <c r="N35" s="433"/>
      <c r="O35" s="433"/>
      <c r="P35" s="433"/>
    </row>
    <row r="36" spans="1:16" s="434" customFormat="1" ht="13.8" x14ac:dyDescent="0.3">
      <c r="A36" s="420"/>
      <c r="B36" s="443" t="s">
        <v>13</v>
      </c>
      <c r="C36" s="12"/>
      <c r="D36" s="12"/>
      <c r="E36" s="12"/>
      <c r="F36" s="12"/>
      <c r="G36" s="12"/>
      <c r="H36" s="12"/>
      <c r="I36" s="12"/>
      <c r="J36" s="12"/>
      <c r="K36" s="12"/>
      <c r="L36" s="12"/>
      <c r="M36" s="433"/>
      <c r="N36" s="433"/>
      <c r="O36" s="433"/>
      <c r="P36" s="433"/>
    </row>
    <row r="37" spans="1:16" s="434" customFormat="1" ht="14.4" thickBot="1" x14ac:dyDescent="0.35">
      <c r="A37" s="420"/>
      <c r="B37" s="443" t="s">
        <v>48</v>
      </c>
      <c r="C37" s="444">
        <f t="shared" ref="C37:L37" si="3">+$C$33*(1-C36)</f>
        <v>0</v>
      </c>
      <c r="D37" s="444">
        <f t="shared" si="3"/>
        <v>0</v>
      </c>
      <c r="E37" s="444">
        <f t="shared" si="3"/>
        <v>0</v>
      </c>
      <c r="F37" s="444">
        <f t="shared" si="3"/>
        <v>0</v>
      </c>
      <c r="G37" s="444">
        <f t="shared" si="3"/>
        <v>0</v>
      </c>
      <c r="H37" s="444">
        <f t="shared" si="3"/>
        <v>0</v>
      </c>
      <c r="I37" s="444">
        <f t="shared" si="3"/>
        <v>0</v>
      </c>
      <c r="J37" s="444">
        <f t="shared" si="3"/>
        <v>0</v>
      </c>
      <c r="K37" s="444">
        <f t="shared" si="3"/>
        <v>0</v>
      </c>
      <c r="L37" s="444">
        <f t="shared" si="3"/>
        <v>0</v>
      </c>
      <c r="M37" s="433"/>
      <c r="N37" s="433"/>
      <c r="O37" s="433"/>
      <c r="P37" s="433"/>
    </row>
    <row r="38" spans="1:16" s="434" customFormat="1" ht="16.2" thickTop="1" x14ac:dyDescent="0.3">
      <c r="A38" s="420"/>
      <c r="B38" s="445"/>
      <c r="C38" s="435"/>
      <c r="D38" s="446"/>
      <c r="E38" s="446"/>
      <c r="F38" s="446"/>
      <c r="G38" s="445"/>
      <c r="H38" s="419"/>
      <c r="I38" s="447"/>
      <c r="J38" s="433"/>
      <c r="K38" s="433"/>
      <c r="L38" s="433"/>
      <c r="M38" s="433"/>
      <c r="N38" s="433"/>
      <c r="O38" s="433"/>
      <c r="P38" s="433"/>
    </row>
    <row r="39" spans="1:16" s="434" customFormat="1" ht="15.6" x14ac:dyDescent="0.3">
      <c r="A39" s="420"/>
      <c r="B39" s="396" t="s">
        <v>214</v>
      </c>
      <c r="C39" s="366" t="s">
        <v>36</v>
      </c>
      <c r="D39" s="445"/>
      <c r="E39" s="445"/>
      <c r="F39" s="445"/>
      <c r="G39" s="445"/>
      <c r="H39" s="419"/>
      <c r="I39" s="447"/>
      <c r="J39" s="433"/>
      <c r="K39" s="433"/>
      <c r="L39" s="433"/>
      <c r="M39" s="433"/>
      <c r="N39" s="433"/>
      <c r="O39" s="433"/>
      <c r="P39" s="433"/>
    </row>
    <row r="40" spans="1:16" s="434" customFormat="1" ht="16.2" thickBot="1" x14ac:dyDescent="0.35">
      <c r="A40" s="420"/>
      <c r="B40" s="448" t="s">
        <v>35</v>
      </c>
      <c r="C40" s="176">
        <f>SUM(C37:L37)</f>
        <v>0</v>
      </c>
      <c r="D40" s="445"/>
      <c r="E40" s="445"/>
      <c r="F40" s="445"/>
      <c r="G40" s="445"/>
      <c r="H40" s="419"/>
      <c r="I40" s="447"/>
      <c r="J40" s="433"/>
      <c r="K40" s="433"/>
      <c r="L40" s="433"/>
      <c r="M40" s="433"/>
      <c r="N40" s="433"/>
      <c r="O40" s="433"/>
      <c r="P40" s="433"/>
    </row>
    <row r="41" spans="1:16" s="420" customFormat="1" ht="16.5" customHeight="1" thickTop="1" thickBot="1" x14ac:dyDescent="0.35">
      <c r="B41" s="449"/>
      <c r="C41" s="449"/>
      <c r="D41" s="449"/>
      <c r="E41" s="450"/>
      <c r="F41" s="450"/>
      <c r="G41" s="450"/>
      <c r="H41" s="450"/>
      <c r="I41" s="450"/>
      <c r="J41" s="450"/>
      <c r="K41" s="450"/>
      <c r="L41" s="450"/>
      <c r="M41" s="328"/>
      <c r="N41" s="328"/>
      <c r="O41" s="328"/>
      <c r="P41" s="328"/>
    </row>
    <row r="42" spans="1:16" s="420" customFormat="1" ht="16.5" customHeight="1" x14ac:dyDescent="0.3">
      <c r="B42" s="451"/>
      <c r="C42" s="451"/>
      <c r="D42" s="451"/>
      <c r="E42" s="452"/>
      <c r="F42" s="452"/>
      <c r="G42" s="452"/>
      <c r="H42" s="419"/>
      <c r="I42" s="342"/>
      <c r="J42" s="328"/>
      <c r="K42" s="328"/>
      <c r="L42" s="328"/>
      <c r="M42" s="328"/>
      <c r="N42" s="328"/>
      <c r="O42" s="328"/>
      <c r="P42" s="328"/>
    </row>
  </sheetData>
  <sheetProtection algorithmName="SHA-512" hashValue="Ph4JlZ9Z+z3WiKL4mIgyd2YUIb6So0j9NlfZ9LuL7src0GQY2FoB/MHpcYxRlStGaDihlTuJtZDarcpl2eU3lQ==" saltValue="Tyeo622+o14kkjSpcL/cwA==" spinCount="100000" sheet="1" objects="1" scenarios="1"/>
  <mergeCells count="25">
    <mergeCell ref="E30:L30"/>
    <mergeCell ref="E20:G20"/>
    <mergeCell ref="E21:G21"/>
    <mergeCell ref="E25:G25"/>
    <mergeCell ref="E26:G26"/>
    <mergeCell ref="E27:G27"/>
    <mergeCell ref="E22:G22"/>
    <mergeCell ref="E23:G23"/>
    <mergeCell ref="E24:G24"/>
    <mergeCell ref="L8:L9"/>
    <mergeCell ref="B13:B15"/>
    <mergeCell ref="C13:D13"/>
    <mergeCell ref="C14:D14"/>
    <mergeCell ref="C15:D15"/>
    <mergeCell ref="K8:K9"/>
    <mergeCell ref="B10:B12"/>
    <mergeCell ref="C10:D10"/>
    <mergeCell ref="C11:D11"/>
    <mergeCell ref="C12:D12"/>
    <mergeCell ref="E8:E9"/>
    <mergeCell ref="F8:F9"/>
    <mergeCell ref="G8:G9"/>
    <mergeCell ref="H8:H9"/>
    <mergeCell ref="I8:I9"/>
    <mergeCell ref="J8:J9"/>
  </mergeCells>
  <phoneticPr fontId="37"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80F98-A34D-4AFB-8167-758593E7DCC5}">
  <sheetPr>
    <pageSetUpPr fitToPage="1"/>
  </sheetPr>
  <dimension ref="A1:Q41"/>
  <sheetViews>
    <sheetView showGridLines="0" showZeros="0" zoomScaleNormal="100" workbookViewId="0">
      <selection activeCell="C23" sqref="C23"/>
    </sheetView>
  </sheetViews>
  <sheetFormatPr defaultColWidth="0" defaultRowHeight="0" customHeight="1" zeroHeight="1" x14ac:dyDescent="0.3"/>
  <cols>
    <col min="1" max="1" width="3.6640625" style="185" customWidth="1"/>
    <col min="2" max="2" width="41.21875" style="185" customWidth="1"/>
    <col min="3" max="3" width="16.33203125" style="185" customWidth="1"/>
    <col min="4" max="4" width="10.5546875" style="212" customWidth="1"/>
    <col min="5" max="5" width="12.44140625" style="212" customWidth="1"/>
    <col min="6" max="6" width="9.109375" style="212" customWidth="1"/>
    <col min="7" max="7" width="18.6640625" style="185" customWidth="1"/>
    <col min="8" max="8" width="3.6640625" style="185" customWidth="1"/>
    <col min="9" max="10" width="2.6640625" style="185" hidden="1" customWidth="1"/>
    <col min="11" max="17" width="10.6640625" style="185" hidden="1" customWidth="1"/>
    <col min="18" max="16384" width="0" style="185" hidden="1"/>
  </cols>
  <sheetData>
    <row r="1" spans="1:11" s="178" customFormat="1" ht="15" customHeight="1" x14ac:dyDescent="0.25">
      <c r="A1" s="177"/>
      <c r="B1" s="177"/>
      <c r="C1" s="177"/>
      <c r="D1" s="177"/>
      <c r="E1" s="177"/>
      <c r="F1" s="177"/>
      <c r="G1" s="177"/>
    </row>
    <row r="2" spans="1:11" s="179" customFormat="1" ht="22.8" x14ac:dyDescent="0.4">
      <c r="B2" s="168" t="str">
        <f>Samenvatting!B2</f>
        <v>Europese aanbesteding Data Storage Platform</v>
      </c>
      <c r="C2" s="180"/>
      <c r="D2" s="181"/>
      <c r="E2" s="182"/>
      <c r="F2" s="182"/>
      <c r="G2" s="181"/>
      <c r="H2" s="183"/>
    </row>
    <row r="3" spans="1:11" s="179" customFormat="1" ht="21" x14ac:dyDescent="0.4">
      <c r="B3" s="184" t="s">
        <v>222</v>
      </c>
      <c r="C3" s="180"/>
      <c r="D3" s="181"/>
      <c r="E3" s="182"/>
      <c r="F3" s="182"/>
      <c r="G3" s="181"/>
      <c r="H3" s="183"/>
    </row>
    <row r="4" spans="1:11" s="179" customFormat="1" ht="15" customHeight="1" x14ac:dyDescent="0.3">
      <c r="B4" s="170" t="str">
        <f>Samenvatting!B4</f>
        <v xml:space="preserve"> Kenmerk: IUC23-047</v>
      </c>
      <c r="C4" s="180"/>
      <c r="D4" s="181"/>
      <c r="E4" s="182"/>
      <c r="F4" s="182"/>
      <c r="G4" s="181"/>
      <c r="H4" s="183"/>
    </row>
    <row r="5" spans="1:11" ht="15" customHeight="1" x14ac:dyDescent="0.3">
      <c r="B5" s="171" t="s">
        <v>73</v>
      </c>
      <c r="C5" s="180"/>
      <c r="D5" s="186"/>
      <c r="E5" s="180"/>
      <c r="F5" s="180"/>
      <c r="G5" s="186"/>
      <c r="H5" s="187"/>
    </row>
    <row r="6" spans="1:11" ht="15" customHeight="1" x14ac:dyDescent="0.3">
      <c r="B6" s="188"/>
      <c r="C6" s="186"/>
      <c r="D6" s="186"/>
      <c r="E6" s="186"/>
      <c r="F6" s="186"/>
      <c r="G6" s="186"/>
      <c r="H6" s="187"/>
      <c r="K6" s="185" t="s">
        <v>10</v>
      </c>
    </row>
    <row r="7" spans="1:11" ht="15" customHeight="1" thickBot="1" x14ac:dyDescent="0.35">
      <c r="B7" s="189"/>
      <c r="C7" s="189"/>
      <c r="D7" s="190"/>
      <c r="E7" s="190"/>
      <c r="F7" s="191"/>
      <c r="G7" s="192"/>
    </row>
    <row r="8" spans="1:11" ht="15" customHeight="1" x14ac:dyDescent="0.3">
      <c r="B8" s="193"/>
      <c r="C8" s="194"/>
      <c r="D8" s="194"/>
      <c r="E8" s="194"/>
      <c r="F8" s="194"/>
      <c r="G8" s="195"/>
    </row>
    <row r="9" spans="1:11" ht="17.399999999999999" x14ac:dyDescent="0.3">
      <c r="B9" s="196" t="s">
        <v>267</v>
      </c>
      <c r="C9" s="197"/>
      <c r="D9" s="197"/>
      <c r="E9" s="197"/>
      <c r="F9" s="197"/>
      <c r="G9" s="198"/>
    </row>
    <row r="10" spans="1:11" ht="41.4" x14ac:dyDescent="0.3">
      <c r="B10" s="199" t="s">
        <v>11</v>
      </c>
      <c r="C10" s="200" t="s">
        <v>82</v>
      </c>
      <c r="D10" s="186" t="s">
        <v>0</v>
      </c>
      <c r="E10" s="200" t="s">
        <v>146</v>
      </c>
      <c r="F10" s="186"/>
      <c r="G10" s="453" t="s">
        <v>145</v>
      </c>
    </row>
    <row r="11" spans="1:11" ht="15" customHeight="1" thickBot="1" x14ac:dyDescent="0.35">
      <c r="B11" s="202" t="s">
        <v>151</v>
      </c>
      <c r="C11" s="1">
        <v>0</v>
      </c>
      <c r="D11" s="186" t="s">
        <v>0</v>
      </c>
      <c r="E11" s="203">
        <v>1600</v>
      </c>
      <c r="F11" s="186"/>
      <c r="G11" s="204">
        <f>+C11*E11*2</f>
        <v>0</v>
      </c>
    </row>
    <row r="12" spans="1:11" ht="15" customHeight="1" thickTop="1" thickBot="1" x14ac:dyDescent="0.35">
      <c r="B12" s="202" t="s">
        <v>151</v>
      </c>
      <c r="C12" s="205">
        <f>C11</f>
        <v>0</v>
      </c>
      <c r="D12" s="206" t="s">
        <v>0</v>
      </c>
      <c r="E12" s="203">
        <v>1600</v>
      </c>
      <c r="F12" s="206"/>
      <c r="G12" s="204">
        <f>+C12*E12*2</f>
        <v>0</v>
      </c>
    </row>
    <row r="13" spans="1:11" ht="15" customHeight="1" thickTop="1" thickBot="1" x14ac:dyDescent="0.35">
      <c r="B13" s="207"/>
      <c r="C13" s="207"/>
      <c r="D13" s="207"/>
      <c r="E13" s="207"/>
      <c r="F13" s="207"/>
      <c r="G13" s="207"/>
    </row>
    <row r="14" spans="1:11" ht="15" customHeight="1" x14ac:dyDescent="0.3">
      <c r="B14" s="208"/>
      <c r="C14" s="208"/>
      <c r="D14" s="208"/>
      <c r="E14" s="208"/>
      <c r="F14" s="208"/>
      <c r="G14" s="208"/>
    </row>
    <row r="15" spans="1:11" ht="15" customHeight="1" x14ac:dyDescent="0.3">
      <c r="B15" s="196" t="s">
        <v>206</v>
      </c>
      <c r="C15" s="197"/>
      <c r="D15" s="197"/>
      <c r="E15" s="197"/>
      <c r="F15" s="197"/>
      <c r="G15" s="198"/>
    </row>
    <row r="16" spans="1:11" ht="15" customHeight="1" x14ac:dyDescent="0.3">
      <c r="B16" s="199" t="s">
        <v>11</v>
      </c>
      <c r="C16" s="507" t="s">
        <v>82</v>
      </c>
      <c r="D16" s="186" t="s">
        <v>0</v>
      </c>
      <c r="E16" s="507" t="s">
        <v>142</v>
      </c>
      <c r="F16" s="186"/>
      <c r="G16" s="453" t="s">
        <v>9</v>
      </c>
    </row>
    <row r="17" spans="2:7" ht="15" customHeight="1" x14ac:dyDescent="0.3">
      <c r="B17" s="199"/>
      <c r="C17" s="471"/>
      <c r="D17" s="186"/>
      <c r="E17" s="471"/>
      <c r="F17" s="186"/>
      <c r="G17" s="453"/>
    </row>
    <row r="18" spans="2:7" ht="15" customHeight="1" thickBot="1" x14ac:dyDescent="0.35">
      <c r="B18" s="202" t="s">
        <v>207</v>
      </c>
      <c r="C18" s="1">
        <v>0</v>
      </c>
      <c r="D18" s="186"/>
      <c r="E18" s="203">
        <v>16000</v>
      </c>
      <c r="F18" s="186"/>
      <c r="G18" s="204">
        <f>+C18*E18</f>
        <v>0</v>
      </c>
    </row>
    <row r="19" spans="2:7" ht="15" customHeight="1" thickTop="1" thickBot="1" x14ac:dyDescent="0.35">
      <c r="B19" s="202" t="s">
        <v>208</v>
      </c>
      <c r="C19" s="1">
        <v>0</v>
      </c>
      <c r="D19" s="209"/>
      <c r="E19" s="203">
        <v>4000</v>
      </c>
      <c r="F19" s="210"/>
      <c r="G19" s="204">
        <f>+C19*E19</f>
        <v>0</v>
      </c>
    </row>
    <row r="20" spans="2:7" ht="15" customHeight="1" thickTop="1" x14ac:dyDescent="0.3">
      <c r="B20" s="454"/>
      <c r="C20" s="454"/>
      <c r="D20" s="454"/>
      <c r="E20" s="454"/>
      <c r="F20" s="454"/>
      <c r="G20" s="454"/>
    </row>
    <row r="21" spans="2:7" ht="15" customHeight="1" x14ac:dyDescent="0.3">
      <c r="B21" s="199" t="s">
        <v>11</v>
      </c>
      <c r="C21" s="200"/>
      <c r="D21" s="186" t="s">
        <v>0</v>
      </c>
      <c r="E21" s="507" t="s">
        <v>289</v>
      </c>
      <c r="F21" s="186"/>
      <c r="G21" s="453" t="s">
        <v>9</v>
      </c>
    </row>
    <row r="22" spans="2:7" ht="24" customHeight="1" x14ac:dyDescent="0.3">
      <c r="B22" s="199"/>
      <c r="C22" s="200" t="s">
        <v>288</v>
      </c>
      <c r="D22" s="186"/>
      <c r="E22" s="471"/>
      <c r="F22" s="186"/>
      <c r="G22" s="453"/>
    </row>
    <row r="23" spans="2:7" ht="15" customHeight="1" thickBot="1" x14ac:dyDescent="0.35">
      <c r="B23" s="202" t="s">
        <v>287</v>
      </c>
      <c r="C23" s="1"/>
      <c r="D23" s="186"/>
      <c r="E23" s="203">
        <v>24</v>
      </c>
      <c r="F23" s="186"/>
      <c r="G23" s="204">
        <f>C23*E23</f>
        <v>0</v>
      </c>
    </row>
    <row r="24" spans="2:7" ht="15" customHeight="1" thickTop="1" thickBot="1" x14ac:dyDescent="0.35">
      <c r="B24" s="207"/>
      <c r="C24" s="207"/>
      <c r="D24" s="207"/>
      <c r="E24" s="207"/>
      <c r="F24" s="207"/>
      <c r="G24" s="207"/>
    </row>
    <row r="25" spans="2:7" ht="15" customHeight="1" x14ac:dyDescent="0.3">
      <c r="B25" s="193"/>
      <c r="C25" s="194"/>
      <c r="D25" s="194"/>
      <c r="E25" s="194"/>
      <c r="F25" s="194"/>
      <c r="G25" s="195"/>
    </row>
    <row r="26" spans="2:7" ht="15" customHeight="1" thickBot="1" x14ac:dyDescent="0.35">
      <c r="B26" s="465" t="s">
        <v>35</v>
      </c>
      <c r="C26" s="466"/>
      <c r="D26" s="466"/>
      <c r="E26" s="466"/>
      <c r="F26" s="467"/>
      <c r="G26" s="176">
        <f>G11+G12+G18+G19+G23</f>
        <v>0</v>
      </c>
    </row>
    <row r="27" spans="2:7" ht="15" customHeight="1" thickTop="1" thickBot="1" x14ac:dyDescent="0.35">
      <c r="B27" s="147"/>
      <c r="C27" s="147"/>
      <c r="D27" s="211"/>
      <c r="E27" s="211"/>
      <c r="F27" s="211"/>
      <c r="G27" s="211"/>
    </row>
    <row r="28" spans="2:7" ht="15" customHeight="1" x14ac:dyDescent="0.3"/>
    <row r="29" spans="2:7" ht="15" customHeight="1" x14ac:dyDescent="0.3"/>
    <row r="30" spans="2:7" ht="15" customHeight="1" x14ac:dyDescent="0.3"/>
    <row r="31" spans="2:7" ht="15" customHeight="1" x14ac:dyDescent="0.3"/>
    <row r="32" spans="2:7" ht="15" customHeight="1" x14ac:dyDescent="0.3"/>
    <row r="39" spans="4:9" ht="0" hidden="1" customHeight="1" x14ac:dyDescent="0.3">
      <c r="D39" s="213" t="s">
        <v>62</v>
      </c>
    </row>
    <row r="41" spans="4:9" ht="0" hidden="1" customHeight="1" x14ac:dyDescent="0.3">
      <c r="D41" s="214" t="s">
        <v>63</v>
      </c>
      <c r="G41" s="212"/>
      <c r="H41" s="212"/>
      <c r="I41" s="212"/>
    </row>
  </sheetData>
  <sheetProtection algorithmName="SHA-512" hashValue="xCbMDbCp/BGzF2KETREm5vCtZv5WJqLmsMT5yp6e2r01PCHARkgxqj0vHefg3MVxS5DMvoBJh7+TEfeMYqCloA==" saltValue="EHxj7Z8z6hFLNbvYu8mmqg==" spinCount="100000" sheet="1" objects="1" scenarios="1"/>
  <mergeCells count="4">
    <mergeCell ref="B26:F26"/>
    <mergeCell ref="C16:C17"/>
    <mergeCell ref="E16:E17"/>
    <mergeCell ref="E21:E22"/>
  </mergeCells>
  <pageMargins left="0.75" right="0.75" top="0.51" bottom="0.46" header="0.5" footer="0.5"/>
  <pageSetup paperSize="9" scale="97" orientation="landscape" r:id="rId1"/>
  <headerFooter alignWithMargins="0"/>
  <ignoredErrors>
    <ignoredError sqref="C12"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pageSetUpPr fitToPage="1"/>
  </sheetPr>
  <dimension ref="A1:Q43"/>
  <sheetViews>
    <sheetView showGridLines="0" showZeros="0" zoomScale="90" zoomScaleNormal="90" workbookViewId="0">
      <selection activeCell="B4" sqref="B4"/>
    </sheetView>
  </sheetViews>
  <sheetFormatPr defaultColWidth="0" defaultRowHeight="0" customHeight="1" zeroHeight="1" x14ac:dyDescent="0.3"/>
  <cols>
    <col min="1" max="1" width="3.6640625" style="185" customWidth="1"/>
    <col min="2" max="2" width="39" style="185" customWidth="1"/>
    <col min="3" max="3" width="16.33203125" style="185" customWidth="1"/>
    <col min="4" max="4" width="10.5546875" style="212" customWidth="1"/>
    <col min="5" max="5" width="12.44140625" style="212" customWidth="1"/>
    <col min="6" max="6" width="9.109375" style="212" customWidth="1"/>
    <col min="7" max="7" width="18.6640625" style="185" customWidth="1"/>
    <col min="8" max="8" width="3.6640625" style="185" customWidth="1"/>
    <col min="9" max="10" width="2.6640625" style="185" hidden="1" customWidth="1"/>
    <col min="11" max="17" width="10.6640625" style="185" hidden="1" customWidth="1"/>
    <col min="18" max="16384" width="0" style="185" hidden="1"/>
  </cols>
  <sheetData>
    <row r="1" spans="1:11" s="178" customFormat="1" ht="15" customHeight="1" x14ac:dyDescent="0.25">
      <c r="A1" s="177"/>
      <c r="B1" s="177"/>
      <c r="C1" s="177"/>
      <c r="D1" s="177"/>
      <c r="E1" s="177"/>
      <c r="F1" s="177"/>
      <c r="G1" s="177"/>
    </row>
    <row r="2" spans="1:11" s="179" customFormat="1" ht="22.8" x14ac:dyDescent="0.4">
      <c r="B2" s="168" t="str">
        <f>Samenvatting!B2</f>
        <v>Europese aanbesteding Data Storage Platform</v>
      </c>
      <c r="C2" s="180"/>
      <c r="D2" s="181"/>
      <c r="E2" s="182"/>
      <c r="F2" s="182"/>
      <c r="G2" s="181"/>
      <c r="H2" s="183"/>
    </row>
    <row r="3" spans="1:11" s="179" customFormat="1" ht="21" x14ac:dyDescent="0.4">
      <c r="B3" s="184" t="s">
        <v>223</v>
      </c>
      <c r="C3" s="180"/>
      <c r="D3" s="181"/>
      <c r="E3" s="182"/>
      <c r="F3" s="182"/>
      <c r="G3" s="181"/>
      <c r="H3" s="183"/>
    </row>
    <row r="4" spans="1:11" s="179" customFormat="1" ht="15" customHeight="1" x14ac:dyDescent="0.3">
      <c r="B4" s="170" t="str">
        <f>Samenvatting!B4</f>
        <v xml:space="preserve"> Kenmerk: IUC23-047</v>
      </c>
      <c r="C4" s="180"/>
      <c r="D4" s="181"/>
      <c r="E4" s="182"/>
      <c r="F4" s="182"/>
      <c r="G4" s="181"/>
      <c r="H4" s="183"/>
    </row>
    <row r="5" spans="1:11" ht="15" customHeight="1" x14ac:dyDescent="0.3">
      <c r="B5" s="171" t="s">
        <v>73</v>
      </c>
      <c r="C5" s="180"/>
      <c r="D5" s="186"/>
      <c r="E5" s="180"/>
      <c r="F5" s="180"/>
      <c r="G5" s="186"/>
      <c r="H5" s="187"/>
    </row>
    <row r="6" spans="1:11" ht="15" customHeight="1" x14ac:dyDescent="0.3">
      <c r="B6" s="188"/>
      <c r="C6" s="186"/>
      <c r="D6" s="186"/>
      <c r="E6" s="186"/>
      <c r="F6" s="186"/>
      <c r="G6" s="186"/>
      <c r="H6" s="187"/>
      <c r="K6" s="185" t="s">
        <v>10</v>
      </c>
    </row>
    <row r="7" spans="1:11" ht="15" customHeight="1" thickBot="1" x14ac:dyDescent="0.35">
      <c r="B7" s="189"/>
      <c r="C7" s="189"/>
      <c r="D7" s="190"/>
      <c r="E7" s="190"/>
      <c r="F7" s="191"/>
      <c r="G7" s="192"/>
    </row>
    <row r="8" spans="1:11" ht="15" customHeight="1" x14ac:dyDescent="0.3">
      <c r="B8" s="193"/>
      <c r="C8" s="194"/>
      <c r="D8" s="194"/>
      <c r="E8" s="194"/>
      <c r="F8" s="194"/>
      <c r="G8" s="195"/>
    </row>
    <row r="9" spans="1:11" ht="17.399999999999999" x14ac:dyDescent="0.3">
      <c r="B9" s="196" t="s">
        <v>84</v>
      </c>
      <c r="C9" s="197"/>
      <c r="D9" s="197"/>
      <c r="E9" s="197"/>
      <c r="F9" s="197"/>
      <c r="G9" s="198"/>
    </row>
    <row r="10" spans="1:11" ht="27.6" x14ac:dyDescent="0.3">
      <c r="B10" s="199" t="s">
        <v>11</v>
      </c>
      <c r="C10" s="200" t="s">
        <v>82</v>
      </c>
      <c r="D10" s="186" t="s">
        <v>0</v>
      </c>
      <c r="E10" s="200" t="s">
        <v>142</v>
      </c>
      <c r="F10" s="186"/>
      <c r="G10" s="201" t="s">
        <v>143</v>
      </c>
    </row>
    <row r="11" spans="1:11" ht="15" customHeight="1" thickBot="1" x14ac:dyDescent="0.35">
      <c r="B11" s="202" t="s">
        <v>12</v>
      </c>
      <c r="C11" s="1">
        <v>0</v>
      </c>
      <c r="D11" s="206" t="s">
        <v>0</v>
      </c>
      <c r="E11" s="203">
        <v>1560</v>
      </c>
      <c r="F11" s="206"/>
      <c r="G11" s="204">
        <f>+C11*E11</f>
        <v>0</v>
      </c>
    </row>
    <row r="12" spans="1:11" ht="15" customHeight="1" thickTop="1" thickBot="1" x14ac:dyDescent="0.35">
      <c r="B12" s="189"/>
      <c r="C12" s="189"/>
      <c r="D12" s="190"/>
      <c r="E12" s="190"/>
      <c r="F12" s="191"/>
      <c r="G12" s="192"/>
    </row>
    <row r="13" spans="1:11" ht="15" customHeight="1" x14ac:dyDescent="0.3">
      <c r="B13" s="193"/>
      <c r="C13" s="194"/>
      <c r="D13" s="194"/>
      <c r="E13" s="194"/>
      <c r="F13" s="194"/>
      <c r="G13" s="195"/>
    </row>
    <row r="14" spans="1:11" ht="17.399999999999999" x14ac:dyDescent="0.3">
      <c r="B14" s="196" t="s">
        <v>85</v>
      </c>
      <c r="C14" s="197" t="s">
        <v>0</v>
      </c>
      <c r="D14" s="197"/>
      <c r="E14" s="197" t="s">
        <v>0</v>
      </c>
      <c r="F14" s="197" t="s">
        <v>0</v>
      </c>
      <c r="G14" s="198" t="s">
        <v>0</v>
      </c>
    </row>
    <row r="15" spans="1:11" ht="27.6" x14ac:dyDescent="0.3">
      <c r="B15" s="215" t="s">
        <v>217</v>
      </c>
      <c r="C15" s="216"/>
      <c r="D15" s="216"/>
      <c r="E15" s="216"/>
      <c r="F15" s="216"/>
      <c r="G15" s="217"/>
    </row>
    <row r="16" spans="1:11" ht="55.2" x14ac:dyDescent="0.3">
      <c r="B16" s="215" t="s">
        <v>68</v>
      </c>
      <c r="C16" s="200" t="s">
        <v>282</v>
      </c>
      <c r="D16" s="216"/>
      <c r="E16" s="200" t="s">
        <v>218</v>
      </c>
      <c r="F16" s="216"/>
      <c r="G16" s="218" t="s">
        <v>144</v>
      </c>
    </row>
    <row r="17" spans="2:7" ht="15" customHeight="1" thickBot="1" x14ac:dyDescent="0.35">
      <c r="B17" s="219" t="s">
        <v>216</v>
      </c>
      <c r="C17" s="2">
        <v>0</v>
      </c>
      <c r="D17" s="216"/>
      <c r="E17" s="220">
        <v>75</v>
      </c>
      <c r="F17" s="216"/>
      <c r="G17" s="204">
        <f>E17*C17*9</f>
        <v>0</v>
      </c>
    </row>
    <row r="18" spans="2:7" ht="15" customHeight="1" thickTop="1" thickBot="1" x14ac:dyDescent="0.35">
      <c r="B18" s="219" t="s">
        <v>285</v>
      </c>
      <c r="C18" s="2">
        <v>0</v>
      </c>
      <c r="D18" s="216"/>
      <c r="E18" s="220">
        <v>2</v>
      </c>
      <c r="F18" s="216"/>
      <c r="G18" s="204">
        <f>9*E18*C18</f>
        <v>0</v>
      </c>
    </row>
    <row r="19" spans="2:7" ht="15" customHeight="1" thickTop="1" thickBot="1" x14ac:dyDescent="0.35">
      <c r="B19" s="219" t="s">
        <v>238</v>
      </c>
      <c r="C19" s="2">
        <v>0</v>
      </c>
      <c r="D19" s="216"/>
      <c r="E19" s="220">
        <v>2</v>
      </c>
      <c r="F19" s="216"/>
      <c r="G19" s="204">
        <f>C19*E19*9</f>
        <v>0</v>
      </c>
    </row>
    <row r="20" spans="2:7" ht="15" customHeight="1" thickTop="1" thickBot="1" x14ac:dyDescent="0.35">
      <c r="B20" s="189"/>
      <c r="C20" s="189"/>
      <c r="D20" s="190"/>
      <c r="E20" s="190"/>
      <c r="F20" s="191">
        <f>20/E17</f>
        <v>0.26666666666666666</v>
      </c>
      <c r="G20" s="192"/>
    </row>
    <row r="21" spans="2:7" ht="15" customHeight="1" x14ac:dyDescent="0.3">
      <c r="B21" s="193"/>
      <c r="C21" s="193"/>
      <c r="D21" s="221"/>
      <c r="E21" s="221"/>
      <c r="F21" s="222"/>
      <c r="G21" s="223"/>
    </row>
    <row r="22" spans="2:7" ht="27.6" customHeight="1" x14ac:dyDescent="0.3">
      <c r="B22" s="196" t="s">
        <v>263</v>
      </c>
      <c r="C22" s="470" t="s">
        <v>264</v>
      </c>
      <c r="D22" s="197"/>
      <c r="E22" s="470" t="s">
        <v>266</v>
      </c>
      <c r="F22" s="197"/>
      <c r="G22" s="198"/>
    </row>
    <row r="23" spans="2:7" ht="30" customHeight="1" x14ac:dyDescent="0.3">
      <c r="B23" s="199" t="s">
        <v>11</v>
      </c>
      <c r="C23" s="471"/>
      <c r="D23" s="186" t="s">
        <v>0</v>
      </c>
      <c r="E23" s="471"/>
      <c r="F23" s="186"/>
      <c r="G23" s="201" t="s">
        <v>265</v>
      </c>
    </row>
    <row r="24" spans="2:7" ht="15" customHeight="1" thickBot="1" x14ac:dyDescent="0.35">
      <c r="B24" s="202" t="s">
        <v>286</v>
      </c>
      <c r="C24" s="1">
        <v>0</v>
      </c>
      <c r="D24" s="206" t="s">
        <v>0</v>
      </c>
      <c r="E24" s="203">
        <v>50</v>
      </c>
      <c r="F24" s="206"/>
      <c r="G24" s="204">
        <f>+C24*E24*10</f>
        <v>0</v>
      </c>
    </row>
    <row r="25" spans="2:7" ht="15" customHeight="1" thickTop="1" thickBot="1" x14ac:dyDescent="0.35">
      <c r="B25" s="189"/>
      <c r="C25" s="189"/>
      <c r="D25" s="190"/>
      <c r="E25" s="190"/>
      <c r="F25" s="191"/>
      <c r="G25" s="192"/>
    </row>
    <row r="26" spans="2:7" ht="15" customHeight="1" x14ac:dyDescent="0.3">
      <c r="B26" s="193"/>
      <c r="C26" s="193"/>
      <c r="D26" s="221"/>
      <c r="E26" s="221"/>
      <c r="F26" s="222"/>
      <c r="G26" s="223"/>
    </row>
    <row r="27" spans="2:7" ht="15" customHeight="1" thickBot="1" x14ac:dyDescent="0.35">
      <c r="B27" s="465" t="s">
        <v>35</v>
      </c>
      <c r="C27" s="466"/>
      <c r="D27" s="466"/>
      <c r="E27" s="466"/>
      <c r="F27" s="467"/>
      <c r="G27" s="176">
        <f>G11+G17+G18+G19+G24</f>
        <v>0</v>
      </c>
    </row>
    <row r="28" spans="2:7" ht="15" customHeight="1" thickTop="1" thickBot="1" x14ac:dyDescent="0.35">
      <c r="B28" s="224"/>
      <c r="C28" s="224"/>
      <c r="D28" s="225"/>
      <c r="E28" s="225"/>
      <c r="F28" s="225"/>
      <c r="G28" s="224"/>
    </row>
    <row r="29" spans="2:7" ht="15" customHeight="1" x14ac:dyDescent="0.3"/>
    <row r="30" spans="2:7" ht="15" hidden="1" customHeight="1" x14ac:dyDescent="0.3"/>
    <row r="31" spans="2:7" ht="15" hidden="1" customHeight="1" x14ac:dyDescent="0.3"/>
    <row r="32" spans="2:7" ht="15" hidden="1" customHeight="1" x14ac:dyDescent="0.3"/>
    <row r="33" spans="4:9" ht="15" hidden="1" customHeight="1" x14ac:dyDescent="0.3"/>
    <row r="34" spans="4:9" ht="15" hidden="1" customHeight="1" x14ac:dyDescent="0.3"/>
    <row r="41" spans="4:9" ht="0" hidden="1" customHeight="1" x14ac:dyDescent="0.3">
      <c r="D41" s="213" t="s">
        <v>62</v>
      </c>
    </row>
    <row r="43" spans="4:9" ht="0" hidden="1" customHeight="1" x14ac:dyDescent="0.3">
      <c r="D43" s="214" t="s">
        <v>63</v>
      </c>
      <c r="G43" s="212"/>
      <c r="H43" s="212"/>
      <c r="I43" s="212"/>
    </row>
  </sheetData>
  <mergeCells count="3">
    <mergeCell ref="B27:F27"/>
    <mergeCell ref="C22:C23"/>
    <mergeCell ref="E22:E23"/>
  </mergeCells>
  <pageMargins left="0.75" right="0.75" top="0.51" bottom="0.46" header="0.5" footer="0.5"/>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40F38-5EF3-4131-9C88-9584FB160278}">
  <sheetPr>
    <tabColor theme="0" tint="-0.499984740745262"/>
    <pageSetUpPr fitToPage="1"/>
  </sheetPr>
  <dimension ref="A1:P95"/>
  <sheetViews>
    <sheetView showGridLines="0" zoomScale="70" zoomScaleNormal="70" workbookViewId="0">
      <selection activeCell="F10" sqref="F10"/>
    </sheetView>
  </sheetViews>
  <sheetFormatPr defaultColWidth="0" defaultRowHeight="0" customHeight="1" zeroHeight="1" x14ac:dyDescent="0.3"/>
  <cols>
    <col min="1" max="1" width="3.6640625" style="104" customWidth="1"/>
    <col min="2" max="2" width="95.6640625" style="104" customWidth="1"/>
    <col min="3" max="3" width="1.6640625" style="104" customWidth="1"/>
    <col min="4" max="4" width="4" style="104" customWidth="1"/>
    <col min="5" max="5" width="54.5546875" style="104" customWidth="1"/>
    <col min="6" max="6" width="20.6640625" style="104" customWidth="1"/>
    <col min="7" max="7" width="11.33203125" style="104" customWidth="1"/>
    <col min="8" max="8" width="4.33203125" style="104" customWidth="1"/>
    <col min="9" max="9" width="3.6640625" style="104" customWidth="1"/>
    <col min="10" max="16384" width="9.33203125" style="104" hidden="1"/>
  </cols>
  <sheetData>
    <row r="1" spans="1:10" s="71" customFormat="1" ht="21" customHeight="1" x14ac:dyDescent="0.25">
      <c r="A1" s="70"/>
      <c r="B1" s="70"/>
      <c r="C1" s="70"/>
      <c r="D1" s="70"/>
      <c r="E1" s="70"/>
      <c r="F1" s="70"/>
      <c r="G1" s="70"/>
      <c r="H1" s="70"/>
    </row>
    <row r="2" spans="1:10" s="71" customFormat="1" ht="21" customHeight="1" x14ac:dyDescent="0.35">
      <c r="A2" s="70"/>
      <c r="B2" s="72" t="s">
        <v>179</v>
      </c>
      <c r="C2" s="73"/>
      <c r="D2" s="73"/>
      <c r="E2" s="73"/>
      <c r="F2" s="73"/>
      <c r="G2" s="74"/>
      <c r="H2" s="74"/>
    </row>
    <row r="3" spans="1:10" s="71" customFormat="1" ht="21" customHeight="1" x14ac:dyDescent="0.3">
      <c r="A3" s="70"/>
      <c r="B3" s="75" t="s">
        <v>149</v>
      </c>
      <c r="C3" s="73"/>
      <c r="D3" s="73"/>
      <c r="E3" s="73"/>
      <c r="F3" s="73"/>
      <c r="G3" s="74"/>
      <c r="H3" s="74"/>
    </row>
    <row r="4" spans="1:10" s="71" customFormat="1" ht="24.6" x14ac:dyDescent="0.4">
      <c r="A4" s="70"/>
      <c r="B4" s="76" t="s">
        <v>180</v>
      </c>
      <c r="C4" s="73"/>
      <c r="D4" s="73"/>
      <c r="E4" s="73"/>
      <c r="F4" s="73"/>
      <c r="G4" s="74"/>
      <c r="H4" s="74"/>
    </row>
    <row r="5" spans="1:10" s="71" customFormat="1" ht="21" customHeight="1" x14ac:dyDescent="0.25">
      <c r="A5" s="70"/>
      <c r="B5" s="77" t="s">
        <v>181</v>
      </c>
      <c r="C5" s="73"/>
      <c r="D5" s="73"/>
      <c r="E5" s="73"/>
      <c r="F5" s="73"/>
      <c r="G5" s="74"/>
      <c r="H5" s="74"/>
    </row>
    <row r="6" spans="1:10" s="71" customFormat="1" ht="21" customHeight="1" x14ac:dyDescent="0.25">
      <c r="A6" s="70"/>
      <c r="B6" s="78" t="s">
        <v>182</v>
      </c>
      <c r="C6" s="73"/>
      <c r="D6" s="73"/>
      <c r="E6" s="73"/>
      <c r="F6" s="73"/>
      <c r="G6" s="74"/>
      <c r="H6" s="74"/>
    </row>
    <row r="7" spans="1:10" s="70" customFormat="1" ht="15" customHeight="1" thickBot="1" x14ac:dyDescent="0.3">
      <c r="B7" s="79"/>
      <c r="C7" s="80"/>
      <c r="D7" s="80"/>
      <c r="E7" s="80"/>
      <c r="F7" s="81"/>
      <c r="G7" s="82"/>
      <c r="H7" s="82"/>
      <c r="J7" s="83"/>
    </row>
    <row r="8" spans="1:10" s="71" customFormat="1" ht="15" customHeight="1" x14ac:dyDescent="0.25">
      <c r="A8" s="70"/>
    </row>
    <row r="9" spans="1:10" s="71" customFormat="1" ht="28.2" customHeight="1" x14ac:dyDescent="0.25">
      <c r="A9" s="84"/>
      <c r="B9" s="84"/>
      <c r="D9" s="509" t="s">
        <v>29</v>
      </c>
      <c r="E9" s="509"/>
      <c r="F9" s="85">
        <f>Samenvatting!O76</f>
        <v>0</v>
      </c>
    </row>
    <row r="10" spans="1:10" s="71" customFormat="1" ht="12.75" customHeight="1" x14ac:dyDescent="0.25">
      <c r="B10" s="84"/>
      <c r="C10" s="84"/>
    </row>
    <row r="11" spans="1:10" s="71" customFormat="1" ht="28.2" customHeight="1" x14ac:dyDescent="0.25">
      <c r="B11" s="84"/>
      <c r="C11" s="84"/>
      <c r="D11" s="510" t="s">
        <v>183</v>
      </c>
      <c r="E11" s="511"/>
      <c r="F11" s="166" t="s">
        <v>96</v>
      </c>
      <c r="G11" s="512" t="s">
        <v>90</v>
      </c>
      <c r="H11" s="513"/>
    </row>
    <row r="12" spans="1:10" s="71" customFormat="1" ht="28.2" customHeight="1" x14ac:dyDescent="0.25">
      <c r="B12" s="84"/>
      <c r="C12" s="84"/>
      <c r="D12" s="514" t="s">
        <v>95</v>
      </c>
      <c r="E12" s="515"/>
      <c r="F12" s="86">
        <f>+DATA!G41</f>
        <v>225</v>
      </c>
      <c r="G12" s="87">
        <f>+F12/DATA!$G$40*100</f>
        <v>60</v>
      </c>
      <c r="H12" s="88" t="s">
        <v>86</v>
      </c>
    </row>
    <row r="13" spans="1:10" s="71" customFormat="1" ht="28.2" customHeight="1" x14ac:dyDescent="0.25">
      <c r="B13" s="84"/>
      <c r="C13" s="84"/>
      <c r="D13" s="514" t="s">
        <v>184</v>
      </c>
      <c r="E13" s="515"/>
      <c r="F13" s="89"/>
      <c r="G13" s="87">
        <f>+F13/DATA!$G$40*100</f>
        <v>0</v>
      </c>
      <c r="H13" s="88" t="s">
        <v>86</v>
      </c>
    </row>
    <row r="14" spans="1:10" s="71" customFormat="1" ht="28.2" customHeight="1" x14ac:dyDescent="0.25">
      <c r="C14" s="84"/>
      <c r="D14" s="90"/>
      <c r="E14" s="167" t="s">
        <v>87</v>
      </c>
      <c r="F14" s="91">
        <f>SUM(F12:F13)</f>
        <v>225</v>
      </c>
      <c r="G14" s="87">
        <f>SUM(G12:G13)</f>
        <v>60</v>
      </c>
      <c r="H14" s="88" t="s">
        <v>86</v>
      </c>
    </row>
    <row r="15" spans="1:10" s="71" customFormat="1" ht="28.2" customHeight="1" x14ac:dyDescent="0.25">
      <c r="C15" s="84"/>
      <c r="D15" s="516" t="s">
        <v>94</v>
      </c>
      <c r="E15" s="517"/>
      <c r="F15" s="92">
        <f>+DATA!E7</f>
        <v>0.98218472314567384</v>
      </c>
    </row>
    <row r="16" spans="1:10" s="71" customFormat="1" ht="28.2" customHeight="1" x14ac:dyDescent="0.25">
      <c r="B16" s="84"/>
      <c r="C16" s="84"/>
      <c r="D16" s="93" t="s">
        <v>93</v>
      </c>
      <c r="E16" s="94" t="str">
        <f>"Eigen inschatting door Inschrijver. Waarde tussen 0 en "&amp;F20&amp;" punten."</f>
        <v>Eigen inschatting door Inschrijver. Waarde tussen 0 en 150 punten.</v>
      </c>
      <c r="F16" s="95"/>
      <c r="G16" s="96"/>
      <c r="H16" s="97"/>
    </row>
    <row r="17" spans="1:12" s="71" customFormat="1" ht="28.2" customHeight="1" x14ac:dyDescent="0.25">
      <c r="C17" s="84"/>
      <c r="D17" s="98"/>
      <c r="E17" s="97"/>
      <c r="F17" s="97"/>
      <c r="G17" s="97"/>
    </row>
    <row r="18" spans="1:12" s="71" customFormat="1" ht="28.2" customHeight="1" x14ac:dyDescent="0.25">
      <c r="C18" s="84"/>
      <c r="D18" s="510" t="s">
        <v>92</v>
      </c>
      <c r="E18" s="511"/>
      <c r="F18" s="99" t="s">
        <v>91</v>
      </c>
      <c r="G18" s="512" t="s">
        <v>90</v>
      </c>
      <c r="H18" s="513"/>
    </row>
    <row r="19" spans="1:12" s="71" customFormat="1" ht="28.2" customHeight="1" x14ac:dyDescent="0.25">
      <c r="C19" s="84"/>
      <c r="D19" s="509" t="s">
        <v>89</v>
      </c>
      <c r="E19" s="509"/>
      <c r="F19" s="91">
        <f>DATA!G41</f>
        <v>225</v>
      </c>
      <c r="G19" s="87">
        <f>+F19/DATA!$G$40*100</f>
        <v>60</v>
      </c>
      <c r="H19" s="88" t="s">
        <v>86</v>
      </c>
    </row>
    <row r="20" spans="1:12" s="71" customFormat="1" ht="28.2" customHeight="1" x14ac:dyDescent="0.25">
      <c r="C20" s="84"/>
      <c r="D20" s="509" t="s">
        <v>88</v>
      </c>
      <c r="E20" s="509"/>
      <c r="F20" s="91">
        <f>DATA!G42</f>
        <v>150</v>
      </c>
      <c r="G20" s="87">
        <f>+F20/DATA!$G$40*100</f>
        <v>40</v>
      </c>
      <c r="H20" s="88" t="s">
        <v>86</v>
      </c>
      <c r="J20" s="100"/>
      <c r="K20" s="100"/>
      <c r="L20" s="100"/>
    </row>
    <row r="21" spans="1:12" s="71" customFormat="1" ht="28.2" customHeight="1" x14ac:dyDescent="0.25">
      <c r="B21" s="84"/>
      <c r="C21" s="84"/>
      <c r="D21" s="509" t="s">
        <v>9</v>
      </c>
      <c r="E21" s="509"/>
      <c r="F21" s="91">
        <f>SUM(F19:F20)</f>
        <v>375</v>
      </c>
      <c r="G21" s="87">
        <f>+F21/DATA!$G$40*100</f>
        <v>100</v>
      </c>
      <c r="H21" s="88" t="s">
        <v>86</v>
      </c>
    </row>
    <row r="22" spans="1:12" s="71" customFormat="1" ht="28.2" customHeight="1" x14ac:dyDescent="0.25">
      <c r="B22" s="84"/>
      <c r="C22" s="84"/>
      <c r="D22" s="508"/>
      <c r="E22" s="508"/>
      <c r="F22" s="101"/>
      <c r="G22" s="102"/>
      <c r="H22" s="103"/>
    </row>
    <row r="23" spans="1:12" s="71" customFormat="1" ht="28.2" customHeight="1" x14ac:dyDescent="0.25">
      <c r="B23" s="84"/>
      <c r="C23" s="84"/>
      <c r="D23" s="84"/>
      <c r="E23" s="84"/>
      <c r="F23" s="84"/>
      <c r="G23" s="84"/>
      <c r="H23" s="84"/>
    </row>
    <row r="24" spans="1:12" s="71" customFormat="1" ht="28.2" customHeight="1" x14ac:dyDescent="0.25">
      <c r="B24" s="84"/>
      <c r="C24" s="84"/>
      <c r="D24" s="84"/>
      <c r="E24" s="84"/>
      <c r="F24" s="84"/>
      <c r="G24" s="84"/>
      <c r="H24" s="84"/>
    </row>
    <row r="25" spans="1:12" s="71" customFormat="1" ht="28.2" customHeight="1" x14ac:dyDescent="0.25">
      <c r="B25" s="84"/>
      <c r="C25" s="84"/>
      <c r="D25" s="84"/>
      <c r="E25" s="84"/>
      <c r="F25" s="84"/>
      <c r="G25" s="84"/>
      <c r="H25" s="84"/>
    </row>
    <row r="26" spans="1:12" s="71" customFormat="1" ht="28.2" customHeight="1" x14ac:dyDescent="0.25">
      <c r="B26" s="84"/>
      <c r="C26" s="84"/>
      <c r="D26" s="84"/>
      <c r="E26" s="84"/>
      <c r="F26" s="84"/>
      <c r="G26" s="84"/>
      <c r="H26" s="84"/>
    </row>
    <row r="27" spans="1:12" s="71" customFormat="1" ht="27.75" customHeight="1" x14ac:dyDescent="0.25">
      <c r="A27" s="70"/>
      <c r="B27" s="84"/>
      <c r="C27" s="84"/>
      <c r="D27" s="84"/>
      <c r="E27" s="84"/>
      <c r="F27" s="84"/>
      <c r="G27" s="84"/>
      <c r="H27" s="84"/>
    </row>
    <row r="28" spans="1:12" s="71" customFormat="1" ht="15" customHeight="1" thickBot="1" x14ac:dyDescent="0.3">
      <c r="A28" s="70"/>
      <c r="B28" s="79"/>
      <c r="C28" s="80"/>
      <c r="D28" s="80"/>
      <c r="E28" s="80"/>
      <c r="F28" s="81"/>
      <c r="G28" s="82"/>
      <c r="H28" s="82"/>
    </row>
    <row r="29" spans="1:12" s="71" customFormat="1" ht="15" customHeight="1" x14ac:dyDescent="0.25"/>
    <row r="30" spans="1:12" s="71" customFormat="1" ht="28.2" hidden="1" customHeight="1" x14ac:dyDescent="0.25">
      <c r="B30" s="84"/>
    </row>
    <row r="31" spans="1:12" s="71" customFormat="1" ht="28.2" hidden="1" customHeight="1" x14ac:dyDescent="0.25">
      <c r="B31" s="84"/>
    </row>
    <row r="32" spans="1:12" s="71" customFormat="1" ht="28.2" hidden="1" customHeight="1" x14ac:dyDescent="0.25">
      <c r="B32" s="84"/>
    </row>
    <row r="33" spans="2:16" s="71" customFormat="1" ht="28.2" hidden="1" customHeight="1" x14ac:dyDescent="0.25">
      <c r="B33" s="84"/>
    </row>
    <row r="34" spans="2:16" s="71" customFormat="1" ht="28.2" hidden="1" customHeight="1" x14ac:dyDescent="0.25">
      <c r="B34" s="84"/>
    </row>
    <row r="35" spans="2:16" s="71" customFormat="1" ht="28.2" hidden="1" customHeight="1" x14ac:dyDescent="0.25">
      <c r="B35" s="84"/>
      <c r="P35" s="71" t="s">
        <v>0</v>
      </c>
    </row>
    <row r="36" spans="2:16" s="71" customFormat="1" ht="28.2" hidden="1" customHeight="1" x14ac:dyDescent="0.25">
      <c r="B36" s="84"/>
    </row>
    <row r="37" spans="2:16" s="71" customFormat="1" ht="28.2" hidden="1" customHeight="1" x14ac:dyDescent="0.3">
      <c r="B37" s="84"/>
      <c r="G37" s="104"/>
    </row>
    <row r="38" spans="2:16" s="71" customFormat="1" ht="28.2" hidden="1" customHeight="1" x14ac:dyDescent="0.3">
      <c r="B38" s="84"/>
      <c r="G38" s="104"/>
    </row>
    <row r="39" spans="2:16" s="71" customFormat="1" ht="28.2" hidden="1" customHeight="1" x14ac:dyDescent="0.3">
      <c r="D39" s="104"/>
      <c r="E39" s="104"/>
      <c r="F39" s="104"/>
      <c r="G39" s="104"/>
    </row>
    <row r="40" spans="2:16" ht="15" hidden="1" customHeight="1" x14ac:dyDescent="0.3"/>
    <row r="41" spans="2:16" ht="15" hidden="1" customHeight="1" x14ac:dyDescent="0.3"/>
    <row r="42" spans="2:16" ht="15" hidden="1" customHeight="1" x14ac:dyDescent="0.3"/>
    <row r="43" spans="2:16" ht="15" hidden="1" customHeight="1" x14ac:dyDescent="0.3"/>
    <row r="44" spans="2:16" ht="15" hidden="1" customHeight="1" x14ac:dyDescent="0.3"/>
    <row r="45" spans="2:16" ht="15" hidden="1" customHeight="1" x14ac:dyDescent="0.3"/>
    <row r="46" spans="2:16" ht="15" hidden="1" customHeight="1" x14ac:dyDescent="0.3"/>
    <row r="47" spans="2:16" ht="15" hidden="1" customHeight="1" x14ac:dyDescent="0.3"/>
    <row r="48" spans="2:16" ht="15" hidden="1" customHeight="1" x14ac:dyDescent="0.3"/>
    <row r="49" s="104" customFormat="1" ht="15" hidden="1" customHeight="1" x14ac:dyDescent="0.3"/>
    <row r="50" s="104" customFormat="1" ht="15" hidden="1" customHeight="1" x14ac:dyDescent="0.3"/>
    <row r="51" s="104" customFormat="1" ht="15" hidden="1" customHeight="1" x14ac:dyDescent="0.3"/>
    <row r="52" s="104" customFormat="1" ht="15" hidden="1" customHeight="1" x14ac:dyDescent="0.3"/>
    <row r="53" s="104" customFormat="1" ht="15" hidden="1" customHeight="1" x14ac:dyDescent="0.3"/>
    <row r="54" s="104" customFormat="1" ht="15" hidden="1" customHeight="1" x14ac:dyDescent="0.3"/>
    <row r="55" s="104" customFormat="1" ht="15" hidden="1" customHeight="1" x14ac:dyDescent="0.3"/>
    <row r="56" s="104" customFormat="1" ht="15" hidden="1" customHeight="1" x14ac:dyDescent="0.3"/>
    <row r="57" s="104" customFormat="1" ht="15" hidden="1" customHeight="1" x14ac:dyDescent="0.3"/>
    <row r="58" s="104" customFormat="1" ht="15" hidden="1" customHeight="1" x14ac:dyDescent="0.3"/>
    <row r="59" s="104" customFormat="1" ht="15" hidden="1" customHeight="1" x14ac:dyDescent="0.3"/>
    <row r="60" s="104" customFormat="1" ht="15" hidden="1" customHeight="1" x14ac:dyDescent="0.3"/>
    <row r="61" s="104" customFormat="1" ht="15" hidden="1" customHeight="1" x14ac:dyDescent="0.3"/>
    <row r="62" s="104" customFormat="1" ht="15" hidden="1" customHeight="1" x14ac:dyDescent="0.3"/>
    <row r="63" s="104" customFormat="1" ht="15" hidden="1" customHeight="1" x14ac:dyDescent="0.3"/>
    <row r="64" s="104" customFormat="1" ht="15" hidden="1" customHeight="1" x14ac:dyDescent="0.3"/>
    <row r="65" s="104" customFormat="1" ht="15" hidden="1" customHeight="1" x14ac:dyDescent="0.3"/>
    <row r="66" s="104" customFormat="1" ht="15" hidden="1" customHeight="1" x14ac:dyDescent="0.3"/>
    <row r="67" s="104" customFormat="1" ht="15" hidden="1" customHeight="1" x14ac:dyDescent="0.3"/>
    <row r="68" s="104" customFormat="1" ht="15" hidden="1" customHeight="1" x14ac:dyDescent="0.3"/>
    <row r="69" s="104" customFormat="1" ht="15" hidden="1" customHeight="1" x14ac:dyDescent="0.3"/>
    <row r="70" s="104" customFormat="1" ht="15" hidden="1" customHeight="1" x14ac:dyDescent="0.3"/>
    <row r="71" s="104" customFormat="1" ht="15" hidden="1" customHeight="1" x14ac:dyDescent="0.3"/>
    <row r="72" s="104" customFormat="1" ht="15" hidden="1" customHeight="1" x14ac:dyDescent="0.3"/>
    <row r="73" s="104" customFormat="1" ht="15" hidden="1" customHeight="1" x14ac:dyDescent="0.3"/>
    <row r="74" s="104" customFormat="1" ht="15" hidden="1" customHeight="1" x14ac:dyDescent="0.3"/>
    <row r="75" s="104" customFormat="1" ht="15" hidden="1" customHeight="1" x14ac:dyDescent="0.3"/>
    <row r="76" s="104" customFormat="1" ht="15" hidden="1" customHeight="1" x14ac:dyDescent="0.3"/>
    <row r="77" s="104" customFormat="1" ht="15" hidden="1" customHeight="1" x14ac:dyDescent="0.3"/>
    <row r="78" s="104" customFormat="1" ht="15" hidden="1" customHeight="1" x14ac:dyDescent="0.3"/>
    <row r="79" s="104" customFormat="1" ht="15" hidden="1" customHeight="1" x14ac:dyDescent="0.3"/>
    <row r="80" s="104" customFormat="1" ht="15" hidden="1" customHeight="1" x14ac:dyDescent="0.3"/>
    <row r="81" spans="3:7" ht="15" hidden="1" customHeight="1" x14ac:dyDescent="0.3"/>
    <row r="82" spans="3:7" ht="15" hidden="1" customHeight="1" x14ac:dyDescent="0.3"/>
    <row r="83" spans="3:7" ht="15" hidden="1" customHeight="1" x14ac:dyDescent="0.3">
      <c r="C83" s="105" t="s">
        <v>87</v>
      </c>
      <c r="D83" s="106"/>
      <c r="E83" s="107">
        <v>1650</v>
      </c>
      <c r="F83" s="108" t="e">
        <f>+E83/Qmax*100</f>
        <v>#NAME?</v>
      </c>
      <c r="G83" s="88" t="s">
        <v>86</v>
      </c>
    </row>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row r="95" spans="3:7" ht="15" hidden="1" customHeight="1" x14ac:dyDescent="0.3"/>
  </sheetData>
  <sheetProtection algorithmName="SHA-512" hashValue="eiWefVcP6b9e9pPkTo7W3/uxBNFB4N82CpudH2MZSY4hDeRPEufjhXH51Iefy2+1hzUmpJ16xQ1wGfrkIDFelg==" saltValue="eSF1xYcWUBS56zEnB82lGQ=="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Samenvatting</vt:lpstr>
      <vt:lpstr>1. Implementatie</vt:lpstr>
      <vt:lpstr>2. Apparatuur</vt:lpstr>
      <vt:lpstr>3a Gebruiksrecht - Aanschaf</vt:lpstr>
      <vt:lpstr>3b Gebruiksrecht - Subscription</vt:lpstr>
      <vt:lpstr>3c Gebruiksrecht - Enterprise</vt:lpstr>
      <vt:lpstr>4. Diensten </vt:lpstr>
      <vt:lpstr>5. Additionele diensten</vt:lpstr>
      <vt:lpstr>BPK-Grafiek</vt:lpstr>
      <vt:lpstr>DATA</vt:lpstr>
    </vt:vector>
  </TitlesOfParts>
  <Company>Ministerie van Financiën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Yvo Y. Bakker</cp:lastModifiedBy>
  <cp:lastPrinted>2015-11-04T14:49:51Z</cp:lastPrinted>
  <dcterms:created xsi:type="dcterms:W3CDTF">2015-11-02T15:35:11Z</dcterms:created>
  <dcterms:modified xsi:type="dcterms:W3CDTF">2024-10-15T08:05:40Z</dcterms:modified>
</cp:coreProperties>
</file>