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waterproef.sharepoint.com/sites/P2406AanschafLCMSGBM/Gedeelde documenten/General/Aanschaf LCMS/"/>
    </mc:Choice>
  </mc:AlternateContent>
  <xr:revisionPtr revIDLastSave="0" documentId="14_{4779471B-64A9-424E-81E9-B42059AE769F}" xr6:coauthVersionLast="47" xr6:coauthVersionMax="47" xr10:uidLastSave="{00000000-0000-0000-0000-000000000000}"/>
  <bookViews>
    <workbookView xWindow="-28920" yWindow="1260" windowWidth="29040" windowHeight="15840" xr2:uid="{4DBFF3A3-C693-45B9-9554-68B52F9A9BD6}"/>
  </bookViews>
  <sheets>
    <sheet name="Sequence + methode" sheetId="9" r:id="rId1"/>
    <sheet name="Rapportage formulier" sheetId="6" r:id="rId2"/>
    <sheet name="Punten verdeling" sheetId="7" r:id="rId3"/>
  </sheets>
  <definedNames>
    <definedName name="AG_G">'Punten verdeling'!$F$9</definedName>
    <definedName name="AG_O">'Punten verdeling'!$F$11</definedName>
    <definedName name="AG_U">'Punten verdeling'!$F$8</definedName>
    <definedName name="AG_V">'Punten verdeling'!$F$10</definedName>
    <definedName name="DRIFT_G">'Punten verdeling'!$F$25</definedName>
    <definedName name="DRIFT_O">'Punten verdeling'!$F$27</definedName>
    <definedName name="DRIFT_U">'Punten verdeling'!$F$24</definedName>
    <definedName name="DRIFT_V">'Punten verdeling'!$F$26</definedName>
    <definedName name="GS_ja">'Punten verdeling'!$F$28</definedName>
    <definedName name="GS_nee">'Punten verdeling'!$F$29</definedName>
    <definedName name="HH_G">'Punten verdeling'!$F$21</definedName>
    <definedName name="HH_O">'Punten verdeling'!$F$23</definedName>
    <definedName name="HH_U">'Punten verdeling'!$F$20</definedName>
    <definedName name="HH_V">'Punten verdeling'!$F$22</definedName>
    <definedName name="Punt_MAX">'Punten verdeling'!$G$30</definedName>
    <definedName name="Punt_TV_2xvv">'Rapportage formulier'!$Q$102</definedName>
    <definedName name="Punt_TV_5xvv">'Rapportage formulier'!$Q$121</definedName>
    <definedName name="Punten_AG">'Rapportage formulier'!$Y$26</definedName>
    <definedName name="Punten_Drift">'Rapportage formulier'!$X$83</definedName>
    <definedName name="Punten_Ratio">'Rapportage formulier'!$AS$64</definedName>
    <definedName name="Punten_RSD">'Rapportage formulier'!$AB$45</definedName>
    <definedName name="Punten_TV">'Rapportage formulier'!$AA$45</definedName>
    <definedName name="Ratio">'Rapportage formulier'!$K:$K</definedName>
    <definedName name="RATIO_G">'Punten verdeling'!$F$13</definedName>
    <definedName name="RATIO_O">'Punten verdeling'!$F$15</definedName>
    <definedName name="RATIO_U">'Punten verdeling'!$F$12</definedName>
    <definedName name="RATIO_V">'Punten verdeling'!$F$14</definedName>
    <definedName name="RT_G">'Punten verdeling'!#REF!</definedName>
    <definedName name="RT_O">'Punten verdeling'!#REF!</definedName>
    <definedName name="RT_U">'Punten verdeling'!#REF!</definedName>
    <definedName name="RT_V">'Punten verdeling'!#REF!</definedName>
    <definedName name="Terugvinding">'Rapportage formulier'!$J:$J</definedName>
    <definedName name="TV_G">'Punten verdeling'!$F$17</definedName>
    <definedName name="TV_O">'Punten verdeling'!$F$19</definedName>
    <definedName name="TV_U">'Punten verdeling'!$F$16</definedName>
    <definedName name="TV_V">'Punten verdeling'!$F$18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8" i="6" l="1" a="1"/>
  <c r="X68" i="6"/>
  <c r="X69" i="6" a="1"/>
  <c r="X69" i="6"/>
  <c r="X70" i="6" a="1"/>
  <c r="X70" i="6"/>
  <c r="X71" i="6" a="1"/>
  <c r="X71" i="6"/>
  <c r="X72" i="6" a="1"/>
  <c r="X72" i="6"/>
  <c r="X73" i="6" a="1"/>
  <c r="X73" i="6"/>
  <c r="X74" i="6" a="1"/>
  <c r="X74" i="6"/>
  <c r="X75" i="6" a="1"/>
  <c r="X75" i="6"/>
  <c r="X76" i="6" a="1"/>
  <c r="X76" i="6"/>
  <c r="X77" i="6" a="1"/>
  <c r="X77" i="6"/>
  <c r="X78" i="6" a="1"/>
  <c r="X78" i="6"/>
  <c r="X79" i="6" a="1"/>
  <c r="X79" i="6"/>
  <c r="X80" i="6" a="1"/>
  <c r="X80" i="6"/>
  <c r="X81" i="6" a="1"/>
  <c r="X81" i="6"/>
  <c r="X82" i="6" a="1"/>
  <c r="X82" i="6"/>
  <c r="X67" i="6" a="1"/>
  <c r="X67" i="6"/>
  <c r="AS49" i="6" a="1"/>
  <c r="AS49" i="6"/>
  <c r="AS50" i="6" a="1"/>
  <c r="AS50" i="6"/>
  <c r="AS51" i="6" a="1"/>
  <c r="AS51" i="6"/>
  <c r="AS52" i="6" a="1"/>
  <c r="AS52" i="6"/>
  <c r="AS53" i="6" a="1"/>
  <c r="AS53" i="6"/>
  <c r="AS54" i="6" a="1"/>
  <c r="AS54" i="6"/>
  <c r="AS55" i="6" a="1"/>
  <c r="AS55" i="6"/>
  <c r="AS56" i="6" a="1"/>
  <c r="AS56" i="6"/>
  <c r="AS57" i="6" a="1"/>
  <c r="AS57" i="6"/>
  <c r="AS58" i="6" a="1"/>
  <c r="AS58" i="6"/>
  <c r="AS59" i="6" a="1"/>
  <c r="AS59" i="6"/>
  <c r="AS60" i="6" a="1"/>
  <c r="AS60" i="6"/>
  <c r="AS61" i="6" a="1"/>
  <c r="AS61" i="6"/>
  <c r="AS62" i="6" a="1"/>
  <c r="AS62" i="6"/>
  <c r="AS63" i="6" a="1"/>
  <c r="AS63" i="6"/>
  <c r="AS48" i="6" a="1"/>
  <c r="AS48" i="6"/>
  <c r="AA30" i="6" a="1"/>
  <c r="AA30" i="6"/>
  <c r="AA31" i="6" a="1"/>
  <c r="AA31" i="6"/>
  <c r="AA32" i="6" a="1"/>
  <c r="AA32" i="6"/>
  <c r="AA33" i="6" a="1"/>
  <c r="AA33" i="6"/>
  <c r="AA34" i="6" a="1"/>
  <c r="AA34" i="6"/>
  <c r="AA35" i="6" a="1"/>
  <c r="AA35" i="6"/>
  <c r="AA36" i="6" a="1"/>
  <c r="AA36" i="6"/>
  <c r="AA37" i="6" a="1"/>
  <c r="AA37" i="6"/>
  <c r="AA38" i="6" a="1"/>
  <c r="AA38" i="6"/>
  <c r="AA39" i="6" a="1"/>
  <c r="AA39" i="6"/>
  <c r="AA40" i="6" a="1"/>
  <c r="AA40" i="6"/>
  <c r="AA41" i="6" a="1"/>
  <c r="AA41" i="6"/>
  <c r="AA42" i="6" a="1"/>
  <c r="AA42" i="6"/>
  <c r="AA43" i="6" a="1"/>
  <c r="AA43" i="6"/>
  <c r="AA44" i="6" a="1"/>
  <c r="AA44" i="6"/>
  <c r="AA29" i="6" a="1"/>
  <c r="AA29" i="6"/>
  <c r="AB30" i="6" a="1"/>
  <c r="AB30" i="6"/>
  <c r="AB31" i="6" a="1"/>
  <c r="AB31" i="6"/>
  <c r="AB32" i="6" a="1"/>
  <c r="AB32" i="6"/>
  <c r="AB33" i="6" a="1"/>
  <c r="AB33" i="6"/>
  <c r="AB34" i="6" a="1"/>
  <c r="AB34" i="6"/>
  <c r="AB35" i="6" a="1"/>
  <c r="AB35" i="6"/>
  <c r="AB36" i="6" a="1"/>
  <c r="AB36" i="6"/>
  <c r="AB37" i="6" a="1"/>
  <c r="AB37" i="6"/>
  <c r="AB38" i="6" a="1"/>
  <c r="AB38" i="6"/>
  <c r="AB39" i="6" a="1"/>
  <c r="AB39" i="6"/>
  <c r="AB40" i="6" a="1"/>
  <c r="AB40" i="6"/>
  <c r="AB41" i="6" a="1"/>
  <c r="AB41" i="6"/>
  <c r="AB42" i="6" a="1"/>
  <c r="AB42" i="6"/>
  <c r="AB43" i="6" a="1"/>
  <c r="AB43" i="6"/>
  <c r="AB44" i="6" a="1"/>
  <c r="AB44" i="6"/>
  <c r="AB29" i="6" a="1"/>
  <c r="AB29" i="6"/>
  <c r="Y11" i="6" a="1"/>
  <c r="Y11" i="6"/>
  <c r="Y12" i="6" a="1"/>
  <c r="Y12" i="6"/>
  <c r="Y13" i="6" a="1"/>
  <c r="Y13" i="6"/>
  <c r="Y14" i="6" a="1"/>
  <c r="Y14" i="6"/>
  <c r="Y15" i="6" a="1"/>
  <c r="Y15" i="6"/>
  <c r="Y16" i="6" a="1"/>
  <c r="Y16" i="6"/>
  <c r="Y17" i="6" a="1"/>
  <c r="Y17" i="6"/>
  <c r="Y18" i="6" a="1"/>
  <c r="Y18" i="6"/>
  <c r="Y19" i="6" a="1"/>
  <c r="Y19" i="6"/>
  <c r="Y20" i="6" a="1"/>
  <c r="Y20" i="6"/>
  <c r="Y21" i="6" a="1"/>
  <c r="Y21" i="6"/>
  <c r="Y22" i="6" a="1"/>
  <c r="Y22" i="6"/>
  <c r="Y23" i="6" a="1"/>
  <c r="Y23" i="6"/>
  <c r="Y24" i="6" a="1"/>
  <c r="Y24" i="6"/>
  <c r="Y25" i="6" a="1"/>
  <c r="Y25" i="6"/>
  <c r="Y10" i="6" a="1"/>
  <c r="Y10" i="6"/>
  <c r="P105" i="6"/>
  <c r="O106" i="6"/>
  <c r="O107" i="6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05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86" i="6"/>
  <c r="H619" i="6"/>
  <c r="H620" i="6"/>
  <c r="H621" i="6"/>
  <c r="H622" i="6"/>
  <c r="H623" i="6"/>
  <c r="H624" i="6"/>
  <c r="H625" i="6"/>
  <c r="H626" i="6"/>
  <c r="H627" i="6"/>
  <c r="H628" i="6"/>
  <c r="H629" i="6"/>
  <c r="H630" i="6"/>
  <c r="H631" i="6"/>
  <c r="H632" i="6"/>
  <c r="H633" i="6"/>
  <c r="H618" i="6"/>
  <c r="C637" i="6"/>
  <c r="I952" i="6" l="1"/>
  <c r="I942" i="6"/>
  <c r="I943" i="6"/>
  <c r="I944" i="6"/>
  <c r="I945" i="6"/>
  <c r="I946" i="6"/>
  <c r="I947" i="6"/>
  <c r="I948" i="6"/>
  <c r="I949" i="6"/>
  <c r="I950" i="6"/>
  <c r="I951" i="6"/>
  <c r="I953" i="6"/>
  <c r="I954" i="6"/>
  <c r="I955" i="6"/>
  <c r="I956" i="6"/>
  <c r="I941" i="6"/>
  <c r="I923" i="6"/>
  <c r="I924" i="6"/>
  <c r="I925" i="6"/>
  <c r="I926" i="6"/>
  <c r="I927" i="6"/>
  <c r="I928" i="6"/>
  <c r="I929" i="6"/>
  <c r="I930" i="6"/>
  <c r="I931" i="6"/>
  <c r="I932" i="6"/>
  <c r="I933" i="6"/>
  <c r="I934" i="6"/>
  <c r="I935" i="6"/>
  <c r="I936" i="6"/>
  <c r="I937" i="6"/>
  <c r="I922" i="6"/>
  <c r="I904" i="6"/>
  <c r="I905" i="6"/>
  <c r="I906" i="6"/>
  <c r="I907" i="6"/>
  <c r="I908" i="6"/>
  <c r="I909" i="6"/>
  <c r="I910" i="6"/>
  <c r="I911" i="6"/>
  <c r="I912" i="6"/>
  <c r="I913" i="6"/>
  <c r="I914" i="6"/>
  <c r="I915" i="6"/>
  <c r="I916" i="6"/>
  <c r="I917" i="6"/>
  <c r="I918" i="6"/>
  <c r="I903" i="6"/>
  <c r="I885" i="6"/>
  <c r="I886" i="6"/>
  <c r="I887" i="6"/>
  <c r="I888" i="6"/>
  <c r="I889" i="6"/>
  <c r="I890" i="6"/>
  <c r="I891" i="6"/>
  <c r="I892" i="6"/>
  <c r="I893" i="6"/>
  <c r="I894" i="6"/>
  <c r="I895" i="6"/>
  <c r="I896" i="6"/>
  <c r="I897" i="6"/>
  <c r="I898" i="6"/>
  <c r="I899" i="6"/>
  <c r="I884" i="6"/>
  <c r="I866" i="6"/>
  <c r="I867" i="6"/>
  <c r="I868" i="6"/>
  <c r="I869" i="6"/>
  <c r="I870" i="6"/>
  <c r="I871" i="6"/>
  <c r="I872" i="6"/>
  <c r="I873" i="6"/>
  <c r="I874" i="6"/>
  <c r="I875" i="6"/>
  <c r="I876" i="6"/>
  <c r="I877" i="6"/>
  <c r="I878" i="6"/>
  <c r="I879" i="6"/>
  <c r="I880" i="6"/>
  <c r="I865" i="6"/>
  <c r="I847" i="6"/>
  <c r="I848" i="6"/>
  <c r="I849" i="6"/>
  <c r="I850" i="6"/>
  <c r="I851" i="6"/>
  <c r="I852" i="6"/>
  <c r="I853" i="6"/>
  <c r="I854" i="6"/>
  <c r="I855" i="6"/>
  <c r="I856" i="6"/>
  <c r="I857" i="6"/>
  <c r="I858" i="6"/>
  <c r="I859" i="6"/>
  <c r="I860" i="6"/>
  <c r="I861" i="6"/>
  <c r="I846" i="6"/>
  <c r="I828" i="6"/>
  <c r="I829" i="6"/>
  <c r="I830" i="6"/>
  <c r="I831" i="6"/>
  <c r="I832" i="6"/>
  <c r="I833" i="6"/>
  <c r="I834" i="6"/>
  <c r="I835" i="6"/>
  <c r="I836" i="6"/>
  <c r="I837" i="6"/>
  <c r="I838" i="6"/>
  <c r="I839" i="6"/>
  <c r="I840" i="6"/>
  <c r="I841" i="6"/>
  <c r="I842" i="6"/>
  <c r="I827" i="6"/>
  <c r="I809" i="6"/>
  <c r="I810" i="6"/>
  <c r="I811" i="6"/>
  <c r="I812" i="6"/>
  <c r="I813" i="6"/>
  <c r="I814" i="6"/>
  <c r="I815" i="6"/>
  <c r="I816" i="6"/>
  <c r="I817" i="6"/>
  <c r="I818" i="6"/>
  <c r="I819" i="6"/>
  <c r="I820" i="6"/>
  <c r="I821" i="6"/>
  <c r="I822" i="6"/>
  <c r="I823" i="6"/>
  <c r="I808" i="6"/>
  <c r="I790" i="6"/>
  <c r="I791" i="6"/>
  <c r="I792" i="6"/>
  <c r="I793" i="6"/>
  <c r="I794" i="6"/>
  <c r="I795" i="6"/>
  <c r="I796" i="6"/>
  <c r="I797" i="6"/>
  <c r="I798" i="6"/>
  <c r="I799" i="6"/>
  <c r="I800" i="6"/>
  <c r="I801" i="6"/>
  <c r="I802" i="6"/>
  <c r="I803" i="6"/>
  <c r="I804" i="6"/>
  <c r="I789" i="6"/>
  <c r="I771" i="6"/>
  <c r="I772" i="6"/>
  <c r="I773" i="6"/>
  <c r="I774" i="6"/>
  <c r="I775" i="6"/>
  <c r="I776" i="6"/>
  <c r="I777" i="6"/>
  <c r="I778" i="6"/>
  <c r="I779" i="6"/>
  <c r="I780" i="6"/>
  <c r="I781" i="6"/>
  <c r="I782" i="6"/>
  <c r="I783" i="6"/>
  <c r="I784" i="6"/>
  <c r="I785" i="6"/>
  <c r="I770" i="6"/>
  <c r="I752" i="6"/>
  <c r="I753" i="6"/>
  <c r="I754" i="6"/>
  <c r="I755" i="6"/>
  <c r="I756" i="6"/>
  <c r="I757" i="6"/>
  <c r="I758" i="6"/>
  <c r="I759" i="6"/>
  <c r="I760" i="6"/>
  <c r="I761" i="6"/>
  <c r="I762" i="6"/>
  <c r="I763" i="6"/>
  <c r="I764" i="6"/>
  <c r="I765" i="6"/>
  <c r="I766" i="6"/>
  <c r="I751" i="6"/>
  <c r="I733" i="6"/>
  <c r="I734" i="6"/>
  <c r="I735" i="6"/>
  <c r="I736" i="6"/>
  <c r="I737" i="6"/>
  <c r="I738" i="6"/>
  <c r="I739" i="6"/>
  <c r="I740" i="6"/>
  <c r="I741" i="6"/>
  <c r="I742" i="6"/>
  <c r="I743" i="6"/>
  <c r="I744" i="6"/>
  <c r="I745" i="6"/>
  <c r="I746" i="6"/>
  <c r="I747" i="6"/>
  <c r="I732" i="6"/>
  <c r="I714" i="6"/>
  <c r="I715" i="6"/>
  <c r="I716" i="6"/>
  <c r="I717" i="6"/>
  <c r="I718" i="6"/>
  <c r="I719" i="6"/>
  <c r="I720" i="6"/>
  <c r="I721" i="6"/>
  <c r="I722" i="6"/>
  <c r="I723" i="6"/>
  <c r="I724" i="6"/>
  <c r="I725" i="6"/>
  <c r="I726" i="6"/>
  <c r="I727" i="6"/>
  <c r="I728" i="6"/>
  <c r="I713" i="6"/>
  <c r="I695" i="6"/>
  <c r="I696" i="6"/>
  <c r="I697" i="6"/>
  <c r="I698" i="6"/>
  <c r="I699" i="6"/>
  <c r="I700" i="6"/>
  <c r="I701" i="6"/>
  <c r="I702" i="6"/>
  <c r="I703" i="6"/>
  <c r="I704" i="6"/>
  <c r="I705" i="6"/>
  <c r="I706" i="6"/>
  <c r="I707" i="6"/>
  <c r="I708" i="6"/>
  <c r="I709" i="6"/>
  <c r="I694" i="6"/>
  <c r="I676" i="6"/>
  <c r="I677" i="6"/>
  <c r="I678" i="6"/>
  <c r="I679" i="6"/>
  <c r="I680" i="6"/>
  <c r="I681" i="6"/>
  <c r="I682" i="6"/>
  <c r="I683" i="6"/>
  <c r="I684" i="6"/>
  <c r="I685" i="6"/>
  <c r="I686" i="6"/>
  <c r="I687" i="6"/>
  <c r="I688" i="6"/>
  <c r="I689" i="6"/>
  <c r="I690" i="6"/>
  <c r="I675" i="6"/>
  <c r="I657" i="6"/>
  <c r="I658" i="6"/>
  <c r="I659" i="6"/>
  <c r="I660" i="6"/>
  <c r="I661" i="6"/>
  <c r="I662" i="6"/>
  <c r="I663" i="6"/>
  <c r="I664" i="6"/>
  <c r="I665" i="6"/>
  <c r="I666" i="6"/>
  <c r="I667" i="6"/>
  <c r="I668" i="6"/>
  <c r="I669" i="6"/>
  <c r="I670" i="6"/>
  <c r="I671" i="6"/>
  <c r="I656" i="6"/>
  <c r="I638" i="6"/>
  <c r="I639" i="6"/>
  <c r="I640" i="6"/>
  <c r="I641" i="6"/>
  <c r="I642" i="6"/>
  <c r="I643" i="6"/>
  <c r="I644" i="6"/>
  <c r="I645" i="6"/>
  <c r="I646" i="6"/>
  <c r="I647" i="6"/>
  <c r="I648" i="6"/>
  <c r="I649" i="6"/>
  <c r="I650" i="6"/>
  <c r="I651" i="6"/>
  <c r="I652" i="6"/>
  <c r="I637" i="6"/>
  <c r="I619" i="6"/>
  <c r="I620" i="6"/>
  <c r="I621" i="6"/>
  <c r="I622" i="6"/>
  <c r="I623" i="6"/>
  <c r="I624" i="6"/>
  <c r="I625" i="6"/>
  <c r="I626" i="6"/>
  <c r="I627" i="6"/>
  <c r="I628" i="6"/>
  <c r="I629" i="6"/>
  <c r="I630" i="6"/>
  <c r="I631" i="6"/>
  <c r="I632" i="6"/>
  <c r="I633" i="6"/>
  <c r="I618" i="6"/>
  <c r="I600" i="6"/>
  <c r="I601" i="6"/>
  <c r="I602" i="6"/>
  <c r="I603" i="6"/>
  <c r="I604" i="6"/>
  <c r="I605" i="6"/>
  <c r="I606" i="6"/>
  <c r="I607" i="6"/>
  <c r="I608" i="6"/>
  <c r="I609" i="6"/>
  <c r="I610" i="6"/>
  <c r="I611" i="6"/>
  <c r="I612" i="6"/>
  <c r="I613" i="6"/>
  <c r="I614" i="6"/>
  <c r="I599" i="6"/>
  <c r="I581" i="6"/>
  <c r="I582" i="6"/>
  <c r="I583" i="6"/>
  <c r="I584" i="6"/>
  <c r="I585" i="6"/>
  <c r="I586" i="6"/>
  <c r="I587" i="6"/>
  <c r="I588" i="6"/>
  <c r="I589" i="6"/>
  <c r="I590" i="6"/>
  <c r="I591" i="6"/>
  <c r="I592" i="6"/>
  <c r="I593" i="6"/>
  <c r="I594" i="6"/>
  <c r="I595" i="6"/>
  <c r="I580" i="6"/>
  <c r="I576" i="6"/>
  <c r="I562" i="6"/>
  <c r="I563" i="6"/>
  <c r="I564" i="6"/>
  <c r="I565" i="6"/>
  <c r="I566" i="6"/>
  <c r="I567" i="6"/>
  <c r="I568" i="6"/>
  <c r="I569" i="6"/>
  <c r="I570" i="6"/>
  <c r="I571" i="6"/>
  <c r="I572" i="6"/>
  <c r="I573" i="6"/>
  <c r="I574" i="6"/>
  <c r="I575" i="6"/>
  <c r="I561" i="6"/>
  <c r="I543" i="6"/>
  <c r="I544" i="6"/>
  <c r="I545" i="6"/>
  <c r="I546" i="6"/>
  <c r="I547" i="6"/>
  <c r="I548" i="6"/>
  <c r="I549" i="6"/>
  <c r="I550" i="6"/>
  <c r="I551" i="6"/>
  <c r="I552" i="6"/>
  <c r="I553" i="6"/>
  <c r="I554" i="6"/>
  <c r="I555" i="6"/>
  <c r="I556" i="6"/>
  <c r="I557" i="6"/>
  <c r="I542" i="6"/>
  <c r="I524" i="6"/>
  <c r="I525" i="6"/>
  <c r="I526" i="6"/>
  <c r="I527" i="6"/>
  <c r="I528" i="6"/>
  <c r="I529" i="6"/>
  <c r="I530" i="6"/>
  <c r="I531" i="6"/>
  <c r="I532" i="6"/>
  <c r="I533" i="6"/>
  <c r="I534" i="6"/>
  <c r="I535" i="6"/>
  <c r="I536" i="6"/>
  <c r="I537" i="6"/>
  <c r="I538" i="6"/>
  <c r="I523" i="6"/>
  <c r="I505" i="6"/>
  <c r="I506" i="6"/>
  <c r="I507" i="6"/>
  <c r="I508" i="6"/>
  <c r="I509" i="6"/>
  <c r="I510" i="6"/>
  <c r="I511" i="6"/>
  <c r="I512" i="6"/>
  <c r="I513" i="6"/>
  <c r="I514" i="6"/>
  <c r="I515" i="6"/>
  <c r="I516" i="6"/>
  <c r="I517" i="6"/>
  <c r="I518" i="6"/>
  <c r="I519" i="6"/>
  <c r="I504" i="6"/>
  <c r="I486" i="6"/>
  <c r="I487" i="6"/>
  <c r="I488" i="6"/>
  <c r="I489" i="6"/>
  <c r="I490" i="6"/>
  <c r="I491" i="6"/>
  <c r="I492" i="6"/>
  <c r="I493" i="6"/>
  <c r="I494" i="6"/>
  <c r="I495" i="6"/>
  <c r="I496" i="6"/>
  <c r="I497" i="6"/>
  <c r="I498" i="6"/>
  <c r="I499" i="6"/>
  <c r="I500" i="6"/>
  <c r="I485" i="6"/>
  <c r="I467" i="6"/>
  <c r="I468" i="6"/>
  <c r="I469" i="6"/>
  <c r="I470" i="6"/>
  <c r="I471" i="6"/>
  <c r="I472" i="6"/>
  <c r="I473" i="6"/>
  <c r="I474" i="6"/>
  <c r="I475" i="6"/>
  <c r="I476" i="6"/>
  <c r="I477" i="6"/>
  <c r="I478" i="6"/>
  <c r="I479" i="6"/>
  <c r="I480" i="6"/>
  <c r="I481" i="6"/>
  <c r="I466" i="6"/>
  <c r="I448" i="6"/>
  <c r="I449" i="6"/>
  <c r="I450" i="6"/>
  <c r="I451" i="6"/>
  <c r="I452" i="6"/>
  <c r="I453" i="6"/>
  <c r="I454" i="6"/>
  <c r="I455" i="6"/>
  <c r="I456" i="6"/>
  <c r="I457" i="6"/>
  <c r="I458" i="6"/>
  <c r="I459" i="6"/>
  <c r="I460" i="6"/>
  <c r="I461" i="6"/>
  <c r="I462" i="6"/>
  <c r="I447" i="6"/>
  <c r="I429" i="6"/>
  <c r="I430" i="6"/>
  <c r="I431" i="6"/>
  <c r="I432" i="6"/>
  <c r="I433" i="6"/>
  <c r="I434" i="6"/>
  <c r="I435" i="6"/>
  <c r="I436" i="6"/>
  <c r="I437" i="6"/>
  <c r="I438" i="6"/>
  <c r="I439" i="6"/>
  <c r="I440" i="6"/>
  <c r="I441" i="6"/>
  <c r="I442" i="6"/>
  <c r="I443" i="6"/>
  <c r="I428" i="6"/>
  <c r="I410" i="6"/>
  <c r="I411" i="6"/>
  <c r="I412" i="6"/>
  <c r="I413" i="6"/>
  <c r="I414" i="6"/>
  <c r="I415" i="6"/>
  <c r="I416" i="6"/>
  <c r="I417" i="6"/>
  <c r="I418" i="6"/>
  <c r="I419" i="6"/>
  <c r="I420" i="6"/>
  <c r="I421" i="6"/>
  <c r="I422" i="6"/>
  <c r="I423" i="6"/>
  <c r="I424" i="6"/>
  <c r="I409" i="6"/>
  <c r="I391" i="6"/>
  <c r="I392" i="6"/>
  <c r="I393" i="6"/>
  <c r="I394" i="6"/>
  <c r="I395" i="6"/>
  <c r="I396" i="6"/>
  <c r="I397" i="6"/>
  <c r="I398" i="6"/>
  <c r="I399" i="6"/>
  <c r="I400" i="6"/>
  <c r="I401" i="6"/>
  <c r="I402" i="6"/>
  <c r="I403" i="6"/>
  <c r="I404" i="6"/>
  <c r="I405" i="6"/>
  <c r="I390" i="6"/>
  <c r="I372" i="6"/>
  <c r="I373" i="6"/>
  <c r="I374" i="6"/>
  <c r="I375" i="6"/>
  <c r="I376" i="6"/>
  <c r="I377" i="6"/>
  <c r="I378" i="6"/>
  <c r="I379" i="6"/>
  <c r="I380" i="6"/>
  <c r="I381" i="6"/>
  <c r="I382" i="6"/>
  <c r="I383" i="6"/>
  <c r="I384" i="6"/>
  <c r="I385" i="6"/>
  <c r="I386" i="6"/>
  <c r="I371" i="6"/>
  <c r="I353" i="6"/>
  <c r="I354" i="6"/>
  <c r="I355" i="6"/>
  <c r="I356" i="6"/>
  <c r="I357" i="6"/>
  <c r="I358" i="6"/>
  <c r="I359" i="6"/>
  <c r="I360" i="6"/>
  <c r="I361" i="6"/>
  <c r="I362" i="6"/>
  <c r="I363" i="6"/>
  <c r="I364" i="6"/>
  <c r="I365" i="6"/>
  <c r="I366" i="6"/>
  <c r="I367" i="6"/>
  <c r="I352" i="6"/>
  <c r="I334" i="6"/>
  <c r="I335" i="6"/>
  <c r="I336" i="6"/>
  <c r="I337" i="6"/>
  <c r="I338" i="6"/>
  <c r="I339" i="6"/>
  <c r="I340" i="6"/>
  <c r="I341" i="6"/>
  <c r="I342" i="6"/>
  <c r="I343" i="6"/>
  <c r="I344" i="6"/>
  <c r="I345" i="6"/>
  <c r="I346" i="6"/>
  <c r="I347" i="6"/>
  <c r="I348" i="6"/>
  <c r="I333" i="6"/>
  <c r="I315" i="6"/>
  <c r="I316" i="6"/>
  <c r="I317" i="6"/>
  <c r="I318" i="6"/>
  <c r="I319" i="6"/>
  <c r="I320" i="6"/>
  <c r="I321" i="6"/>
  <c r="I322" i="6"/>
  <c r="I323" i="6"/>
  <c r="I324" i="6"/>
  <c r="I325" i="6"/>
  <c r="I326" i="6"/>
  <c r="I327" i="6"/>
  <c r="I328" i="6"/>
  <c r="I329" i="6"/>
  <c r="I314" i="6"/>
  <c r="I296" i="6"/>
  <c r="I297" i="6"/>
  <c r="I298" i="6"/>
  <c r="I299" i="6"/>
  <c r="I300" i="6"/>
  <c r="I301" i="6"/>
  <c r="I302" i="6"/>
  <c r="I303" i="6"/>
  <c r="I304" i="6"/>
  <c r="I305" i="6"/>
  <c r="I306" i="6"/>
  <c r="I307" i="6"/>
  <c r="I308" i="6"/>
  <c r="I309" i="6"/>
  <c r="I310" i="6"/>
  <c r="I295" i="6"/>
  <c r="I277" i="6"/>
  <c r="I278" i="6"/>
  <c r="I279" i="6"/>
  <c r="I280" i="6"/>
  <c r="I281" i="6"/>
  <c r="I282" i="6"/>
  <c r="I283" i="6"/>
  <c r="I284" i="6"/>
  <c r="I285" i="6"/>
  <c r="I286" i="6"/>
  <c r="I287" i="6"/>
  <c r="I288" i="6"/>
  <c r="I289" i="6"/>
  <c r="I290" i="6"/>
  <c r="I291" i="6"/>
  <c r="I276" i="6"/>
  <c r="I272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271" i="6"/>
  <c r="I257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38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19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00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81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62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43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24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05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86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67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48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29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10" i="6"/>
  <c r="N10" i="6"/>
  <c r="O10" i="6"/>
  <c r="P10" i="6"/>
  <c r="Q10" i="6"/>
  <c r="R10" i="6"/>
  <c r="S10" i="6"/>
  <c r="T10" i="6"/>
  <c r="U10" i="6"/>
  <c r="H676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371" i="6"/>
  <c r="H372" i="6"/>
  <c r="H373" i="6"/>
  <c r="H374" i="6"/>
  <c r="H375" i="6"/>
  <c r="H376" i="6"/>
  <c r="H377" i="6"/>
  <c r="H378" i="6"/>
  <c r="H379" i="6"/>
  <c r="H380" i="6"/>
  <c r="H381" i="6"/>
  <c r="H382" i="6"/>
  <c r="H383" i="6"/>
  <c r="H384" i="6"/>
  <c r="H385" i="6"/>
  <c r="H386" i="6"/>
  <c r="H941" i="6"/>
  <c r="H942" i="6"/>
  <c r="H943" i="6"/>
  <c r="H944" i="6"/>
  <c r="H945" i="6"/>
  <c r="H946" i="6"/>
  <c r="H947" i="6"/>
  <c r="H948" i="6"/>
  <c r="H949" i="6"/>
  <c r="H950" i="6"/>
  <c r="H951" i="6"/>
  <c r="H952" i="6"/>
  <c r="H953" i="6"/>
  <c r="H954" i="6"/>
  <c r="H955" i="6"/>
  <c r="H956" i="6"/>
  <c r="H922" i="6"/>
  <c r="H923" i="6"/>
  <c r="H924" i="6"/>
  <c r="H925" i="6"/>
  <c r="H926" i="6"/>
  <c r="H927" i="6"/>
  <c r="H928" i="6"/>
  <c r="H929" i="6"/>
  <c r="H930" i="6"/>
  <c r="H931" i="6"/>
  <c r="H932" i="6"/>
  <c r="H933" i="6"/>
  <c r="H934" i="6"/>
  <c r="H935" i="6"/>
  <c r="H936" i="6"/>
  <c r="H937" i="6"/>
  <c r="H903" i="6"/>
  <c r="H904" i="6"/>
  <c r="H905" i="6"/>
  <c r="H906" i="6"/>
  <c r="H907" i="6"/>
  <c r="H908" i="6"/>
  <c r="H909" i="6"/>
  <c r="H910" i="6"/>
  <c r="H911" i="6"/>
  <c r="H912" i="6"/>
  <c r="H913" i="6"/>
  <c r="H914" i="6"/>
  <c r="H915" i="6"/>
  <c r="H916" i="6"/>
  <c r="H917" i="6"/>
  <c r="H918" i="6"/>
  <c r="H884" i="6"/>
  <c r="H885" i="6"/>
  <c r="H886" i="6"/>
  <c r="H887" i="6"/>
  <c r="H888" i="6"/>
  <c r="H889" i="6"/>
  <c r="H890" i="6"/>
  <c r="H891" i="6"/>
  <c r="H892" i="6"/>
  <c r="H893" i="6"/>
  <c r="H894" i="6"/>
  <c r="H895" i="6"/>
  <c r="H896" i="6"/>
  <c r="H897" i="6"/>
  <c r="H898" i="6"/>
  <c r="H899" i="6"/>
  <c r="H865" i="6"/>
  <c r="H866" i="6"/>
  <c r="H867" i="6"/>
  <c r="H868" i="6"/>
  <c r="H869" i="6"/>
  <c r="H870" i="6"/>
  <c r="H871" i="6"/>
  <c r="H872" i="6"/>
  <c r="H873" i="6"/>
  <c r="H874" i="6"/>
  <c r="H875" i="6"/>
  <c r="H876" i="6"/>
  <c r="H877" i="6"/>
  <c r="H878" i="6"/>
  <c r="H879" i="6"/>
  <c r="H880" i="6"/>
  <c r="H846" i="6"/>
  <c r="H847" i="6"/>
  <c r="H848" i="6"/>
  <c r="H849" i="6"/>
  <c r="H850" i="6"/>
  <c r="H851" i="6"/>
  <c r="H852" i="6"/>
  <c r="H853" i="6"/>
  <c r="H854" i="6"/>
  <c r="H855" i="6"/>
  <c r="H856" i="6"/>
  <c r="H857" i="6"/>
  <c r="H858" i="6"/>
  <c r="H859" i="6"/>
  <c r="H860" i="6"/>
  <c r="H861" i="6"/>
  <c r="H827" i="6"/>
  <c r="H828" i="6"/>
  <c r="H829" i="6"/>
  <c r="H830" i="6"/>
  <c r="H831" i="6"/>
  <c r="H832" i="6"/>
  <c r="H833" i="6"/>
  <c r="H834" i="6"/>
  <c r="H835" i="6"/>
  <c r="H836" i="6"/>
  <c r="H837" i="6"/>
  <c r="H838" i="6"/>
  <c r="H839" i="6"/>
  <c r="H840" i="6"/>
  <c r="H841" i="6"/>
  <c r="H842" i="6"/>
  <c r="H808" i="6"/>
  <c r="H809" i="6"/>
  <c r="H810" i="6"/>
  <c r="H811" i="6"/>
  <c r="H812" i="6"/>
  <c r="H813" i="6"/>
  <c r="H814" i="6"/>
  <c r="H815" i="6"/>
  <c r="H816" i="6"/>
  <c r="H817" i="6"/>
  <c r="H818" i="6"/>
  <c r="H819" i="6"/>
  <c r="H820" i="6"/>
  <c r="H821" i="6"/>
  <c r="H822" i="6"/>
  <c r="H823" i="6"/>
  <c r="H789" i="6"/>
  <c r="H790" i="6"/>
  <c r="H791" i="6"/>
  <c r="H792" i="6"/>
  <c r="H793" i="6"/>
  <c r="H794" i="6"/>
  <c r="H795" i="6"/>
  <c r="H796" i="6"/>
  <c r="H797" i="6"/>
  <c r="H798" i="6"/>
  <c r="H799" i="6"/>
  <c r="H800" i="6"/>
  <c r="H801" i="6"/>
  <c r="H802" i="6"/>
  <c r="H803" i="6"/>
  <c r="H804" i="6"/>
  <c r="H770" i="6"/>
  <c r="H771" i="6"/>
  <c r="H772" i="6"/>
  <c r="H773" i="6"/>
  <c r="H774" i="6"/>
  <c r="H775" i="6"/>
  <c r="H776" i="6"/>
  <c r="H777" i="6"/>
  <c r="H778" i="6"/>
  <c r="H779" i="6"/>
  <c r="H780" i="6"/>
  <c r="H781" i="6"/>
  <c r="H782" i="6"/>
  <c r="H783" i="6"/>
  <c r="H784" i="6"/>
  <c r="H785" i="6"/>
  <c r="H751" i="6"/>
  <c r="H752" i="6"/>
  <c r="H753" i="6"/>
  <c r="H754" i="6"/>
  <c r="H755" i="6"/>
  <c r="H756" i="6"/>
  <c r="H757" i="6"/>
  <c r="H758" i="6"/>
  <c r="H759" i="6"/>
  <c r="H760" i="6"/>
  <c r="H761" i="6"/>
  <c r="H762" i="6"/>
  <c r="H763" i="6"/>
  <c r="H764" i="6"/>
  <c r="H765" i="6"/>
  <c r="H766" i="6"/>
  <c r="H732" i="6"/>
  <c r="H733" i="6"/>
  <c r="H734" i="6"/>
  <c r="H735" i="6"/>
  <c r="H736" i="6"/>
  <c r="H737" i="6"/>
  <c r="H738" i="6"/>
  <c r="H739" i="6"/>
  <c r="H740" i="6"/>
  <c r="H741" i="6"/>
  <c r="H742" i="6"/>
  <c r="H743" i="6"/>
  <c r="H744" i="6"/>
  <c r="H745" i="6"/>
  <c r="H746" i="6"/>
  <c r="H747" i="6"/>
  <c r="H713" i="6"/>
  <c r="H714" i="6"/>
  <c r="H715" i="6"/>
  <c r="H716" i="6"/>
  <c r="H717" i="6"/>
  <c r="H718" i="6"/>
  <c r="H719" i="6"/>
  <c r="H720" i="6"/>
  <c r="H721" i="6"/>
  <c r="H722" i="6"/>
  <c r="H723" i="6"/>
  <c r="H724" i="6"/>
  <c r="H725" i="6"/>
  <c r="H726" i="6"/>
  <c r="H727" i="6"/>
  <c r="H728" i="6"/>
  <c r="H694" i="6"/>
  <c r="H695" i="6"/>
  <c r="H696" i="6"/>
  <c r="H697" i="6"/>
  <c r="H698" i="6"/>
  <c r="H699" i="6"/>
  <c r="H700" i="6"/>
  <c r="H701" i="6"/>
  <c r="H702" i="6"/>
  <c r="H703" i="6"/>
  <c r="H704" i="6"/>
  <c r="H705" i="6"/>
  <c r="H706" i="6"/>
  <c r="H707" i="6"/>
  <c r="H708" i="6"/>
  <c r="H709" i="6"/>
  <c r="H675" i="6"/>
  <c r="H677" i="6"/>
  <c r="H678" i="6"/>
  <c r="H679" i="6"/>
  <c r="H680" i="6"/>
  <c r="H681" i="6"/>
  <c r="H682" i="6"/>
  <c r="H683" i="6"/>
  <c r="H684" i="6"/>
  <c r="H685" i="6"/>
  <c r="H686" i="6"/>
  <c r="H687" i="6"/>
  <c r="H688" i="6"/>
  <c r="H689" i="6"/>
  <c r="H690" i="6"/>
  <c r="H656" i="6"/>
  <c r="H657" i="6"/>
  <c r="H658" i="6"/>
  <c r="H659" i="6"/>
  <c r="H660" i="6"/>
  <c r="H661" i="6"/>
  <c r="H662" i="6"/>
  <c r="H663" i="6"/>
  <c r="H664" i="6"/>
  <c r="H665" i="6"/>
  <c r="H666" i="6"/>
  <c r="H667" i="6"/>
  <c r="H668" i="6"/>
  <c r="H669" i="6"/>
  <c r="H670" i="6"/>
  <c r="H671" i="6"/>
  <c r="H637" i="6"/>
  <c r="H638" i="6"/>
  <c r="H639" i="6"/>
  <c r="H640" i="6"/>
  <c r="H641" i="6"/>
  <c r="H642" i="6"/>
  <c r="H643" i="6"/>
  <c r="H644" i="6"/>
  <c r="H645" i="6"/>
  <c r="H646" i="6"/>
  <c r="H647" i="6"/>
  <c r="H648" i="6"/>
  <c r="H649" i="6"/>
  <c r="H650" i="6"/>
  <c r="H651" i="6"/>
  <c r="H652" i="6"/>
  <c r="H580" i="6"/>
  <c r="H581" i="6"/>
  <c r="H582" i="6"/>
  <c r="H583" i="6"/>
  <c r="H584" i="6"/>
  <c r="H585" i="6"/>
  <c r="H586" i="6"/>
  <c r="H587" i="6"/>
  <c r="H588" i="6"/>
  <c r="H589" i="6"/>
  <c r="H590" i="6"/>
  <c r="H591" i="6"/>
  <c r="H592" i="6"/>
  <c r="H593" i="6"/>
  <c r="H594" i="6"/>
  <c r="H595" i="6"/>
  <c r="H428" i="6"/>
  <c r="H429" i="6"/>
  <c r="H430" i="6"/>
  <c r="H431" i="6"/>
  <c r="H432" i="6"/>
  <c r="H433" i="6"/>
  <c r="H434" i="6"/>
  <c r="H435" i="6"/>
  <c r="H436" i="6"/>
  <c r="H437" i="6"/>
  <c r="H438" i="6"/>
  <c r="H439" i="6"/>
  <c r="H440" i="6"/>
  <c r="H441" i="6"/>
  <c r="H442" i="6"/>
  <c r="H443" i="6"/>
  <c r="H6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B922" i="6"/>
  <c r="B923" i="6"/>
  <c r="B924" i="6"/>
  <c r="B925" i="6"/>
  <c r="B926" i="6"/>
  <c r="B927" i="6"/>
  <c r="B928" i="6"/>
  <c r="B929" i="6"/>
  <c r="B930" i="6"/>
  <c r="B931" i="6"/>
  <c r="B932" i="6"/>
  <c r="B933" i="6"/>
  <c r="B934" i="6"/>
  <c r="B935" i="6"/>
  <c r="B936" i="6"/>
  <c r="B937" i="6"/>
  <c r="B846" i="6"/>
  <c r="B847" i="6"/>
  <c r="B848" i="6"/>
  <c r="B849" i="6"/>
  <c r="B850" i="6"/>
  <c r="B851" i="6"/>
  <c r="B852" i="6"/>
  <c r="B853" i="6"/>
  <c r="B854" i="6"/>
  <c r="B855" i="6"/>
  <c r="B856" i="6"/>
  <c r="B857" i="6"/>
  <c r="B858" i="6"/>
  <c r="B859" i="6"/>
  <c r="B860" i="6"/>
  <c r="B861" i="6"/>
  <c r="B789" i="6"/>
  <c r="B790" i="6"/>
  <c r="B791" i="6"/>
  <c r="B792" i="6"/>
  <c r="B793" i="6"/>
  <c r="B794" i="6"/>
  <c r="B795" i="6"/>
  <c r="B796" i="6"/>
  <c r="B797" i="6"/>
  <c r="B798" i="6"/>
  <c r="B799" i="6"/>
  <c r="B800" i="6"/>
  <c r="B801" i="6"/>
  <c r="B802" i="6"/>
  <c r="B803" i="6"/>
  <c r="B804" i="6"/>
  <c r="G28" i="7" l="1"/>
  <c r="G24" i="7"/>
  <c r="G20" i="7"/>
  <c r="G16" i="7"/>
  <c r="G12" i="7"/>
  <c r="G8" i="7"/>
  <c r="G30" i="7" s="1"/>
  <c r="L10" i="6" l="1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B29" i="6"/>
  <c r="L29" i="6"/>
  <c r="B30" i="6"/>
  <c r="L30" i="6"/>
  <c r="B31" i="6"/>
  <c r="L31" i="6"/>
  <c r="B32" i="6"/>
  <c r="L32" i="6"/>
  <c r="B33" i="6"/>
  <c r="L33" i="6"/>
  <c r="B34" i="6"/>
  <c r="L34" i="6"/>
  <c r="B35" i="6"/>
  <c r="L35" i="6"/>
  <c r="B36" i="6"/>
  <c r="L36" i="6"/>
  <c r="B37" i="6"/>
  <c r="L37" i="6"/>
  <c r="B38" i="6"/>
  <c r="L38" i="6"/>
  <c r="B39" i="6"/>
  <c r="L39" i="6"/>
  <c r="B40" i="6"/>
  <c r="L40" i="6"/>
  <c r="B41" i="6"/>
  <c r="L41" i="6"/>
  <c r="B42" i="6"/>
  <c r="L42" i="6"/>
  <c r="B43" i="6"/>
  <c r="L43" i="6"/>
  <c r="B44" i="6"/>
  <c r="L44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219" i="6"/>
  <c r="B220" i="6"/>
  <c r="B221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8" i="6"/>
  <c r="C238" i="6" s="1"/>
  <c r="H238" i="6" s="1"/>
  <c r="B239" i="6"/>
  <c r="C239" i="6" s="1"/>
  <c r="H239" i="6" s="1"/>
  <c r="B240" i="6"/>
  <c r="C240" i="6" s="1"/>
  <c r="H240" i="6" s="1"/>
  <c r="B241" i="6"/>
  <c r="C241" i="6" s="1"/>
  <c r="H241" i="6" s="1"/>
  <c r="B242" i="6"/>
  <c r="C242" i="6" s="1"/>
  <c r="H242" i="6" s="1"/>
  <c r="B243" i="6"/>
  <c r="C243" i="6" s="1"/>
  <c r="H243" i="6" s="1"/>
  <c r="B244" i="6"/>
  <c r="C244" i="6" s="1"/>
  <c r="H244" i="6" s="1"/>
  <c r="B245" i="6"/>
  <c r="C245" i="6" s="1"/>
  <c r="H245" i="6" s="1"/>
  <c r="B246" i="6"/>
  <c r="C246" i="6" s="1"/>
  <c r="H246" i="6" s="1"/>
  <c r="B247" i="6"/>
  <c r="C247" i="6" s="1"/>
  <c r="H247" i="6" s="1"/>
  <c r="B248" i="6"/>
  <c r="C248" i="6" s="1"/>
  <c r="H248" i="6" s="1"/>
  <c r="B249" i="6"/>
  <c r="C249" i="6" s="1"/>
  <c r="H249" i="6" s="1"/>
  <c r="B250" i="6"/>
  <c r="C250" i="6" s="1"/>
  <c r="H250" i="6" s="1"/>
  <c r="B251" i="6"/>
  <c r="C251" i="6" s="1"/>
  <c r="H251" i="6" s="1"/>
  <c r="B252" i="6"/>
  <c r="C252" i="6" s="1"/>
  <c r="H252" i="6" s="1"/>
  <c r="B253" i="6"/>
  <c r="C253" i="6" s="1"/>
  <c r="H253" i="6" s="1"/>
  <c r="B257" i="6"/>
  <c r="C257" i="6" s="1"/>
  <c r="H257" i="6" s="1"/>
  <c r="B258" i="6"/>
  <c r="C258" i="6" s="1"/>
  <c r="H258" i="6" s="1"/>
  <c r="B259" i="6"/>
  <c r="C259" i="6" s="1"/>
  <c r="H259" i="6" s="1"/>
  <c r="B260" i="6"/>
  <c r="C260" i="6" s="1"/>
  <c r="H260" i="6" s="1"/>
  <c r="B261" i="6"/>
  <c r="C261" i="6" s="1"/>
  <c r="H261" i="6" s="1"/>
  <c r="B262" i="6"/>
  <c r="C262" i="6" s="1"/>
  <c r="H262" i="6" s="1"/>
  <c r="B263" i="6"/>
  <c r="C263" i="6" s="1"/>
  <c r="H263" i="6" s="1"/>
  <c r="B264" i="6"/>
  <c r="C264" i="6" s="1"/>
  <c r="H264" i="6" s="1"/>
  <c r="B265" i="6"/>
  <c r="C265" i="6" s="1"/>
  <c r="H265" i="6" s="1"/>
  <c r="B266" i="6"/>
  <c r="C266" i="6" s="1"/>
  <c r="H266" i="6" s="1"/>
  <c r="B267" i="6"/>
  <c r="C267" i="6" s="1"/>
  <c r="H267" i="6" s="1"/>
  <c r="B268" i="6"/>
  <c r="C268" i="6" s="1"/>
  <c r="H268" i="6" s="1"/>
  <c r="B269" i="6"/>
  <c r="C269" i="6" s="1"/>
  <c r="H269" i="6" s="1"/>
  <c r="B270" i="6"/>
  <c r="C270" i="6" s="1"/>
  <c r="H270" i="6" s="1"/>
  <c r="B271" i="6"/>
  <c r="C271" i="6" s="1"/>
  <c r="H271" i="6" s="1"/>
  <c r="B272" i="6"/>
  <c r="C272" i="6" s="1"/>
  <c r="H272" i="6" s="1"/>
  <c r="B276" i="6"/>
  <c r="C276" i="6" s="1"/>
  <c r="H276" i="6" s="1"/>
  <c r="B277" i="6"/>
  <c r="C277" i="6" s="1"/>
  <c r="H277" i="6" s="1"/>
  <c r="B278" i="6"/>
  <c r="C278" i="6" s="1"/>
  <c r="H278" i="6" s="1"/>
  <c r="B279" i="6"/>
  <c r="C279" i="6" s="1"/>
  <c r="H279" i="6" s="1"/>
  <c r="B280" i="6"/>
  <c r="C280" i="6" s="1"/>
  <c r="H280" i="6" s="1"/>
  <c r="B281" i="6"/>
  <c r="C281" i="6" s="1"/>
  <c r="H281" i="6" s="1"/>
  <c r="B282" i="6"/>
  <c r="C282" i="6" s="1"/>
  <c r="H282" i="6" s="1"/>
  <c r="B283" i="6"/>
  <c r="C283" i="6" s="1"/>
  <c r="H283" i="6" s="1"/>
  <c r="B284" i="6"/>
  <c r="C284" i="6" s="1"/>
  <c r="H284" i="6" s="1"/>
  <c r="B285" i="6"/>
  <c r="C285" i="6" s="1"/>
  <c r="H285" i="6" s="1"/>
  <c r="B286" i="6"/>
  <c r="C286" i="6" s="1"/>
  <c r="H286" i="6" s="1"/>
  <c r="B287" i="6"/>
  <c r="C287" i="6" s="1"/>
  <c r="H287" i="6" s="1"/>
  <c r="B288" i="6"/>
  <c r="C288" i="6" s="1"/>
  <c r="H288" i="6" s="1"/>
  <c r="B289" i="6"/>
  <c r="C289" i="6" s="1"/>
  <c r="H289" i="6" s="1"/>
  <c r="B290" i="6"/>
  <c r="C290" i="6" s="1"/>
  <c r="H290" i="6" s="1"/>
  <c r="B291" i="6"/>
  <c r="C291" i="6" s="1"/>
  <c r="H291" i="6" s="1"/>
  <c r="B295" i="6"/>
  <c r="C295" i="6" s="1"/>
  <c r="H295" i="6" s="1"/>
  <c r="B296" i="6"/>
  <c r="C296" i="6" s="1"/>
  <c r="H296" i="6" s="1"/>
  <c r="B297" i="6"/>
  <c r="C297" i="6" s="1"/>
  <c r="H297" i="6" s="1"/>
  <c r="B298" i="6"/>
  <c r="C298" i="6" s="1"/>
  <c r="H298" i="6" s="1"/>
  <c r="B299" i="6"/>
  <c r="C299" i="6" s="1"/>
  <c r="H299" i="6" s="1"/>
  <c r="B300" i="6"/>
  <c r="C300" i="6" s="1"/>
  <c r="H300" i="6" s="1"/>
  <c r="B301" i="6"/>
  <c r="C301" i="6" s="1"/>
  <c r="H301" i="6" s="1"/>
  <c r="B302" i="6"/>
  <c r="C302" i="6" s="1"/>
  <c r="H302" i="6" s="1"/>
  <c r="B303" i="6"/>
  <c r="C303" i="6" s="1"/>
  <c r="H303" i="6" s="1"/>
  <c r="B304" i="6"/>
  <c r="C304" i="6" s="1"/>
  <c r="H304" i="6" s="1"/>
  <c r="B305" i="6"/>
  <c r="C305" i="6" s="1"/>
  <c r="H305" i="6" s="1"/>
  <c r="B306" i="6"/>
  <c r="C306" i="6" s="1"/>
  <c r="H306" i="6" s="1"/>
  <c r="B307" i="6"/>
  <c r="C307" i="6" s="1"/>
  <c r="H307" i="6" s="1"/>
  <c r="B308" i="6"/>
  <c r="C308" i="6" s="1"/>
  <c r="H308" i="6" s="1"/>
  <c r="B309" i="6"/>
  <c r="C309" i="6" s="1"/>
  <c r="H309" i="6" s="1"/>
  <c r="B310" i="6"/>
  <c r="C310" i="6" s="1"/>
  <c r="H310" i="6" s="1"/>
  <c r="B314" i="6"/>
  <c r="C314" i="6" s="1"/>
  <c r="H314" i="6" s="1"/>
  <c r="B315" i="6"/>
  <c r="C315" i="6" s="1"/>
  <c r="H315" i="6" s="1"/>
  <c r="B316" i="6"/>
  <c r="C316" i="6" s="1"/>
  <c r="H316" i="6" s="1"/>
  <c r="B317" i="6"/>
  <c r="C317" i="6" s="1"/>
  <c r="H317" i="6" s="1"/>
  <c r="B318" i="6"/>
  <c r="C318" i="6" s="1"/>
  <c r="H318" i="6" s="1"/>
  <c r="B319" i="6"/>
  <c r="C319" i="6" s="1"/>
  <c r="H319" i="6" s="1"/>
  <c r="B320" i="6"/>
  <c r="C320" i="6" s="1"/>
  <c r="H320" i="6" s="1"/>
  <c r="B321" i="6"/>
  <c r="C321" i="6" s="1"/>
  <c r="H321" i="6" s="1"/>
  <c r="B322" i="6"/>
  <c r="C322" i="6" s="1"/>
  <c r="H322" i="6" s="1"/>
  <c r="B323" i="6"/>
  <c r="C323" i="6" s="1"/>
  <c r="H323" i="6" s="1"/>
  <c r="B324" i="6"/>
  <c r="C324" i="6" s="1"/>
  <c r="H324" i="6" s="1"/>
  <c r="B325" i="6"/>
  <c r="C325" i="6" s="1"/>
  <c r="H325" i="6" s="1"/>
  <c r="B326" i="6"/>
  <c r="C326" i="6" s="1"/>
  <c r="H326" i="6" s="1"/>
  <c r="B327" i="6"/>
  <c r="C327" i="6" s="1"/>
  <c r="H327" i="6" s="1"/>
  <c r="B328" i="6"/>
  <c r="C328" i="6" s="1"/>
  <c r="H328" i="6" s="1"/>
  <c r="B329" i="6"/>
  <c r="C329" i="6" s="1"/>
  <c r="H329" i="6" s="1"/>
  <c r="B333" i="6"/>
  <c r="C333" i="6" s="1"/>
  <c r="H333" i="6" s="1"/>
  <c r="B334" i="6"/>
  <c r="C334" i="6" s="1"/>
  <c r="H334" i="6" s="1"/>
  <c r="B335" i="6"/>
  <c r="C335" i="6" s="1"/>
  <c r="H335" i="6" s="1"/>
  <c r="B336" i="6"/>
  <c r="C336" i="6" s="1"/>
  <c r="H336" i="6" s="1"/>
  <c r="B337" i="6"/>
  <c r="C337" i="6" s="1"/>
  <c r="H337" i="6" s="1"/>
  <c r="B338" i="6"/>
  <c r="C338" i="6" s="1"/>
  <c r="H338" i="6" s="1"/>
  <c r="B339" i="6"/>
  <c r="C339" i="6" s="1"/>
  <c r="H339" i="6" s="1"/>
  <c r="B340" i="6"/>
  <c r="C340" i="6" s="1"/>
  <c r="H340" i="6" s="1"/>
  <c r="B341" i="6"/>
  <c r="C341" i="6" s="1"/>
  <c r="H341" i="6" s="1"/>
  <c r="B342" i="6"/>
  <c r="C342" i="6" s="1"/>
  <c r="H342" i="6" s="1"/>
  <c r="B343" i="6"/>
  <c r="C343" i="6" s="1"/>
  <c r="H343" i="6" s="1"/>
  <c r="B344" i="6"/>
  <c r="C344" i="6" s="1"/>
  <c r="H344" i="6" s="1"/>
  <c r="B345" i="6"/>
  <c r="C345" i="6" s="1"/>
  <c r="H345" i="6" s="1"/>
  <c r="B346" i="6"/>
  <c r="C346" i="6" s="1"/>
  <c r="H346" i="6" s="1"/>
  <c r="B347" i="6"/>
  <c r="C347" i="6" s="1"/>
  <c r="H347" i="6" s="1"/>
  <c r="B348" i="6"/>
  <c r="C348" i="6" s="1"/>
  <c r="H348" i="6" s="1"/>
  <c r="B352" i="6"/>
  <c r="C352" i="6" s="1"/>
  <c r="H352" i="6" s="1"/>
  <c r="B353" i="6"/>
  <c r="C353" i="6" s="1"/>
  <c r="H353" i="6" s="1"/>
  <c r="B354" i="6"/>
  <c r="C354" i="6" s="1"/>
  <c r="H354" i="6" s="1"/>
  <c r="B355" i="6"/>
  <c r="C355" i="6" s="1"/>
  <c r="H355" i="6" s="1"/>
  <c r="B356" i="6"/>
  <c r="C356" i="6" s="1"/>
  <c r="H356" i="6" s="1"/>
  <c r="B357" i="6"/>
  <c r="C357" i="6" s="1"/>
  <c r="H357" i="6" s="1"/>
  <c r="B358" i="6"/>
  <c r="C358" i="6" s="1"/>
  <c r="H358" i="6" s="1"/>
  <c r="B359" i="6"/>
  <c r="C359" i="6" s="1"/>
  <c r="H359" i="6" s="1"/>
  <c r="B360" i="6"/>
  <c r="C360" i="6" s="1"/>
  <c r="H360" i="6" s="1"/>
  <c r="B361" i="6"/>
  <c r="C361" i="6" s="1"/>
  <c r="H361" i="6" s="1"/>
  <c r="B362" i="6"/>
  <c r="C362" i="6" s="1"/>
  <c r="H362" i="6" s="1"/>
  <c r="B363" i="6"/>
  <c r="C363" i="6" s="1"/>
  <c r="H363" i="6" s="1"/>
  <c r="B364" i="6"/>
  <c r="C364" i="6" s="1"/>
  <c r="H364" i="6" s="1"/>
  <c r="B365" i="6"/>
  <c r="C365" i="6" s="1"/>
  <c r="H365" i="6" s="1"/>
  <c r="B366" i="6"/>
  <c r="C366" i="6" s="1"/>
  <c r="H366" i="6" s="1"/>
  <c r="B367" i="6"/>
  <c r="C367" i="6" s="1"/>
  <c r="H367" i="6" s="1"/>
  <c r="B371" i="6"/>
  <c r="C371" i="6" s="1"/>
  <c r="B372" i="6"/>
  <c r="C372" i="6" s="1"/>
  <c r="B373" i="6"/>
  <c r="C373" i="6" s="1"/>
  <c r="B374" i="6"/>
  <c r="C374" i="6" s="1"/>
  <c r="B375" i="6"/>
  <c r="C375" i="6" s="1"/>
  <c r="B376" i="6"/>
  <c r="C376" i="6" s="1"/>
  <c r="B377" i="6"/>
  <c r="C377" i="6" s="1"/>
  <c r="B378" i="6"/>
  <c r="C378" i="6" s="1"/>
  <c r="B379" i="6"/>
  <c r="C379" i="6" s="1"/>
  <c r="B380" i="6"/>
  <c r="C380" i="6" s="1"/>
  <c r="B381" i="6"/>
  <c r="C381" i="6" s="1"/>
  <c r="B382" i="6"/>
  <c r="C382" i="6" s="1"/>
  <c r="B383" i="6"/>
  <c r="C383" i="6" s="1"/>
  <c r="B384" i="6"/>
  <c r="C384" i="6" s="1"/>
  <c r="B385" i="6"/>
  <c r="C385" i="6" s="1"/>
  <c r="B386" i="6"/>
  <c r="C386" i="6" s="1"/>
  <c r="B390" i="6"/>
  <c r="B391" i="6"/>
  <c r="B392" i="6"/>
  <c r="B393" i="6"/>
  <c r="B394" i="6"/>
  <c r="B395" i="6"/>
  <c r="B396" i="6"/>
  <c r="B397" i="6"/>
  <c r="B398" i="6"/>
  <c r="B399" i="6"/>
  <c r="B400" i="6"/>
  <c r="B401" i="6"/>
  <c r="B402" i="6"/>
  <c r="B403" i="6"/>
  <c r="B404" i="6"/>
  <c r="B405" i="6"/>
  <c r="B409" i="6"/>
  <c r="B410" i="6"/>
  <c r="B411" i="6"/>
  <c r="B412" i="6"/>
  <c r="B413" i="6"/>
  <c r="B414" i="6"/>
  <c r="B415" i="6"/>
  <c r="B416" i="6"/>
  <c r="B417" i="6"/>
  <c r="B418" i="6"/>
  <c r="B419" i="6"/>
  <c r="B420" i="6"/>
  <c r="B421" i="6"/>
  <c r="B422" i="6"/>
  <c r="B423" i="6"/>
  <c r="B424" i="6"/>
  <c r="B428" i="6"/>
  <c r="B429" i="6"/>
  <c r="B430" i="6"/>
  <c r="B431" i="6"/>
  <c r="B432" i="6"/>
  <c r="B433" i="6"/>
  <c r="B434" i="6"/>
  <c r="B435" i="6"/>
  <c r="B436" i="6"/>
  <c r="B437" i="6"/>
  <c r="B438" i="6"/>
  <c r="B439" i="6"/>
  <c r="B440" i="6"/>
  <c r="B441" i="6"/>
  <c r="B442" i="6"/>
  <c r="B443" i="6"/>
  <c r="B447" i="6"/>
  <c r="C447" i="6" s="1"/>
  <c r="H447" i="6" s="1"/>
  <c r="B448" i="6"/>
  <c r="C448" i="6" s="1"/>
  <c r="H448" i="6" s="1"/>
  <c r="B449" i="6"/>
  <c r="C449" i="6" s="1"/>
  <c r="H449" i="6" s="1"/>
  <c r="B450" i="6"/>
  <c r="C450" i="6" s="1"/>
  <c r="H450" i="6" s="1"/>
  <c r="B451" i="6"/>
  <c r="C451" i="6" s="1"/>
  <c r="H451" i="6" s="1"/>
  <c r="B452" i="6"/>
  <c r="C452" i="6" s="1"/>
  <c r="H452" i="6" s="1"/>
  <c r="B453" i="6"/>
  <c r="C453" i="6" s="1"/>
  <c r="H453" i="6" s="1"/>
  <c r="B454" i="6"/>
  <c r="C454" i="6" s="1"/>
  <c r="H454" i="6" s="1"/>
  <c r="B455" i="6"/>
  <c r="C455" i="6" s="1"/>
  <c r="H455" i="6" s="1"/>
  <c r="B456" i="6"/>
  <c r="C456" i="6" s="1"/>
  <c r="H456" i="6" s="1"/>
  <c r="B457" i="6"/>
  <c r="C457" i="6" s="1"/>
  <c r="H457" i="6" s="1"/>
  <c r="B458" i="6"/>
  <c r="C458" i="6" s="1"/>
  <c r="H458" i="6" s="1"/>
  <c r="B459" i="6"/>
  <c r="C459" i="6" s="1"/>
  <c r="H459" i="6" s="1"/>
  <c r="B460" i="6"/>
  <c r="C460" i="6" s="1"/>
  <c r="H460" i="6" s="1"/>
  <c r="B461" i="6"/>
  <c r="C461" i="6" s="1"/>
  <c r="H461" i="6" s="1"/>
  <c r="B462" i="6"/>
  <c r="C462" i="6" s="1"/>
  <c r="H462" i="6" s="1"/>
  <c r="B466" i="6"/>
  <c r="C466" i="6" s="1"/>
  <c r="H466" i="6" s="1"/>
  <c r="B467" i="6"/>
  <c r="C467" i="6" s="1"/>
  <c r="H467" i="6" s="1"/>
  <c r="B468" i="6"/>
  <c r="C468" i="6" s="1"/>
  <c r="H468" i="6" s="1"/>
  <c r="B469" i="6"/>
  <c r="C469" i="6" s="1"/>
  <c r="H469" i="6" s="1"/>
  <c r="B470" i="6"/>
  <c r="C470" i="6" s="1"/>
  <c r="H470" i="6" s="1"/>
  <c r="B471" i="6"/>
  <c r="C471" i="6" s="1"/>
  <c r="H471" i="6" s="1"/>
  <c r="B472" i="6"/>
  <c r="C472" i="6" s="1"/>
  <c r="H472" i="6" s="1"/>
  <c r="B473" i="6"/>
  <c r="C473" i="6" s="1"/>
  <c r="H473" i="6" s="1"/>
  <c r="B474" i="6"/>
  <c r="C474" i="6" s="1"/>
  <c r="H474" i="6" s="1"/>
  <c r="B475" i="6"/>
  <c r="C475" i="6" s="1"/>
  <c r="H475" i="6" s="1"/>
  <c r="B476" i="6"/>
  <c r="C476" i="6" s="1"/>
  <c r="H476" i="6" s="1"/>
  <c r="B477" i="6"/>
  <c r="C477" i="6" s="1"/>
  <c r="H477" i="6" s="1"/>
  <c r="B478" i="6"/>
  <c r="C478" i="6" s="1"/>
  <c r="H478" i="6" s="1"/>
  <c r="B479" i="6"/>
  <c r="C479" i="6" s="1"/>
  <c r="H479" i="6" s="1"/>
  <c r="B480" i="6"/>
  <c r="C480" i="6" s="1"/>
  <c r="H480" i="6" s="1"/>
  <c r="B481" i="6"/>
  <c r="C481" i="6" s="1"/>
  <c r="H481" i="6" s="1"/>
  <c r="B485" i="6"/>
  <c r="C485" i="6" s="1"/>
  <c r="H485" i="6" s="1"/>
  <c r="B486" i="6"/>
  <c r="C486" i="6" s="1"/>
  <c r="H486" i="6" s="1"/>
  <c r="B487" i="6"/>
  <c r="C487" i="6" s="1"/>
  <c r="H487" i="6" s="1"/>
  <c r="B488" i="6"/>
  <c r="C488" i="6" s="1"/>
  <c r="H488" i="6" s="1"/>
  <c r="B489" i="6"/>
  <c r="C489" i="6" s="1"/>
  <c r="H489" i="6" s="1"/>
  <c r="B490" i="6"/>
  <c r="C490" i="6" s="1"/>
  <c r="H490" i="6" s="1"/>
  <c r="B491" i="6"/>
  <c r="C491" i="6" s="1"/>
  <c r="H491" i="6" s="1"/>
  <c r="B492" i="6"/>
  <c r="C492" i="6" s="1"/>
  <c r="H492" i="6" s="1"/>
  <c r="B493" i="6"/>
  <c r="C493" i="6" s="1"/>
  <c r="H493" i="6" s="1"/>
  <c r="B494" i="6"/>
  <c r="C494" i="6" s="1"/>
  <c r="H494" i="6" s="1"/>
  <c r="B495" i="6"/>
  <c r="C495" i="6" s="1"/>
  <c r="H495" i="6" s="1"/>
  <c r="B496" i="6"/>
  <c r="C496" i="6" s="1"/>
  <c r="H496" i="6" s="1"/>
  <c r="B497" i="6"/>
  <c r="C497" i="6" s="1"/>
  <c r="H497" i="6" s="1"/>
  <c r="B498" i="6"/>
  <c r="C498" i="6" s="1"/>
  <c r="H498" i="6" s="1"/>
  <c r="B499" i="6"/>
  <c r="C499" i="6" s="1"/>
  <c r="H499" i="6" s="1"/>
  <c r="B500" i="6"/>
  <c r="C500" i="6" s="1"/>
  <c r="H500" i="6" s="1"/>
  <c r="B504" i="6"/>
  <c r="C504" i="6" s="1"/>
  <c r="H504" i="6" s="1"/>
  <c r="B505" i="6"/>
  <c r="C505" i="6" s="1"/>
  <c r="H505" i="6" s="1"/>
  <c r="B506" i="6"/>
  <c r="C506" i="6" s="1"/>
  <c r="H506" i="6" s="1"/>
  <c r="B507" i="6"/>
  <c r="C507" i="6" s="1"/>
  <c r="H507" i="6" s="1"/>
  <c r="B508" i="6"/>
  <c r="C508" i="6" s="1"/>
  <c r="H508" i="6" s="1"/>
  <c r="B509" i="6"/>
  <c r="C509" i="6" s="1"/>
  <c r="H509" i="6" s="1"/>
  <c r="B510" i="6"/>
  <c r="C510" i="6" s="1"/>
  <c r="H510" i="6" s="1"/>
  <c r="B511" i="6"/>
  <c r="C511" i="6" s="1"/>
  <c r="H511" i="6" s="1"/>
  <c r="B512" i="6"/>
  <c r="C512" i="6" s="1"/>
  <c r="H512" i="6" s="1"/>
  <c r="B513" i="6"/>
  <c r="C513" i="6" s="1"/>
  <c r="H513" i="6" s="1"/>
  <c r="B514" i="6"/>
  <c r="C514" i="6" s="1"/>
  <c r="H514" i="6" s="1"/>
  <c r="B515" i="6"/>
  <c r="C515" i="6" s="1"/>
  <c r="H515" i="6" s="1"/>
  <c r="B516" i="6"/>
  <c r="C516" i="6" s="1"/>
  <c r="H516" i="6" s="1"/>
  <c r="B517" i="6"/>
  <c r="C517" i="6" s="1"/>
  <c r="H517" i="6" s="1"/>
  <c r="B518" i="6"/>
  <c r="C518" i="6" s="1"/>
  <c r="H518" i="6" s="1"/>
  <c r="B519" i="6"/>
  <c r="C519" i="6" s="1"/>
  <c r="H519" i="6" s="1"/>
  <c r="B523" i="6"/>
  <c r="C523" i="6" s="1"/>
  <c r="H523" i="6" s="1"/>
  <c r="B524" i="6"/>
  <c r="C524" i="6" s="1"/>
  <c r="H524" i="6" s="1"/>
  <c r="B525" i="6"/>
  <c r="C525" i="6" s="1"/>
  <c r="H525" i="6" s="1"/>
  <c r="B526" i="6"/>
  <c r="C526" i="6" s="1"/>
  <c r="H526" i="6" s="1"/>
  <c r="B527" i="6"/>
  <c r="C527" i="6" s="1"/>
  <c r="H527" i="6" s="1"/>
  <c r="B528" i="6"/>
  <c r="C528" i="6" s="1"/>
  <c r="H528" i="6" s="1"/>
  <c r="B529" i="6"/>
  <c r="C529" i="6" s="1"/>
  <c r="H529" i="6" s="1"/>
  <c r="B530" i="6"/>
  <c r="C530" i="6" s="1"/>
  <c r="H530" i="6" s="1"/>
  <c r="B531" i="6"/>
  <c r="C531" i="6" s="1"/>
  <c r="H531" i="6" s="1"/>
  <c r="B532" i="6"/>
  <c r="C532" i="6" s="1"/>
  <c r="H532" i="6" s="1"/>
  <c r="B533" i="6"/>
  <c r="C533" i="6" s="1"/>
  <c r="H533" i="6" s="1"/>
  <c r="B534" i="6"/>
  <c r="C534" i="6" s="1"/>
  <c r="H534" i="6" s="1"/>
  <c r="B535" i="6"/>
  <c r="C535" i="6" s="1"/>
  <c r="H535" i="6" s="1"/>
  <c r="B536" i="6"/>
  <c r="C536" i="6" s="1"/>
  <c r="H536" i="6" s="1"/>
  <c r="B537" i="6"/>
  <c r="C537" i="6" s="1"/>
  <c r="H537" i="6" s="1"/>
  <c r="B538" i="6"/>
  <c r="C538" i="6" s="1"/>
  <c r="H538" i="6" s="1"/>
  <c r="B542" i="6"/>
  <c r="C542" i="6" s="1"/>
  <c r="H542" i="6" s="1"/>
  <c r="B543" i="6"/>
  <c r="C543" i="6" s="1"/>
  <c r="H543" i="6" s="1"/>
  <c r="B544" i="6"/>
  <c r="C544" i="6" s="1"/>
  <c r="H544" i="6" s="1"/>
  <c r="B545" i="6"/>
  <c r="C545" i="6" s="1"/>
  <c r="H545" i="6" s="1"/>
  <c r="B546" i="6"/>
  <c r="C546" i="6" s="1"/>
  <c r="H546" i="6" s="1"/>
  <c r="B547" i="6"/>
  <c r="C547" i="6" s="1"/>
  <c r="H547" i="6" s="1"/>
  <c r="B548" i="6"/>
  <c r="C548" i="6" s="1"/>
  <c r="H548" i="6" s="1"/>
  <c r="B549" i="6"/>
  <c r="C549" i="6" s="1"/>
  <c r="H549" i="6" s="1"/>
  <c r="B550" i="6"/>
  <c r="C550" i="6" s="1"/>
  <c r="H550" i="6" s="1"/>
  <c r="B551" i="6"/>
  <c r="C551" i="6" s="1"/>
  <c r="H551" i="6" s="1"/>
  <c r="B552" i="6"/>
  <c r="C552" i="6" s="1"/>
  <c r="H552" i="6" s="1"/>
  <c r="B553" i="6"/>
  <c r="C553" i="6" s="1"/>
  <c r="H553" i="6" s="1"/>
  <c r="B554" i="6"/>
  <c r="C554" i="6" s="1"/>
  <c r="H554" i="6" s="1"/>
  <c r="B555" i="6"/>
  <c r="C555" i="6" s="1"/>
  <c r="H555" i="6" s="1"/>
  <c r="B556" i="6"/>
  <c r="C556" i="6" s="1"/>
  <c r="H556" i="6" s="1"/>
  <c r="B557" i="6"/>
  <c r="C557" i="6" s="1"/>
  <c r="H557" i="6" s="1"/>
  <c r="B561" i="6"/>
  <c r="C561" i="6" s="1"/>
  <c r="H561" i="6" s="1"/>
  <c r="B562" i="6"/>
  <c r="C562" i="6" s="1"/>
  <c r="H562" i="6" s="1"/>
  <c r="B563" i="6"/>
  <c r="C563" i="6" s="1"/>
  <c r="H563" i="6" s="1"/>
  <c r="B564" i="6"/>
  <c r="C564" i="6" s="1"/>
  <c r="H564" i="6" s="1"/>
  <c r="B565" i="6"/>
  <c r="C565" i="6" s="1"/>
  <c r="H565" i="6" s="1"/>
  <c r="B566" i="6"/>
  <c r="C566" i="6" s="1"/>
  <c r="H566" i="6" s="1"/>
  <c r="B567" i="6"/>
  <c r="C567" i="6" s="1"/>
  <c r="H567" i="6" s="1"/>
  <c r="B568" i="6"/>
  <c r="C568" i="6" s="1"/>
  <c r="H568" i="6" s="1"/>
  <c r="B569" i="6"/>
  <c r="C569" i="6" s="1"/>
  <c r="H569" i="6" s="1"/>
  <c r="B570" i="6"/>
  <c r="C570" i="6" s="1"/>
  <c r="H570" i="6" s="1"/>
  <c r="B571" i="6"/>
  <c r="C571" i="6" s="1"/>
  <c r="H571" i="6" s="1"/>
  <c r="B572" i="6"/>
  <c r="C572" i="6" s="1"/>
  <c r="H572" i="6" s="1"/>
  <c r="B573" i="6"/>
  <c r="C573" i="6" s="1"/>
  <c r="H573" i="6" s="1"/>
  <c r="B574" i="6"/>
  <c r="C574" i="6" s="1"/>
  <c r="H574" i="6" s="1"/>
  <c r="B575" i="6"/>
  <c r="C575" i="6" s="1"/>
  <c r="H575" i="6" s="1"/>
  <c r="B576" i="6"/>
  <c r="C576" i="6" s="1"/>
  <c r="H576" i="6" s="1"/>
  <c r="B580" i="6"/>
  <c r="C580" i="6" s="1"/>
  <c r="B581" i="6"/>
  <c r="C581" i="6" s="1"/>
  <c r="B582" i="6"/>
  <c r="C582" i="6" s="1"/>
  <c r="B583" i="6"/>
  <c r="C583" i="6" s="1"/>
  <c r="B584" i="6"/>
  <c r="C584" i="6" s="1"/>
  <c r="B585" i="6"/>
  <c r="C585" i="6" s="1"/>
  <c r="B586" i="6"/>
  <c r="C586" i="6" s="1"/>
  <c r="B587" i="6"/>
  <c r="C587" i="6" s="1"/>
  <c r="B588" i="6"/>
  <c r="C588" i="6" s="1"/>
  <c r="B589" i="6"/>
  <c r="C589" i="6" s="1"/>
  <c r="B590" i="6"/>
  <c r="C590" i="6" s="1"/>
  <c r="B591" i="6"/>
  <c r="C591" i="6" s="1"/>
  <c r="B592" i="6"/>
  <c r="C592" i="6" s="1"/>
  <c r="B593" i="6"/>
  <c r="C593" i="6" s="1"/>
  <c r="B594" i="6"/>
  <c r="C594" i="6" s="1"/>
  <c r="B595" i="6"/>
  <c r="C595" i="6" s="1"/>
  <c r="B599" i="6"/>
  <c r="B600" i="6"/>
  <c r="B601" i="6"/>
  <c r="B602" i="6"/>
  <c r="B603" i="6"/>
  <c r="B604" i="6"/>
  <c r="B605" i="6"/>
  <c r="B606" i="6"/>
  <c r="B607" i="6"/>
  <c r="B608" i="6"/>
  <c r="B609" i="6"/>
  <c r="B610" i="6"/>
  <c r="B611" i="6"/>
  <c r="B612" i="6"/>
  <c r="B613" i="6"/>
  <c r="B614" i="6"/>
  <c r="B618" i="6"/>
  <c r="C618" i="6" s="1"/>
  <c r="B619" i="6"/>
  <c r="C619" i="6" s="1"/>
  <c r="B620" i="6"/>
  <c r="C620" i="6" s="1"/>
  <c r="B621" i="6"/>
  <c r="C621" i="6" s="1"/>
  <c r="B622" i="6"/>
  <c r="C622" i="6" s="1"/>
  <c r="B623" i="6"/>
  <c r="C623" i="6" s="1"/>
  <c r="B624" i="6"/>
  <c r="C624" i="6" s="1"/>
  <c r="B625" i="6"/>
  <c r="C625" i="6" s="1"/>
  <c r="B626" i="6"/>
  <c r="C626" i="6" s="1"/>
  <c r="B627" i="6"/>
  <c r="C627" i="6" s="1"/>
  <c r="B628" i="6"/>
  <c r="C628" i="6" s="1"/>
  <c r="B629" i="6"/>
  <c r="C629" i="6" s="1"/>
  <c r="B630" i="6"/>
  <c r="C630" i="6" s="1"/>
  <c r="B631" i="6"/>
  <c r="C631" i="6" s="1"/>
  <c r="B632" i="6"/>
  <c r="C632" i="6" s="1"/>
  <c r="B633" i="6"/>
  <c r="C633" i="6" s="1"/>
  <c r="B637" i="6"/>
  <c r="B638" i="6"/>
  <c r="C638" i="6" s="1"/>
  <c r="B639" i="6"/>
  <c r="C639" i="6" s="1"/>
  <c r="B640" i="6"/>
  <c r="C640" i="6" s="1"/>
  <c r="B641" i="6"/>
  <c r="C641" i="6" s="1"/>
  <c r="B642" i="6"/>
  <c r="C642" i="6" s="1"/>
  <c r="B643" i="6"/>
  <c r="C643" i="6" s="1"/>
  <c r="B644" i="6"/>
  <c r="C644" i="6" s="1"/>
  <c r="B645" i="6"/>
  <c r="C645" i="6" s="1"/>
  <c r="B646" i="6"/>
  <c r="C646" i="6" s="1"/>
  <c r="B647" i="6"/>
  <c r="C647" i="6" s="1"/>
  <c r="B648" i="6"/>
  <c r="C648" i="6" s="1"/>
  <c r="B649" i="6"/>
  <c r="C649" i="6" s="1"/>
  <c r="B650" i="6"/>
  <c r="C650" i="6" s="1"/>
  <c r="B651" i="6"/>
  <c r="C651" i="6" s="1"/>
  <c r="B652" i="6"/>
  <c r="C652" i="6" s="1"/>
  <c r="B656" i="6"/>
  <c r="C656" i="6" s="1"/>
  <c r="B657" i="6"/>
  <c r="C657" i="6" s="1"/>
  <c r="B658" i="6"/>
  <c r="C658" i="6" s="1"/>
  <c r="B659" i="6"/>
  <c r="C659" i="6" s="1"/>
  <c r="B660" i="6"/>
  <c r="C660" i="6" s="1"/>
  <c r="B661" i="6"/>
  <c r="C661" i="6" s="1"/>
  <c r="B662" i="6"/>
  <c r="C662" i="6" s="1"/>
  <c r="B663" i="6"/>
  <c r="C663" i="6" s="1"/>
  <c r="B664" i="6"/>
  <c r="C664" i="6" s="1"/>
  <c r="B665" i="6"/>
  <c r="C665" i="6" s="1"/>
  <c r="B666" i="6"/>
  <c r="C666" i="6" s="1"/>
  <c r="B667" i="6"/>
  <c r="C667" i="6" s="1"/>
  <c r="B668" i="6"/>
  <c r="C668" i="6" s="1"/>
  <c r="B669" i="6"/>
  <c r="C669" i="6" s="1"/>
  <c r="B670" i="6"/>
  <c r="C670" i="6" s="1"/>
  <c r="B671" i="6"/>
  <c r="C671" i="6" s="1"/>
  <c r="B675" i="6"/>
  <c r="C675" i="6" s="1"/>
  <c r="B676" i="6"/>
  <c r="C676" i="6" s="1"/>
  <c r="B677" i="6"/>
  <c r="C677" i="6" s="1"/>
  <c r="B678" i="6"/>
  <c r="C678" i="6" s="1"/>
  <c r="B679" i="6"/>
  <c r="C679" i="6" s="1"/>
  <c r="B680" i="6"/>
  <c r="C680" i="6" s="1"/>
  <c r="B681" i="6"/>
  <c r="C681" i="6" s="1"/>
  <c r="B682" i="6"/>
  <c r="C682" i="6" s="1"/>
  <c r="B683" i="6"/>
  <c r="C683" i="6" s="1"/>
  <c r="B684" i="6"/>
  <c r="C684" i="6" s="1"/>
  <c r="B685" i="6"/>
  <c r="C685" i="6" s="1"/>
  <c r="B686" i="6"/>
  <c r="C686" i="6" s="1"/>
  <c r="B687" i="6"/>
  <c r="C687" i="6" s="1"/>
  <c r="B688" i="6"/>
  <c r="C688" i="6" s="1"/>
  <c r="B689" i="6"/>
  <c r="C689" i="6" s="1"/>
  <c r="B690" i="6"/>
  <c r="C690" i="6" s="1"/>
  <c r="B694" i="6"/>
  <c r="C694" i="6" s="1"/>
  <c r="B695" i="6"/>
  <c r="C695" i="6" s="1"/>
  <c r="B696" i="6"/>
  <c r="C696" i="6" s="1"/>
  <c r="B697" i="6"/>
  <c r="C697" i="6" s="1"/>
  <c r="B698" i="6"/>
  <c r="C698" i="6" s="1"/>
  <c r="B699" i="6"/>
  <c r="C699" i="6" s="1"/>
  <c r="B700" i="6"/>
  <c r="C700" i="6" s="1"/>
  <c r="B701" i="6"/>
  <c r="C701" i="6" s="1"/>
  <c r="B702" i="6"/>
  <c r="C702" i="6" s="1"/>
  <c r="B703" i="6"/>
  <c r="C703" i="6" s="1"/>
  <c r="B704" i="6"/>
  <c r="C704" i="6" s="1"/>
  <c r="B705" i="6"/>
  <c r="C705" i="6" s="1"/>
  <c r="B706" i="6"/>
  <c r="C706" i="6" s="1"/>
  <c r="B707" i="6"/>
  <c r="C707" i="6" s="1"/>
  <c r="B708" i="6"/>
  <c r="C708" i="6" s="1"/>
  <c r="B709" i="6"/>
  <c r="C709" i="6" s="1"/>
  <c r="B713" i="6"/>
  <c r="C713" i="6" s="1"/>
  <c r="B714" i="6"/>
  <c r="C714" i="6" s="1"/>
  <c r="B715" i="6"/>
  <c r="C715" i="6" s="1"/>
  <c r="B716" i="6"/>
  <c r="C716" i="6" s="1"/>
  <c r="B717" i="6"/>
  <c r="C717" i="6" s="1"/>
  <c r="B718" i="6"/>
  <c r="C718" i="6" s="1"/>
  <c r="B719" i="6"/>
  <c r="C719" i="6" s="1"/>
  <c r="B720" i="6"/>
  <c r="C720" i="6" s="1"/>
  <c r="B721" i="6"/>
  <c r="C721" i="6" s="1"/>
  <c r="B722" i="6"/>
  <c r="C722" i="6" s="1"/>
  <c r="B723" i="6"/>
  <c r="C723" i="6" s="1"/>
  <c r="B724" i="6"/>
  <c r="C724" i="6" s="1"/>
  <c r="B725" i="6"/>
  <c r="C725" i="6" s="1"/>
  <c r="B726" i="6"/>
  <c r="C726" i="6" s="1"/>
  <c r="B727" i="6"/>
  <c r="C727" i="6" s="1"/>
  <c r="B728" i="6"/>
  <c r="C728" i="6" s="1"/>
  <c r="B732" i="6"/>
  <c r="C732" i="6" s="1"/>
  <c r="B733" i="6"/>
  <c r="C733" i="6" s="1"/>
  <c r="B734" i="6"/>
  <c r="C734" i="6" s="1"/>
  <c r="B735" i="6"/>
  <c r="C735" i="6" s="1"/>
  <c r="B736" i="6"/>
  <c r="C736" i="6" s="1"/>
  <c r="B737" i="6"/>
  <c r="C737" i="6" s="1"/>
  <c r="B738" i="6"/>
  <c r="C738" i="6" s="1"/>
  <c r="B739" i="6"/>
  <c r="C739" i="6" s="1"/>
  <c r="B740" i="6"/>
  <c r="C740" i="6" s="1"/>
  <c r="B741" i="6"/>
  <c r="C741" i="6" s="1"/>
  <c r="B742" i="6"/>
  <c r="C742" i="6" s="1"/>
  <c r="B743" i="6"/>
  <c r="C743" i="6" s="1"/>
  <c r="B744" i="6"/>
  <c r="C744" i="6" s="1"/>
  <c r="B745" i="6"/>
  <c r="C745" i="6" s="1"/>
  <c r="B746" i="6"/>
  <c r="C746" i="6" s="1"/>
  <c r="B747" i="6"/>
  <c r="C747" i="6" s="1"/>
  <c r="B751" i="6"/>
  <c r="C751" i="6" s="1"/>
  <c r="B752" i="6"/>
  <c r="C752" i="6" s="1"/>
  <c r="B753" i="6"/>
  <c r="C753" i="6" s="1"/>
  <c r="B754" i="6"/>
  <c r="C754" i="6" s="1"/>
  <c r="B755" i="6"/>
  <c r="C755" i="6" s="1"/>
  <c r="B756" i="6"/>
  <c r="C756" i="6" s="1"/>
  <c r="B757" i="6"/>
  <c r="C757" i="6" s="1"/>
  <c r="B758" i="6"/>
  <c r="C758" i="6" s="1"/>
  <c r="B759" i="6"/>
  <c r="C759" i="6" s="1"/>
  <c r="B760" i="6"/>
  <c r="C760" i="6" s="1"/>
  <c r="B761" i="6"/>
  <c r="C761" i="6" s="1"/>
  <c r="B762" i="6"/>
  <c r="C762" i="6" s="1"/>
  <c r="B763" i="6"/>
  <c r="C763" i="6" s="1"/>
  <c r="B764" i="6"/>
  <c r="C764" i="6" s="1"/>
  <c r="B765" i="6"/>
  <c r="C765" i="6" s="1"/>
  <c r="B766" i="6"/>
  <c r="C766" i="6" s="1"/>
  <c r="B770" i="6"/>
  <c r="C770" i="6" s="1"/>
  <c r="B771" i="6"/>
  <c r="C771" i="6" s="1"/>
  <c r="B772" i="6"/>
  <c r="C772" i="6" s="1"/>
  <c r="B773" i="6"/>
  <c r="C773" i="6" s="1"/>
  <c r="B774" i="6"/>
  <c r="C774" i="6" s="1"/>
  <c r="B775" i="6"/>
  <c r="C775" i="6" s="1"/>
  <c r="B776" i="6"/>
  <c r="C776" i="6" s="1"/>
  <c r="B777" i="6"/>
  <c r="C777" i="6" s="1"/>
  <c r="B778" i="6"/>
  <c r="C778" i="6" s="1"/>
  <c r="B779" i="6"/>
  <c r="C779" i="6" s="1"/>
  <c r="B780" i="6"/>
  <c r="C780" i="6" s="1"/>
  <c r="B781" i="6"/>
  <c r="C781" i="6" s="1"/>
  <c r="B782" i="6"/>
  <c r="C782" i="6" s="1"/>
  <c r="B783" i="6"/>
  <c r="C783" i="6" s="1"/>
  <c r="B784" i="6"/>
  <c r="C784" i="6" s="1"/>
  <c r="B785" i="6"/>
  <c r="C785" i="6" s="1"/>
  <c r="B808" i="6"/>
  <c r="C808" i="6" s="1"/>
  <c r="B809" i="6"/>
  <c r="C809" i="6" s="1"/>
  <c r="B810" i="6"/>
  <c r="C810" i="6" s="1"/>
  <c r="B811" i="6"/>
  <c r="C811" i="6" s="1"/>
  <c r="B812" i="6"/>
  <c r="C812" i="6" s="1"/>
  <c r="B813" i="6"/>
  <c r="C813" i="6" s="1"/>
  <c r="B814" i="6"/>
  <c r="C814" i="6" s="1"/>
  <c r="B815" i="6"/>
  <c r="C815" i="6" s="1"/>
  <c r="B816" i="6"/>
  <c r="C816" i="6" s="1"/>
  <c r="B817" i="6"/>
  <c r="C817" i="6" s="1"/>
  <c r="B818" i="6"/>
  <c r="C818" i="6" s="1"/>
  <c r="B819" i="6"/>
  <c r="C819" i="6" s="1"/>
  <c r="B820" i="6"/>
  <c r="C820" i="6" s="1"/>
  <c r="B821" i="6"/>
  <c r="C821" i="6" s="1"/>
  <c r="B822" i="6"/>
  <c r="C822" i="6" s="1"/>
  <c r="B823" i="6"/>
  <c r="C823" i="6" s="1"/>
  <c r="B827" i="6"/>
  <c r="C827" i="6" s="1"/>
  <c r="B828" i="6"/>
  <c r="C828" i="6" s="1"/>
  <c r="B829" i="6"/>
  <c r="C829" i="6" s="1"/>
  <c r="B830" i="6"/>
  <c r="C830" i="6" s="1"/>
  <c r="B831" i="6"/>
  <c r="C831" i="6" s="1"/>
  <c r="B832" i="6"/>
  <c r="C832" i="6" s="1"/>
  <c r="B833" i="6"/>
  <c r="C833" i="6" s="1"/>
  <c r="B834" i="6"/>
  <c r="C834" i="6" s="1"/>
  <c r="B835" i="6"/>
  <c r="C835" i="6" s="1"/>
  <c r="B836" i="6"/>
  <c r="C836" i="6" s="1"/>
  <c r="B837" i="6"/>
  <c r="C837" i="6" s="1"/>
  <c r="B838" i="6"/>
  <c r="C838" i="6" s="1"/>
  <c r="B839" i="6"/>
  <c r="C839" i="6" s="1"/>
  <c r="B840" i="6"/>
  <c r="C840" i="6" s="1"/>
  <c r="B841" i="6"/>
  <c r="C841" i="6" s="1"/>
  <c r="B842" i="6"/>
  <c r="C842" i="6" s="1"/>
  <c r="B865" i="6"/>
  <c r="C865" i="6" s="1"/>
  <c r="B866" i="6"/>
  <c r="C866" i="6" s="1"/>
  <c r="B867" i="6"/>
  <c r="C867" i="6" s="1"/>
  <c r="B868" i="6"/>
  <c r="C868" i="6" s="1"/>
  <c r="B869" i="6"/>
  <c r="C869" i="6" s="1"/>
  <c r="B870" i="6"/>
  <c r="C870" i="6" s="1"/>
  <c r="B871" i="6"/>
  <c r="C871" i="6" s="1"/>
  <c r="B872" i="6"/>
  <c r="C872" i="6" s="1"/>
  <c r="B873" i="6"/>
  <c r="C873" i="6" s="1"/>
  <c r="B874" i="6"/>
  <c r="C874" i="6" s="1"/>
  <c r="B875" i="6"/>
  <c r="C875" i="6" s="1"/>
  <c r="B876" i="6"/>
  <c r="C876" i="6" s="1"/>
  <c r="B877" i="6"/>
  <c r="C877" i="6" s="1"/>
  <c r="B878" i="6"/>
  <c r="C878" i="6" s="1"/>
  <c r="B879" i="6"/>
  <c r="C879" i="6" s="1"/>
  <c r="B880" i="6"/>
  <c r="C880" i="6" s="1"/>
  <c r="B884" i="6"/>
  <c r="C884" i="6" s="1"/>
  <c r="B885" i="6"/>
  <c r="C885" i="6" s="1"/>
  <c r="B886" i="6"/>
  <c r="C886" i="6" s="1"/>
  <c r="B887" i="6"/>
  <c r="C887" i="6" s="1"/>
  <c r="B888" i="6"/>
  <c r="C888" i="6" s="1"/>
  <c r="B889" i="6"/>
  <c r="C889" i="6" s="1"/>
  <c r="B890" i="6"/>
  <c r="C890" i="6" s="1"/>
  <c r="B891" i="6"/>
  <c r="C891" i="6" s="1"/>
  <c r="B892" i="6"/>
  <c r="C892" i="6" s="1"/>
  <c r="B893" i="6"/>
  <c r="C893" i="6" s="1"/>
  <c r="B894" i="6"/>
  <c r="C894" i="6" s="1"/>
  <c r="B895" i="6"/>
  <c r="C895" i="6" s="1"/>
  <c r="B896" i="6"/>
  <c r="C896" i="6" s="1"/>
  <c r="B897" i="6"/>
  <c r="C897" i="6" s="1"/>
  <c r="B898" i="6"/>
  <c r="C898" i="6" s="1"/>
  <c r="B899" i="6"/>
  <c r="C899" i="6" s="1"/>
  <c r="B903" i="6"/>
  <c r="C903" i="6" s="1"/>
  <c r="B904" i="6"/>
  <c r="C904" i="6" s="1"/>
  <c r="B905" i="6"/>
  <c r="C905" i="6" s="1"/>
  <c r="B906" i="6"/>
  <c r="C906" i="6" s="1"/>
  <c r="B907" i="6"/>
  <c r="C907" i="6" s="1"/>
  <c r="B908" i="6"/>
  <c r="C908" i="6" s="1"/>
  <c r="B909" i="6"/>
  <c r="C909" i="6" s="1"/>
  <c r="B910" i="6"/>
  <c r="C910" i="6" s="1"/>
  <c r="B911" i="6"/>
  <c r="C911" i="6" s="1"/>
  <c r="B912" i="6"/>
  <c r="C912" i="6" s="1"/>
  <c r="B913" i="6"/>
  <c r="C913" i="6" s="1"/>
  <c r="B914" i="6"/>
  <c r="C914" i="6" s="1"/>
  <c r="B915" i="6"/>
  <c r="C915" i="6" s="1"/>
  <c r="B916" i="6"/>
  <c r="C916" i="6" s="1"/>
  <c r="B917" i="6"/>
  <c r="C917" i="6" s="1"/>
  <c r="B918" i="6"/>
  <c r="C918" i="6" s="1"/>
  <c r="B941" i="6"/>
  <c r="C941" i="6" s="1"/>
  <c r="B942" i="6"/>
  <c r="C942" i="6" s="1"/>
  <c r="B943" i="6"/>
  <c r="C943" i="6" s="1"/>
  <c r="B944" i="6"/>
  <c r="C944" i="6" s="1"/>
  <c r="B945" i="6"/>
  <c r="C945" i="6" s="1"/>
  <c r="B946" i="6"/>
  <c r="C946" i="6" s="1"/>
  <c r="B947" i="6"/>
  <c r="C947" i="6" s="1"/>
  <c r="B948" i="6"/>
  <c r="C948" i="6" s="1"/>
  <c r="B949" i="6"/>
  <c r="C949" i="6" s="1"/>
  <c r="B950" i="6"/>
  <c r="C950" i="6" s="1"/>
  <c r="B951" i="6"/>
  <c r="C951" i="6" s="1"/>
  <c r="B952" i="6"/>
  <c r="C952" i="6" s="1"/>
  <c r="B953" i="6"/>
  <c r="C953" i="6" s="1"/>
  <c r="B954" i="6"/>
  <c r="C954" i="6" s="1"/>
  <c r="B955" i="6"/>
  <c r="C955" i="6" s="1"/>
  <c r="B956" i="6"/>
  <c r="C956" i="6" s="1"/>
  <c r="C922" i="6" l="1"/>
  <c r="C923" i="6"/>
  <c r="C924" i="6"/>
  <c r="C925" i="6"/>
  <c r="C926" i="6"/>
  <c r="C927" i="6"/>
  <c r="C928" i="6"/>
  <c r="C929" i="6"/>
  <c r="C930" i="6"/>
  <c r="C931" i="6"/>
  <c r="C932" i="6"/>
  <c r="C933" i="6"/>
  <c r="C934" i="6"/>
  <c r="C935" i="6"/>
  <c r="C936" i="6"/>
  <c r="C937" i="6"/>
  <c r="C846" i="6"/>
  <c r="C847" i="6"/>
  <c r="C848" i="6"/>
  <c r="C849" i="6"/>
  <c r="C850" i="6"/>
  <c r="C851" i="6"/>
  <c r="C852" i="6"/>
  <c r="C853" i="6"/>
  <c r="C854" i="6"/>
  <c r="C855" i="6"/>
  <c r="C856" i="6"/>
  <c r="C857" i="6"/>
  <c r="C858" i="6"/>
  <c r="C859" i="6"/>
  <c r="C860" i="6"/>
  <c r="C861" i="6"/>
  <c r="C789" i="6"/>
  <c r="C790" i="6"/>
  <c r="C791" i="6"/>
  <c r="C792" i="6"/>
  <c r="C793" i="6"/>
  <c r="C794" i="6"/>
  <c r="C795" i="6"/>
  <c r="C796" i="6"/>
  <c r="C797" i="6"/>
  <c r="C798" i="6"/>
  <c r="C799" i="6"/>
  <c r="C800" i="6"/>
  <c r="C801" i="6"/>
  <c r="C802" i="6"/>
  <c r="C803" i="6"/>
  <c r="C804" i="6"/>
  <c r="O44" i="6"/>
  <c r="P44" i="6"/>
  <c r="Q44" i="6"/>
  <c r="R44" i="6"/>
  <c r="S44" i="6"/>
  <c r="T44" i="6"/>
  <c r="U44" i="6"/>
  <c r="V44" i="6"/>
  <c r="N44" i="6"/>
  <c r="O43" i="6"/>
  <c r="P43" i="6"/>
  <c r="Q43" i="6"/>
  <c r="R43" i="6"/>
  <c r="S43" i="6"/>
  <c r="T43" i="6"/>
  <c r="U43" i="6"/>
  <c r="V43" i="6"/>
  <c r="N43" i="6"/>
  <c r="O42" i="6"/>
  <c r="P42" i="6"/>
  <c r="Q42" i="6"/>
  <c r="R42" i="6"/>
  <c r="S42" i="6"/>
  <c r="T42" i="6"/>
  <c r="U42" i="6"/>
  <c r="V42" i="6"/>
  <c r="N42" i="6"/>
  <c r="O41" i="6"/>
  <c r="P41" i="6"/>
  <c r="Q41" i="6"/>
  <c r="R41" i="6"/>
  <c r="S41" i="6"/>
  <c r="T41" i="6"/>
  <c r="U41" i="6"/>
  <c r="V41" i="6"/>
  <c r="N41" i="6"/>
  <c r="O40" i="6"/>
  <c r="P40" i="6"/>
  <c r="Q40" i="6"/>
  <c r="R40" i="6"/>
  <c r="S40" i="6"/>
  <c r="T40" i="6"/>
  <c r="U40" i="6"/>
  <c r="V40" i="6"/>
  <c r="N40" i="6"/>
  <c r="O39" i="6"/>
  <c r="P39" i="6"/>
  <c r="Q39" i="6"/>
  <c r="R39" i="6"/>
  <c r="S39" i="6"/>
  <c r="T39" i="6"/>
  <c r="U39" i="6"/>
  <c r="V39" i="6"/>
  <c r="N39" i="6"/>
  <c r="O38" i="6"/>
  <c r="P38" i="6"/>
  <c r="Q38" i="6"/>
  <c r="R38" i="6"/>
  <c r="S38" i="6"/>
  <c r="T38" i="6"/>
  <c r="U38" i="6"/>
  <c r="V38" i="6"/>
  <c r="N38" i="6"/>
  <c r="O37" i="6"/>
  <c r="P37" i="6"/>
  <c r="Q37" i="6"/>
  <c r="R37" i="6"/>
  <c r="S37" i="6"/>
  <c r="T37" i="6"/>
  <c r="U37" i="6"/>
  <c r="V37" i="6"/>
  <c r="N37" i="6"/>
  <c r="O36" i="6"/>
  <c r="P36" i="6"/>
  <c r="Q36" i="6"/>
  <c r="R36" i="6"/>
  <c r="S36" i="6"/>
  <c r="T36" i="6"/>
  <c r="U36" i="6"/>
  <c r="V36" i="6"/>
  <c r="N36" i="6"/>
  <c r="O35" i="6"/>
  <c r="P35" i="6"/>
  <c r="Q35" i="6"/>
  <c r="R35" i="6"/>
  <c r="S35" i="6"/>
  <c r="T35" i="6"/>
  <c r="U35" i="6"/>
  <c r="V35" i="6"/>
  <c r="N35" i="6"/>
  <c r="O34" i="6"/>
  <c r="P34" i="6"/>
  <c r="Q34" i="6"/>
  <c r="R34" i="6"/>
  <c r="S34" i="6"/>
  <c r="T34" i="6"/>
  <c r="U34" i="6"/>
  <c r="V34" i="6"/>
  <c r="N34" i="6"/>
  <c r="O33" i="6"/>
  <c r="P33" i="6"/>
  <c r="Q33" i="6"/>
  <c r="R33" i="6"/>
  <c r="S33" i="6"/>
  <c r="T33" i="6"/>
  <c r="U33" i="6"/>
  <c r="V33" i="6"/>
  <c r="N33" i="6"/>
  <c r="O32" i="6"/>
  <c r="P32" i="6"/>
  <c r="Q32" i="6"/>
  <c r="R32" i="6"/>
  <c r="S32" i="6"/>
  <c r="T32" i="6"/>
  <c r="U32" i="6"/>
  <c r="V32" i="6"/>
  <c r="N32" i="6"/>
  <c r="O31" i="6"/>
  <c r="P31" i="6"/>
  <c r="Q31" i="6"/>
  <c r="R31" i="6"/>
  <c r="S31" i="6"/>
  <c r="T31" i="6"/>
  <c r="U31" i="6"/>
  <c r="V31" i="6"/>
  <c r="N31" i="6"/>
  <c r="P30" i="6"/>
  <c r="Q30" i="6"/>
  <c r="R30" i="6"/>
  <c r="S30" i="6"/>
  <c r="T30" i="6"/>
  <c r="U30" i="6"/>
  <c r="V30" i="6"/>
  <c r="N30" i="6"/>
  <c r="O30" i="6" s="1"/>
  <c r="V29" i="6"/>
  <c r="U29" i="6"/>
  <c r="T29" i="6"/>
  <c r="S29" i="6"/>
  <c r="R29" i="6"/>
  <c r="Q29" i="6"/>
  <c r="P29" i="6"/>
  <c r="N29" i="6"/>
  <c r="O29" i="6" s="1"/>
  <c r="U25" i="6"/>
  <c r="T25" i="6"/>
  <c r="N25" i="6"/>
  <c r="O25" i="6"/>
  <c r="P25" i="6"/>
  <c r="Q25" i="6"/>
  <c r="R25" i="6"/>
  <c r="S25" i="6"/>
  <c r="U24" i="6"/>
  <c r="T24" i="6"/>
  <c r="N24" i="6"/>
  <c r="O24" i="6"/>
  <c r="P24" i="6"/>
  <c r="Q24" i="6"/>
  <c r="R24" i="6"/>
  <c r="S24" i="6"/>
  <c r="U23" i="6"/>
  <c r="T23" i="6"/>
  <c r="N23" i="6"/>
  <c r="O23" i="6"/>
  <c r="P23" i="6"/>
  <c r="Q23" i="6"/>
  <c r="R23" i="6"/>
  <c r="S23" i="6"/>
  <c r="U22" i="6"/>
  <c r="T22" i="6"/>
  <c r="N22" i="6"/>
  <c r="O22" i="6"/>
  <c r="P22" i="6"/>
  <c r="Q22" i="6"/>
  <c r="R22" i="6"/>
  <c r="S22" i="6"/>
  <c r="U21" i="6"/>
  <c r="T21" i="6"/>
  <c r="N21" i="6"/>
  <c r="O21" i="6"/>
  <c r="P21" i="6"/>
  <c r="Q21" i="6"/>
  <c r="R21" i="6"/>
  <c r="S21" i="6"/>
  <c r="U20" i="6"/>
  <c r="T20" i="6"/>
  <c r="N20" i="6"/>
  <c r="O20" i="6"/>
  <c r="P20" i="6"/>
  <c r="Q20" i="6"/>
  <c r="R20" i="6"/>
  <c r="S20" i="6"/>
  <c r="U19" i="6"/>
  <c r="T19" i="6"/>
  <c r="N19" i="6"/>
  <c r="O19" i="6"/>
  <c r="P19" i="6"/>
  <c r="Q19" i="6"/>
  <c r="R19" i="6"/>
  <c r="S19" i="6"/>
  <c r="U18" i="6"/>
  <c r="T18" i="6"/>
  <c r="N18" i="6"/>
  <c r="O18" i="6"/>
  <c r="P18" i="6"/>
  <c r="Q18" i="6"/>
  <c r="R18" i="6"/>
  <c r="S18" i="6"/>
  <c r="U17" i="6"/>
  <c r="T17" i="6"/>
  <c r="N17" i="6"/>
  <c r="O17" i="6"/>
  <c r="P17" i="6"/>
  <c r="Q17" i="6"/>
  <c r="R17" i="6"/>
  <c r="S17" i="6"/>
  <c r="U16" i="6"/>
  <c r="T16" i="6"/>
  <c r="N16" i="6"/>
  <c r="O16" i="6"/>
  <c r="P16" i="6"/>
  <c r="Q16" i="6"/>
  <c r="R16" i="6"/>
  <c r="S16" i="6"/>
  <c r="U15" i="6"/>
  <c r="T15" i="6"/>
  <c r="N15" i="6"/>
  <c r="O15" i="6"/>
  <c r="P15" i="6"/>
  <c r="Q15" i="6"/>
  <c r="R15" i="6"/>
  <c r="S15" i="6"/>
  <c r="U14" i="6"/>
  <c r="T14" i="6"/>
  <c r="N14" i="6"/>
  <c r="O14" i="6"/>
  <c r="P14" i="6"/>
  <c r="Q14" i="6"/>
  <c r="R14" i="6"/>
  <c r="S14" i="6"/>
  <c r="U13" i="6"/>
  <c r="T13" i="6"/>
  <c r="N13" i="6"/>
  <c r="O13" i="6"/>
  <c r="P13" i="6"/>
  <c r="Q13" i="6"/>
  <c r="R13" i="6"/>
  <c r="S13" i="6"/>
  <c r="U12" i="6"/>
  <c r="T12" i="6"/>
  <c r="N12" i="6"/>
  <c r="O12" i="6"/>
  <c r="P12" i="6"/>
  <c r="Q12" i="6"/>
  <c r="R12" i="6"/>
  <c r="S12" i="6"/>
  <c r="U11" i="6"/>
  <c r="T11" i="6"/>
  <c r="N11" i="6"/>
  <c r="O11" i="6"/>
  <c r="P11" i="6"/>
  <c r="Q11" i="6"/>
  <c r="R11" i="6"/>
  <c r="S11" i="6"/>
  <c r="L82" i="6"/>
  <c r="M25" i="6"/>
  <c r="L81" i="6"/>
  <c r="M24" i="6"/>
  <c r="L80" i="6"/>
  <c r="M23" i="6"/>
  <c r="L79" i="6"/>
  <c r="M22" i="6"/>
  <c r="L78" i="6"/>
  <c r="M21" i="6"/>
  <c r="L77" i="6"/>
  <c r="M20" i="6"/>
  <c r="L76" i="6"/>
  <c r="M19" i="6"/>
  <c r="L75" i="6"/>
  <c r="M18" i="6"/>
  <c r="L74" i="6"/>
  <c r="M17" i="6"/>
  <c r="L73" i="6"/>
  <c r="M16" i="6"/>
  <c r="L72" i="6"/>
  <c r="M15" i="6"/>
  <c r="L71" i="6"/>
  <c r="M14" i="6"/>
  <c r="L70" i="6"/>
  <c r="M13" i="6"/>
  <c r="L69" i="6"/>
  <c r="M12" i="6"/>
  <c r="L68" i="6"/>
  <c r="M11" i="6"/>
  <c r="L67" i="6"/>
  <c r="M10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T67" i="6" l="1"/>
  <c r="S67" i="6"/>
  <c r="R67" i="6"/>
  <c r="Q67" i="6"/>
  <c r="P67" i="6"/>
  <c r="O67" i="6"/>
  <c r="N67" i="6"/>
  <c r="M67" i="6"/>
  <c r="T68" i="6"/>
  <c r="S68" i="6"/>
  <c r="R68" i="6"/>
  <c r="Q68" i="6"/>
  <c r="P68" i="6"/>
  <c r="O68" i="6"/>
  <c r="N68" i="6"/>
  <c r="M68" i="6"/>
  <c r="T69" i="6"/>
  <c r="S69" i="6"/>
  <c r="R69" i="6"/>
  <c r="Q69" i="6"/>
  <c r="P69" i="6"/>
  <c r="O69" i="6"/>
  <c r="N69" i="6"/>
  <c r="M69" i="6"/>
  <c r="T70" i="6"/>
  <c r="S70" i="6"/>
  <c r="R70" i="6"/>
  <c r="Q70" i="6"/>
  <c r="P70" i="6"/>
  <c r="O70" i="6"/>
  <c r="N70" i="6"/>
  <c r="M70" i="6"/>
  <c r="T71" i="6"/>
  <c r="S71" i="6"/>
  <c r="R71" i="6"/>
  <c r="Q71" i="6"/>
  <c r="P71" i="6"/>
  <c r="O71" i="6"/>
  <c r="N71" i="6"/>
  <c r="M71" i="6"/>
  <c r="T72" i="6"/>
  <c r="S72" i="6"/>
  <c r="R72" i="6"/>
  <c r="Q72" i="6"/>
  <c r="P72" i="6"/>
  <c r="O72" i="6"/>
  <c r="N72" i="6"/>
  <c r="M72" i="6"/>
  <c r="T73" i="6"/>
  <c r="S73" i="6"/>
  <c r="R73" i="6"/>
  <c r="Q73" i="6"/>
  <c r="P73" i="6"/>
  <c r="O73" i="6"/>
  <c r="N73" i="6"/>
  <c r="M73" i="6"/>
  <c r="T74" i="6"/>
  <c r="S74" i="6"/>
  <c r="R74" i="6"/>
  <c r="Q74" i="6"/>
  <c r="P74" i="6"/>
  <c r="O74" i="6"/>
  <c r="N74" i="6"/>
  <c r="M74" i="6"/>
  <c r="T75" i="6"/>
  <c r="S75" i="6"/>
  <c r="R75" i="6"/>
  <c r="Q75" i="6"/>
  <c r="P75" i="6"/>
  <c r="O75" i="6"/>
  <c r="N75" i="6"/>
  <c r="M75" i="6"/>
  <c r="T76" i="6"/>
  <c r="S76" i="6"/>
  <c r="R76" i="6"/>
  <c r="Q76" i="6"/>
  <c r="P76" i="6"/>
  <c r="O76" i="6"/>
  <c r="N76" i="6"/>
  <c r="M76" i="6"/>
  <c r="T77" i="6"/>
  <c r="S77" i="6"/>
  <c r="R77" i="6"/>
  <c r="Q77" i="6"/>
  <c r="P77" i="6"/>
  <c r="O77" i="6"/>
  <c r="N77" i="6"/>
  <c r="M77" i="6"/>
  <c r="T78" i="6"/>
  <c r="S78" i="6"/>
  <c r="R78" i="6"/>
  <c r="Q78" i="6"/>
  <c r="P78" i="6"/>
  <c r="O78" i="6"/>
  <c r="N78" i="6"/>
  <c r="M78" i="6"/>
  <c r="T79" i="6"/>
  <c r="S79" i="6"/>
  <c r="R79" i="6"/>
  <c r="Q79" i="6"/>
  <c r="P79" i="6"/>
  <c r="O79" i="6"/>
  <c r="N79" i="6"/>
  <c r="M79" i="6"/>
  <c r="T80" i="6"/>
  <c r="S80" i="6"/>
  <c r="R80" i="6"/>
  <c r="Q80" i="6"/>
  <c r="P80" i="6"/>
  <c r="O80" i="6"/>
  <c r="N80" i="6"/>
  <c r="M80" i="6"/>
  <c r="T81" i="6"/>
  <c r="S81" i="6"/>
  <c r="R81" i="6"/>
  <c r="Q81" i="6"/>
  <c r="P81" i="6"/>
  <c r="O81" i="6"/>
  <c r="N81" i="6"/>
  <c r="M81" i="6"/>
  <c r="T82" i="6"/>
  <c r="S82" i="6"/>
  <c r="R82" i="6"/>
  <c r="Q82" i="6"/>
  <c r="P82" i="6"/>
  <c r="O82" i="6"/>
  <c r="N82" i="6"/>
  <c r="M82" i="6"/>
  <c r="AO48" i="6"/>
  <c r="AN48" i="6"/>
  <c r="AM48" i="6"/>
  <c r="AL48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AO49" i="6"/>
  <c r="AN49" i="6"/>
  <c r="AM49" i="6"/>
  <c r="AL49" i="6"/>
  <c r="AK49" i="6"/>
  <c r="AJ49" i="6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AO50" i="6"/>
  <c r="AN50" i="6"/>
  <c r="AM50" i="6"/>
  <c r="AL50" i="6"/>
  <c r="AK50" i="6"/>
  <c r="AJ50" i="6"/>
  <c r="AI50" i="6"/>
  <c r="AH50" i="6"/>
  <c r="AG50" i="6"/>
  <c r="AF50" i="6"/>
  <c r="AE50" i="6"/>
  <c r="AD50" i="6"/>
  <c r="AC50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AO51" i="6"/>
  <c r="AN51" i="6"/>
  <c r="AM51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AO52" i="6"/>
  <c r="AN52" i="6"/>
  <c r="AM52" i="6"/>
  <c r="AL52" i="6"/>
  <c r="AK52" i="6"/>
  <c r="AJ52" i="6"/>
  <c r="AI52" i="6"/>
  <c r="AH52" i="6"/>
  <c r="AG52" i="6"/>
  <c r="AF52" i="6"/>
  <c r="AE52" i="6"/>
  <c r="AD52" i="6"/>
  <c r="AC52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AO53" i="6"/>
  <c r="AN53" i="6"/>
  <c r="AM53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AO54" i="6"/>
  <c r="AN54" i="6"/>
  <c r="AM54" i="6"/>
  <c r="AL54" i="6"/>
  <c r="AK54" i="6"/>
  <c r="AJ54" i="6"/>
  <c r="AI54" i="6"/>
  <c r="AH54" i="6"/>
  <c r="AG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AO55" i="6"/>
  <c r="AN55" i="6"/>
  <c r="AM55" i="6"/>
  <c r="AL55" i="6"/>
  <c r="AK55" i="6"/>
  <c r="AJ55" i="6"/>
  <c r="AI55" i="6"/>
  <c r="AH55" i="6"/>
  <c r="AG55" i="6"/>
  <c r="AF55" i="6"/>
  <c r="AE55" i="6"/>
  <c r="AD55" i="6"/>
  <c r="AC55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AO56" i="6"/>
  <c r="AN56" i="6"/>
  <c r="AM56" i="6"/>
  <c r="AL56" i="6"/>
  <c r="AK56" i="6"/>
  <c r="AJ56" i="6"/>
  <c r="AI56" i="6"/>
  <c r="AH56" i="6"/>
  <c r="AG56" i="6"/>
  <c r="AF56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AO57" i="6"/>
  <c r="AN57" i="6"/>
  <c r="AM57" i="6"/>
  <c r="AL57" i="6"/>
  <c r="AK57" i="6"/>
  <c r="AJ57" i="6"/>
  <c r="AI57" i="6"/>
  <c r="AH57" i="6"/>
  <c r="AG57" i="6"/>
  <c r="AF57" i="6"/>
  <c r="AE57" i="6"/>
  <c r="AD57" i="6"/>
  <c r="AC57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AO58" i="6"/>
  <c r="AN58" i="6"/>
  <c r="AM58" i="6"/>
  <c r="AL58" i="6"/>
  <c r="AK58" i="6"/>
  <c r="AJ58" i="6"/>
  <c r="AI58" i="6"/>
  <c r="AH58" i="6"/>
  <c r="AG58" i="6"/>
  <c r="AF58" i="6"/>
  <c r="AE58" i="6"/>
  <c r="AD58" i="6"/>
  <c r="AC58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AO59" i="6"/>
  <c r="AN59" i="6"/>
  <c r="AM59" i="6"/>
  <c r="AL59" i="6"/>
  <c r="AK59" i="6"/>
  <c r="AJ59" i="6"/>
  <c r="AI59" i="6"/>
  <c r="AH59" i="6"/>
  <c r="AG59" i="6"/>
  <c r="AF59" i="6"/>
  <c r="AE59" i="6"/>
  <c r="AD59" i="6"/>
  <c r="AC59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AO60" i="6"/>
  <c r="AN60" i="6"/>
  <c r="AM60" i="6"/>
  <c r="AL60" i="6"/>
  <c r="AK60" i="6"/>
  <c r="AJ60" i="6"/>
  <c r="AI60" i="6"/>
  <c r="AH60" i="6"/>
  <c r="AG60" i="6"/>
  <c r="AF60" i="6"/>
  <c r="AE60" i="6"/>
  <c r="AD60" i="6"/>
  <c r="AC60" i="6"/>
  <c r="AB60" i="6"/>
  <c r="AA60" i="6"/>
  <c r="Z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AO61" i="6"/>
  <c r="AN61" i="6"/>
  <c r="AM61" i="6"/>
  <c r="AL61" i="6"/>
  <c r="AK61" i="6"/>
  <c r="AJ61" i="6"/>
  <c r="AI61" i="6"/>
  <c r="AH61" i="6"/>
  <c r="AG61" i="6"/>
  <c r="AF61" i="6"/>
  <c r="AE61" i="6"/>
  <c r="AD61" i="6"/>
  <c r="AC61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AO62" i="6"/>
  <c r="AN62" i="6"/>
  <c r="AM62" i="6"/>
  <c r="AL62" i="6"/>
  <c r="AK62" i="6"/>
  <c r="AJ62" i="6"/>
  <c r="AI62" i="6"/>
  <c r="AH62" i="6"/>
  <c r="AG62" i="6"/>
  <c r="AF62" i="6"/>
  <c r="AE62" i="6"/>
  <c r="AD62" i="6"/>
  <c r="AC62" i="6"/>
  <c r="AB62" i="6"/>
  <c r="AA62" i="6"/>
  <c r="Z62" i="6"/>
  <c r="Y62" i="6"/>
  <c r="X62" i="6"/>
  <c r="W62" i="6"/>
  <c r="V62" i="6"/>
  <c r="U62" i="6"/>
  <c r="T62" i="6"/>
  <c r="S62" i="6"/>
  <c r="R62" i="6"/>
  <c r="Q62" i="6"/>
  <c r="P62" i="6"/>
  <c r="O62" i="6"/>
  <c r="N62" i="6"/>
  <c r="M62" i="6"/>
  <c r="AO63" i="6"/>
  <c r="AN63" i="6"/>
  <c r="AM63" i="6"/>
  <c r="AL63" i="6"/>
  <c r="AK63" i="6"/>
  <c r="AJ63" i="6"/>
  <c r="AI63" i="6"/>
  <c r="AH63" i="6"/>
  <c r="AG63" i="6"/>
  <c r="AF63" i="6"/>
  <c r="AE63" i="6"/>
  <c r="AD63" i="6"/>
  <c r="AC63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W30" i="6"/>
  <c r="V10" i="6"/>
  <c r="W10" i="6" s="1"/>
  <c r="V11" i="6"/>
  <c r="W11" i="6" s="1"/>
  <c r="V12" i="6"/>
  <c r="W12" i="6" s="1"/>
  <c r="V13" i="6"/>
  <c r="W13" i="6" s="1"/>
  <c r="V14" i="6"/>
  <c r="W14" i="6" s="1"/>
  <c r="V15" i="6"/>
  <c r="W15" i="6" s="1"/>
  <c r="V16" i="6"/>
  <c r="W16" i="6" s="1"/>
  <c r="V17" i="6"/>
  <c r="W17" i="6" s="1"/>
  <c r="V18" i="6"/>
  <c r="W18" i="6" s="1"/>
  <c r="V19" i="6"/>
  <c r="W19" i="6" s="1"/>
  <c r="V20" i="6"/>
  <c r="W20" i="6" s="1"/>
  <c r="V21" i="6"/>
  <c r="W21" i="6" s="1"/>
  <c r="V22" i="6"/>
  <c r="W22" i="6" s="1"/>
  <c r="V23" i="6"/>
  <c r="W23" i="6" s="1"/>
  <c r="V24" i="6"/>
  <c r="W24" i="6" s="1"/>
  <c r="V25" i="6"/>
  <c r="W25" i="6" s="1"/>
  <c r="W29" i="6"/>
  <c r="W31" i="6"/>
  <c r="W32" i="6"/>
  <c r="W33" i="6"/>
  <c r="W34" i="6"/>
  <c r="W35" i="6"/>
  <c r="W36" i="6"/>
  <c r="W37" i="6"/>
  <c r="W38" i="6"/>
  <c r="W39" i="6"/>
  <c r="W40" i="6"/>
  <c r="W41" i="6"/>
  <c r="W42" i="6"/>
  <c r="W43" i="6"/>
  <c r="W44" i="6"/>
  <c r="Z44" i="6" l="1"/>
  <c r="Z43" i="6"/>
  <c r="Z42" i="6"/>
  <c r="Z41" i="6"/>
  <c r="Z40" i="6"/>
  <c r="Z39" i="6"/>
  <c r="Z38" i="6"/>
  <c r="Z37" i="6"/>
  <c r="X36" i="6"/>
  <c r="Y36" i="6"/>
  <c r="Z36" i="6"/>
  <c r="X35" i="6"/>
  <c r="Y35" i="6"/>
  <c r="Z35" i="6"/>
  <c r="Z34" i="6"/>
  <c r="Z33" i="6"/>
  <c r="Z32" i="6"/>
  <c r="Z31" i="6"/>
  <c r="Z29" i="6"/>
  <c r="X25" i="6"/>
  <c r="X24" i="6"/>
  <c r="X23" i="6"/>
  <c r="X22" i="6"/>
  <c r="X21" i="6"/>
  <c r="Z30" i="6"/>
  <c r="X34" i="6"/>
  <c r="Y34" i="6" s="1"/>
  <c r="M101" i="6"/>
  <c r="M100" i="6"/>
  <c r="M99" i="6"/>
  <c r="M98" i="6"/>
  <c r="M97" i="6"/>
  <c r="M96" i="6"/>
  <c r="M95" i="6"/>
  <c r="M94" i="6"/>
  <c r="M93" i="6"/>
  <c r="M92" i="6"/>
  <c r="M91" i="6"/>
  <c r="M90" i="6"/>
  <c r="M89" i="6"/>
  <c r="M88" i="6"/>
  <c r="M87" i="6"/>
  <c r="M105" i="6"/>
  <c r="M86" i="6"/>
  <c r="M120" i="6"/>
  <c r="M119" i="6"/>
  <c r="M118" i="6"/>
  <c r="M117" i="6"/>
  <c r="M116" i="6"/>
  <c r="M115" i="6"/>
  <c r="M114" i="6"/>
  <c r="M113" i="6"/>
  <c r="M112" i="6"/>
  <c r="M111" i="6"/>
  <c r="M110" i="6"/>
  <c r="M109" i="6"/>
  <c r="M108" i="6"/>
  <c r="M107" i="6"/>
  <c r="M106" i="6"/>
  <c r="X44" i="6"/>
  <c r="Y44" i="6" s="1"/>
  <c r="X43" i="6"/>
  <c r="Y43" i="6" s="1"/>
  <c r="X42" i="6"/>
  <c r="Y42" i="6" s="1"/>
  <c r="X41" i="6"/>
  <c r="Y41" i="6" s="1"/>
  <c r="X40" i="6"/>
  <c r="Y40" i="6" s="1"/>
  <c r="X39" i="6"/>
  <c r="Y39" i="6" s="1"/>
  <c r="X38" i="6"/>
  <c r="Y38" i="6" s="1"/>
  <c r="X37" i="6"/>
  <c r="Y37" i="6" s="1"/>
  <c r="X33" i="6"/>
  <c r="Y33" i="6" s="1"/>
  <c r="X32" i="6"/>
  <c r="Y32" i="6" s="1"/>
  <c r="X31" i="6"/>
  <c r="Y31" i="6" s="1"/>
  <c r="X29" i="6"/>
  <c r="Y29" i="6" s="1"/>
  <c r="X30" i="6"/>
  <c r="Y30" i="6" s="1"/>
  <c r="AP63" i="6"/>
  <c r="AR63" i="6" s="1"/>
  <c r="AP62" i="6"/>
  <c r="AR62" i="6" s="1"/>
  <c r="AP61" i="6"/>
  <c r="AR61" i="6" s="1"/>
  <c r="AP60" i="6"/>
  <c r="AR60" i="6" s="1"/>
  <c r="AP59" i="6"/>
  <c r="AR59" i="6" s="1"/>
  <c r="AP58" i="6"/>
  <c r="AR58" i="6" s="1"/>
  <c r="AP57" i="6"/>
  <c r="AR57" i="6" s="1"/>
  <c r="AP56" i="6"/>
  <c r="AR56" i="6" s="1"/>
  <c r="AP55" i="6"/>
  <c r="AR55" i="6" s="1"/>
  <c r="AP54" i="6"/>
  <c r="AR54" i="6" s="1"/>
  <c r="AP53" i="6"/>
  <c r="AR53" i="6" s="1"/>
  <c r="AP52" i="6"/>
  <c r="AR52" i="6" s="1"/>
  <c r="AP51" i="6"/>
  <c r="AR51" i="6" s="1"/>
  <c r="AP50" i="6"/>
  <c r="AP49" i="6"/>
  <c r="AR49" i="6" s="1"/>
  <c r="AP48" i="6"/>
  <c r="AR48" i="6" s="1"/>
  <c r="AQ50" i="6" l="1"/>
  <c r="AR50" i="6"/>
  <c r="AB45" i="6"/>
  <c r="AA45" i="6"/>
  <c r="AQ48" i="6"/>
  <c r="AQ49" i="6"/>
  <c r="AQ51" i="6"/>
  <c r="AQ52" i="6"/>
  <c r="AQ53" i="6"/>
  <c r="AQ54" i="6"/>
  <c r="AQ55" i="6"/>
  <c r="AQ56" i="6"/>
  <c r="AQ57" i="6"/>
  <c r="AQ58" i="6"/>
  <c r="AQ59" i="6"/>
  <c r="AQ60" i="6"/>
  <c r="AQ61" i="6"/>
  <c r="AQ62" i="6"/>
  <c r="AQ63" i="6"/>
  <c r="L86" i="6"/>
  <c r="N86" i="6" s="1"/>
  <c r="U67" i="6"/>
  <c r="W67" i="6" s="1"/>
  <c r="L87" i="6"/>
  <c r="N87" i="6" s="1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N101" i="6" l="1"/>
  <c r="P101" i="6" s="1"/>
  <c r="N100" i="6"/>
  <c r="P100" i="6" s="1"/>
  <c r="N99" i="6"/>
  <c r="P99" i="6" s="1"/>
  <c r="N98" i="6"/>
  <c r="P98" i="6" s="1"/>
  <c r="N97" i="6"/>
  <c r="P97" i="6" s="1"/>
  <c r="N96" i="6"/>
  <c r="P96" i="6" s="1"/>
  <c r="N95" i="6"/>
  <c r="P95" i="6" s="1"/>
  <c r="N94" i="6"/>
  <c r="P94" i="6" s="1"/>
  <c r="N93" i="6"/>
  <c r="P93" i="6" s="1"/>
  <c r="N92" i="6"/>
  <c r="P92" i="6" s="1"/>
  <c r="N91" i="6"/>
  <c r="P91" i="6" s="1"/>
  <c r="N90" i="6"/>
  <c r="P90" i="6" s="1"/>
  <c r="N89" i="6"/>
  <c r="P89" i="6" s="1"/>
  <c r="N88" i="6"/>
  <c r="P88" i="6" s="1"/>
  <c r="P87" i="6"/>
  <c r="Q87" i="6" s="1"/>
  <c r="P86" i="6"/>
  <c r="Q86" i="6" s="1"/>
  <c r="AS64" i="6"/>
  <c r="L120" i="6"/>
  <c r="N120" i="6" s="1"/>
  <c r="Q101" i="6"/>
  <c r="L119" i="6"/>
  <c r="N119" i="6" s="1"/>
  <c r="Q100" i="6"/>
  <c r="L118" i="6"/>
  <c r="N118" i="6" s="1"/>
  <c r="Q99" i="6"/>
  <c r="L117" i="6"/>
  <c r="N117" i="6" s="1"/>
  <c r="Q98" i="6"/>
  <c r="L116" i="6"/>
  <c r="N116" i="6" s="1"/>
  <c r="Q97" i="6"/>
  <c r="L115" i="6"/>
  <c r="N115" i="6" s="1"/>
  <c r="Q96" i="6"/>
  <c r="L114" i="6"/>
  <c r="N114" i="6" s="1"/>
  <c r="Q95" i="6"/>
  <c r="L113" i="6"/>
  <c r="N113" i="6" s="1"/>
  <c r="Q94" i="6"/>
  <c r="L112" i="6"/>
  <c r="N112" i="6" s="1"/>
  <c r="Q93" i="6"/>
  <c r="L111" i="6"/>
  <c r="N111" i="6" s="1"/>
  <c r="Q92" i="6"/>
  <c r="L110" i="6"/>
  <c r="N110" i="6" s="1"/>
  <c r="Q91" i="6"/>
  <c r="L109" i="6"/>
  <c r="N109" i="6" s="1"/>
  <c r="Q90" i="6"/>
  <c r="L108" i="6"/>
  <c r="N108" i="6" s="1"/>
  <c r="Q89" i="6"/>
  <c r="L107" i="6"/>
  <c r="N107" i="6" s="1"/>
  <c r="Q88" i="6"/>
  <c r="Q102" i="6" s="1"/>
  <c r="L106" i="6"/>
  <c r="N106" i="6" s="1"/>
  <c r="L105" i="6"/>
  <c r="N105" i="6" s="1"/>
  <c r="U82" i="6"/>
  <c r="U81" i="6"/>
  <c r="U80" i="6"/>
  <c r="U79" i="6"/>
  <c r="U78" i="6"/>
  <c r="U77" i="6"/>
  <c r="U76" i="6"/>
  <c r="U75" i="6"/>
  <c r="U74" i="6"/>
  <c r="U73" i="6"/>
  <c r="U72" i="6"/>
  <c r="U71" i="6"/>
  <c r="W71" i="6" s="1"/>
  <c r="U70" i="6"/>
  <c r="W70" i="6" s="1"/>
  <c r="U69" i="6"/>
  <c r="W69" i="6" s="1"/>
  <c r="U68" i="6"/>
  <c r="W68" i="6" s="1"/>
  <c r="V67" i="6"/>
  <c r="W72" i="6" l="1"/>
  <c r="X10" i="6"/>
  <c r="W73" i="6"/>
  <c r="X11" i="6"/>
  <c r="W74" i="6"/>
  <c r="X12" i="6"/>
  <c r="W75" i="6"/>
  <c r="X13" i="6"/>
  <c r="W76" i="6"/>
  <c r="X14" i="6"/>
  <c r="W77" i="6"/>
  <c r="X15" i="6"/>
  <c r="W78" i="6"/>
  <c r="X16" i="6"/>
  <c r="W79" i="6"/>
  <c r="X17" i="6"/>
  <c r="W80" i="6"/>
  <c r="X18" i="6"/>
  <c r="W81" i="6"/>
  <c r="X19" i="6"/>
  <c r="W82" i="6"/>
  <c r="X20" i="6"/>
  <c r="P106" i="6"/>
  <c r="Q106" i="6" s="1"/>
  <c r="P107" i="6"/>
  <c r="Q107" i="6" s="1"/>
  <c r="P108" i="6"/>
  <c r="Q108" i="6" s="1"/>
  <c r="P109" i="6"/>
  <c r="Q109" i="6" s="1"/>
  <c r="P110" i="6"/>
  <c r="Q110" i="6" s="1"/>
  <c r="P111" i="6"/>
  <c r="Q111" i="6" s="1"/>
  <c r="P112" i="6"/>
  <c r="Q112" i="6" s="1"/>
  <c r="P113" i="6"/>
  <c r="Q113" i="6" s="1"/>
  <c r="P114" i="6"/>
  <c r="Q114" i="6" s="1"/>
  <c r="P115" i="6"/>
  <c r="Q115" i="6" s="1"/>
  <c r="P116" i="6"/>
  <c r="Q116" i="6" s="1"/>
  <c r="P117" i="6"/>
  <c r="Q117" i="6" s="1"/>
  <c r="P118" i="6"/>
  <c r="Q118" i="6" s="1"/>
  <c r="P119" i="6"/>
  <c r="Q119" i="6" s="1"/>
  <c r="P120" i="6"/>
  <c r="Q120" i="6" s="1"/>
  <c r="V68" i="6"/>
  <c r="V69" i="6"/>
  <c r="V70" i="6"/>
  <c r="V71" i="6"/>
  <c r="V72" i="6"/>
  <c r="V73" i="6"/>
  <c r="V74" i="6"/>
  <c r="V75" i="6"/>
  <c r="V76" i="6"/>
  <c r="V77" i="6"/>
  <c r="V78" i="6"/>
  <c r="V79" i="6"/>
  <c r="V80" i="6"/>
  <c r="V81" i="6"/>
  <c r="V82" i="6"/>
  <c r="Y26" i="6" l="1"/>
  <c r="X83" i="6"/>
  <c r="Q105" i="6"/>
  <c r="Q121" i="6" s="1"/>
  <c r="I2" i="6" l="1"/>
  <c r="I3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<sst xmlns="http://schemas.openxmlformats.org/spreadsheetml/2006/main" count="1030" uniqueCount="186">
  <si>
    <t>Meetdatum</t>
  </si>
  <si>
    <t>Kalibratie 0</t>
  </si>
  <si>
    <t>Component</t>
  </si>
  <si>
    <t>Theoretische concentratie (ng/l)</t>
  </si>
  <si>
    <t>Retentietijd (min)</t>
  </si>
  <si>
    <t>Berekende concentratie (ng/l)</t>
  </si>
  <si>
    <t>Terugvinding (%)</t>
  </si>
  <si>
    <t>Ratio (%)</t>
  </si>
  <si>
    <t>Amisulbrom</t>
  </si>
  <si>
    <t>-</t>
  </si>
  <si>
    <t>N.v.t</t>
  </si>
  <si>
    <t>Clothianidine</t>
  </si>
  <si>
    <t>Cyazofamide</t>
  </si>
  <si>
    <t>Cymoxanil</t>
  </si>
  <si>
    <t>Desmedifam</t>
  </si>
  <si>
    <t>Fenmedifam</t>
  </si>
  <si>
    <t>Fenoxycarb</t>
  </si>
  <si>
    <t>Fipronil</t>
  </si>
  <si>
    <t>Florasulam</t>
  </si>
  <si>
    <t>Fluazifop-P-butyl</t>
  </si>
  <si>
    <t>Fluazinam</t>
  </si>
  <si>
    <t>Fludioxonil</t>
  </si>
  <si>
    <t>Mesotrione</t>
  </si>
  <si>
    <t>Methoxyfenozide</t>
  </si>
  <si>
    <t>Oxamyl</t>
  </si>
  <si>
    <t>Triallaat</t>
  </si>
  <si>
    <t>Kalibratie 1</t>
  </si>
  <si>
    <t>Kalibratie 2</t>
  </si>
  <si>
    <t>Kalibratie 3</t>
  </si>
  <si>
    <t>Kalibratie 4</t>
  </si>
  <si>
    <t>Kalibratie 5</t>
  </si>
  <si>
    <t>Kalibratie 6</t>
  </si>
  <si>
    <t>Blanco eluens water 01</t>
  </si>
  <si>
    <t>Blanco eluens water 02</t>
  </si>
  <si>
    <t>OW A additie laag 01</t>
  </si>
  <si>
    <t>OW A additie laag 02</t>
  </si>
  <si>
    <t>OW A additie laag 03</t>
  </si>
  <si>
    <t>OW A additie laag 04</t>
  </si>
  <si>
    <t>OW A additie laag 05</t>
  </si>
  <si>
    <t>OW A additie laag 06</t>
  </si>
  <si>
    <t>OW A additie laag 07</t>
  </si>
  <si>
    <t>OW A additie laag 08</t>
  </si>
  <si>
    <t>OW B additie hoog 01</t>
  </si>
  <si>
    <t>OW B additie hoog 02</t>
  </si>
  <si>
    <t>OW B additie hoog 03</t>
  </si>
  <si>
    <t>OW B additie hoog 04</t>
  </si>
  <si>
    <t>OW B additie hoog 05</t>
  </si>
  <si>
    <t>OW B additie hoog 06</t>
  </si>
  <si>
    <t>OW B additie hoog 07</t>
  </si>
  <si>
    <t>OW B additie hoog 08</t>
  </si>
  <si>
    <t>Blanco eluens water 03</t>
  </si>
  <si>
    <t>OW B additie hoog 09</t>
  </si>
  <si>
    <t>OW B additie hoog 10</t>
  </si>
  <si>
    <t>OW B additie hoog 11</t>
  </si>
  <si>
    <t>OW B additie hoog 12</t>
  </si>
  <si>
    <t>OW B additie hoog 13</t>
  </si>
  <si>
    <t>OW B additie hoog 14</t>
  </si>
  <si>
    <t>OW B additie hoog 15</t>
  </si>
  <si>
    <t>OW B additie hoog 16</t>
  </si>
  <si>
    <t>OW B additie hoog 17</t>
  </si>
  <si>
    <t>OW B additie hoog 18</t>
  </si>
  <si>
    <t>KAL  standaard 4 - 01</t>
  </si>
  <si>
    <t>KAL  standaard 4 - 02</t>
  </si>
  <si>
    <t>KAL  standaard 4 - 03</t>
  </si>
  <si>
    <t>KAL  standaard 4 - 04</t>
  </si>
  <si>
    <t>KAL  standaard 4 - 05</t>
  </si>
  <si>
    <t>KAL  standaard 4 - 06</t>
  </si>
  <si>
    <t>KAL  standaard 4 - 07</t>
  </si>
  <si>
    <t>KAL  standaard 4 - 08</t>
  </si>
  <si>
    <t>KAL standaard 4 - 08</t>
  </si>
  <si>
    <t>KAL standaard 4 - 07</t>
  </si>
  <si>
    <t>KAL standaard 4 - 06</t>
  </si>
  <si>
    <t>KAL standaard 4 - 05</t>
  </si>
  <si>
    <t>KAL standaard 4 - 04</t>
  </si>
  <si>
    <t>KAL standaard 4 - 03</t>
  </si>
  <si>
    <t>KAL standaard 4 - 02</t>
  </si>
  <si>
    <t>OW B (02)</t>
  </si>
  <si>
    <t>OW B (01)</t>
  </si>
  <si>
    <t>KAL standaard 4 - 01</t>
  </si>
  <si>
    <t>OW A (KAL 0) 02</t>
  </si>
  <si>
    <t>OW A (KAL 0) 01</t>
  </si>
  <si>
    <t>Gem. Terugvinding (%)</t>
  </si>
  <si>
    <t>Geaddeerde concentratie (ng/l)</t>
  </si>
  <si>
    <t>Aantoonbaarheidsgrens (ng/l), uit OW A additie laag 01-08</t>
  </si>
  <si>
    <t>Leverancier</t>
  </si>
  <si>
    <r>
      <t>RSD</t>
    </r>
    <r>
      <rPr>
        <b/>
        <vertAlign val="subscript"/>
        <sz val="7"/>
        <color theme="1"/>
        <rFont val="Arial"/>
        <family val="2"/>
      </rPr>
      <t>r</t>
    </r>
  </si>
  <si>
    <r>
      <t>AG (ng/l) 9*RSD</t>
    </r>
    <r>
      <rPr>
        <b/>
        <vertAlign val="subscript"/>
        <sz val="7"/>
        <color theme="1"/>
        <rFont val="Arial"/>
        <family val="2"/>
      </rPr>
      <t>r</t>
    </r>
  </si>
  <si>
    <r>
      <t>RSD</t>
    </r>
    <r>
      <rPr>
        <b/>
        <vertAlign val="subscript"/>
        <sz val="7"/>
        <color theme="1"/>
        <rFont val="Arial"/>
        <family val="2"/>
      </rPr>
      <t>r</t>
    </r>
    <r>
      <rPr>
        <b/>
        <sz val="7"/>
        <color theme="1"/>
        <rFont val="Arial"/>
        <family val="2"/>
      </rPr>
      <t xml:space="preserve"> (%)</t>
    </r>
  </si>
  <si>
    <t>Ratio</t>
  </si>
  <si>
    <t>Gemiddele OW B (ng/l)</t>
  </si>
  <si>
    <t>Terugvinding en Herhaalbaarheid uit OW B additie hoog 01-08, Gecorrigeerd voor gemiddelde OW B</t>
  </si>
  <si>
    <t>Aantal metingen</t>
  </si>
  <si>
    <t xml:space="preserve">Aantal metingen </t>
  </si>
  <si>
    <r>
      <t>RSD</t>
    </r>
    <r>
      <rPr>
        <b/>
        <vertAlign val="subscript"/>
        <sz val="7"/>
        <color theme="1"/>
        <rFont val="Arial"/>
        <family val="2"/>
      </rPr>
      <t>r</t>
    </r>
    <r>
      <rPr>
        <b/>
        <sz val="7"/>
        <color theme="1"/>
        <rFont val="Arial"/>
        <family val="2"/>
      </rPr>
      <t xml:space="preserve"> (%) tov gem.</t>
    </r>
  </si>
  <si>
    <t>Gemiddelde</t>
  </si>
  <si>
    <t>Gemiddelde (ng/l)</t>
  </si>
  <si>
    <t>Herhaalbaarheid uit checkstandaarden</t>
  </si>
  <si>
    <t>Gemiddelde TV</t>
  </si>
  <si>
    <t>Ruwe resultaten</t>
  </si>
  <si>
    <t>Berekeningen en punten toekenning</t>
  </si>
  <si>
    <t>Gemiddelde ratio KAL 3-6</t>
  </si>
  <si>
    <t>KAL 1 - 2x verdund</t>
  </si>
  <si>
    <t>KAL 1 - 5x verdund</t>
  </si>
  <si>
    <t>&gt;</t>
  </si>
  <si>
    <t>Grens (%) ratio volgens NEN 21253</t>
  </si>
  <si>
    <t>Voldoet (ja/nee)</t>
  </si>
  <si>
    <t>Punten</t>
  </si>
  <si>
    <t>Totaal</t>
  </si>
  <si>
    <t>Punten per onderdeel</t>
  </si>
  <si>
    <t>Aantoonbaarheidsgrens</t>
  </si>
  <si>
    <t>min</t>
  </si>
  <si>
    <t>max</t>
  </si>
  <si>
    <t>ng/l</t>
  </si>
  <si>
    <t>eenheid</t>
  </si>
  <si>
    <t>%</t>
  </si>
  <si>
    <t xml:space="preserve">Gemiddelde terugvinding </t>
  </si>
  <si>
    <t>afwijking tov 100</t>
  </si>
  <si>
    <t>Punten (per component)</t>
  </si>
  <si>
    <t>Drift standaard (hele bereik)</t>
  </si>
  <si>
    <t>Gevoeligheid systeem</t>
  </si>
  <si>
    <t>Ratio voldoet tov NEN 21253</t>
  </si>
  <si>
    <t>ja</t>
  </si>
  <si>
    <t>nee</t>
  </si>
  <si>
    <t>punten</t>
  </si>
  <si>
    <t>TV (%) punten</t>
  </si>
  <si>
    <r>
      <t>RSD</t>
    </r>
    <r>
      <rPr>
        <b/>
        <vertAlign val="subscript"/>
        <sz val="7"/>
        <color theme="1"/>
        <rFont val="Arial"/>
        <family val="2"/>
      </rPr>
      <t xml:space="preserve">r </t>
    </r>
    <r>
      <rPr>
        <b/>
        <sz val="7"/>
        <color theme="1"/>
        <rFont val="Arial"/>
        <family val="2"/>
      </rPr>
      <t>Punten</t>
    </r>
  </si>
  <si>
    <t>Max. aantal punten</t>
  </si>
  <si>
    <t>Eindscore</t>
  </si>
  <si>
    <t>Totaal punten</t>
  </si>
  <si>
    <t>Meting</t>
  </si>
  <si>
    <t>type</t>
  </si>
  <si>
    <t>naam</t>
  </si>
  <si>
    <t>kal</t>
  </si>
  <si>
    <t>KAL standaard 0</t>
  </si>
  <si>
    <t>KAL standaard 1</t>
  </si>
  <si>
    <t>KAL standaard 2</t>
  </si>
  <si>
    <t>KAL standaard 3</t>
  </si>
  <si>
    <t>KAL standaard 4</t>
  </si>
  <si>
    <t>KAL standaard 5</t>
  </si>
  <si>
    <t>KAL standaard 6</t>
  </si>
  <si>
    <t>sample</t>
  </si>
  <si>
    <t>OW A (KAL 0)  01</t>
  </si>
  <si>
    <t>OW A (KAL 0)  02</t>
  </si>
  <si>
    <t>OW B  01</t>
  </si>
  <si>
    <t>OW B  02</t>
  </si>
  <si>
    <t>KAL 1 -  2 x verdund 01</t>
  </si>
  <si>
    <t>KAL 1 -  5 x verdund 01</t>
  </si>
  <si>
    <t>Injectie datum + tijd</t>
  </si>
  <si>
    <t>Methode gegevens</t>
  </si>
  <si>
    <t>Gegevens sequence</t>
  </si>
  <si>
    <t>OW B 1-8</t>
  </si>
  <si>
    <t>alle checkstandaarden</t>
  </si>
  <si>
    <t>OW A 1-8</t>
  </si>
  <si>
    <t>Ratio spreiding</t>
  </si>
  <si>
    <t>Herhaalbaarheid  8 metingen</t>
  </si>
  <si>
    <t>Injectie nummer</t>
  </si>
  <si>
    <t>Vergelijking kalibratielijn</t>
  </si>
  <si>
    <t>Precursor 2</t>
  </si>
  <si>
    <t>Precursor 1</t>
  </si>
  <si>
    <t>Fragement 1</t>
  </si>
  <si>
    <t>Fragement 2</t>
  </si>
  <si>
    <t>Quantitation overgang (area)</t>
  </si>
  <si>
    <t>Kwalification overgang (area)</t>
  </si>
  <si>
    <t>Correlatie coëfficiënt kalibratielijn</t>
  </si>
  <si>
    <t>Filtratie van de monsters</t>
  </si>
  <si>
    <t>ja/nee</t>
  </si>
  <si>
    <t>Merk filter</t>
  </si>
  <si>
    <t>Type filter</t>
  </si>
  <si>
    <t>Naam acquisitiemethode</t>
  </si>
  <si>
    <t>Merk</t>
  </si>
  <si>
    <t>Type</t>
  </si>
  <si>
    <t>Poriegrootte</t>
  </si>
  <si>
    <t>Gebruik guardkolom</t>
  </si>
  <si>
    <t>Lengte</t>
  </si>
  <si>
    <t>Merk analytische kolom</t>
  </si>
  <si>
    <t>Deeltjesgrootte</t>
  </si>
  <si>
    <t>Diameter</t>
  </si>
  <si>
    <t>Start tijd</t>
  </si>
  <si>
    <t>Eluens A</t>
  </si>
  <si>
    <t>Eluens B</t>
  </si>
  <si>
    <t>Flow (ml/min)</t>
  </si>
  <si>
    <t>Eleuns A</t>
  </si>
  <si>
    <t>Samenstelling</t>
  </si>
  <si>
    <t>Gradiëntprogramma</t>
  </si>
  <si>
    <t>Gevoeligheid, Kal 1 5x vv</t>
  </si>
  <si>
    <t>Gevoeligheid, Kal 1 2x vv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</si>
</sst>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h:mm;@"/>
  </numFmts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7"/>
      <color theme="1"/>
      <name val="Arial"/>
      <family val="2"/>
    </font>
    <font>
      <b/>
      <vertAlign val="subscript"/>
      <sz val="7"/>
      <color theme="1"/>
      <name val="Arial"/>
      <family val="2"/>
    </font>
    <font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3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2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left"/>
    </xf>
    <xf numFmtId="0" fontId="2" fillId="4" borderId="0" xfId="0" applyFont="1" applyFill="1"/>
    <xf numFmtId="0" fontId="0" fillId="4" borderId="4" xfId="0" applyFill="1" applyBorder="1"/>
    <xf numFmtId="0" fontId="1" fillId="4" borderId="0" xfId="0" applyFont="1" applyFill="1"/>
    <xf numFmtId="0" fontId="0" fillId="4" borderId="0" xfId="0" applyFill="1" applyAlignment="1">
      <alignment horizontal="center"/>
    </xf>
    <xf numFmtId="0" fontId="1" fillId="2" borderId="2" xfId="0" applyFont="1" applyFill="1" applyBorder="1"/>
    <xf numFmtId="0" fontId="1" fillId="2" borderId="6" xfId="0" applyFont="1" applyFill="1" applyBorder="1"/>
    <xf numFmtId="0" fontId="1" fillId="2" borderId="3" xfId="0" applyFont="1" applyFill="1" applyBorder="1"/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164" fontId="0" fillId="4" borderId="4" xfId="0" applyNumberFormat="1" applyFill="1" applyBorder="1" applyAlignment="1">
      <alignment horizontal="center"/>
    </xf>
    <xf numFmtId="164" fontId="0" fillId="4" borderId="4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2" fontId="0" fillId="4" borderId="4" xfId="0" applyNumberFormat="1" applyFill="1" applyBorder="1" applyAlignment="1">
      <alignment horizontal="center" vertical="center"/>
    </xf>
    <xf numFmtId="0" fontId="1" fillId="2" borderId="4" xfId="0" applyFont="1" applyFill="1" applyBorder="1"/>
    <xf numFmtId="1" fontId="0" fillId="4" borderId="4" xfId="0" applyNumberFormat="1" applyFill="1" applyBorder="1" applyAlignment="1">
      <alignment horizontal="center"/>
    </xf>
    <xf numFmtId="2" fontId="0" fillId="4" borderId="5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2" borderId="1" xfId="0" applyFill="1" applyBorder="1"/>
    <xf numFmtId="1" fontId="0" fillId="4" borderId="4" xfId="0" applyNumberFormat="1" applyFill="1" applyBorder="1" applyAlignment="1">
      <alignment horizontal="center" vertical="center"/>
    </xf>
    <xf numFmtId="1" fontId="0" fillId="4" borderId="0" xfId="0" applyNumberFormat="1" applyFill="1" applyAlignment="1">
      <alignment horizontal="right"/>
    </xf>
    <xf numFmtId="164" fontId="0" fillId="4" borderId="1" xfId="0" applyNumberFormat="1" applyFill="1" applyBorder="1" applyAlignment="1">
      <alignment horizontal="center" vertical="center"/>
    </xf>
    <xf numFmtId="164" fontId="0" fillId="4" borderId="7" xfId="0" applyNumberFormat="1" applyFill="1" applyBorder="1" applyAlignment="1">
      <alignment horizontal="center" vertical="center"/>
    </xf>
    <xf numFmtId="164" fontId="0" fillId="4" borderId="0" xfId="0" applyNumberFormat="1" applyFill="1"/>
    <xf numFmtId="164" fontId="3" fillId="2" borderId="9" xfId="0" applyNumberFormat="1" applyFont="1" applyFill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 vertical="center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0" fontId="0" fillId="2" borderId="13" xfId="0" applyFill="1" applyBorder="1"/>
    <xf numFmtId="0" fontId="0" fillId="4" borderId="13" xfId="0" applyFill="1" applyBorder="1" applyAlignment="1">
      <alignment horizontal="center" vertical="center"/>
    </xf>
    <xf numFmtId="0" fontId="0" fillId="4" borderId="13" xfId="0" applyFill="1" applyBorder="1"/>
    <xf numFmtId="0" fontId="0" fillId="4" borderId="4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4" xfId="0" applyFill="1" applyBorder="1"/>
    <xf numFmtId="0" fontId="0" fillId="4" borderId="14" xfId="0" applyFill="1" applyBorder="1" applyAlignment="1">
      <alignment horizontal="center" vertical="center"/>
    </xf>
    <xf numFmtId="0" fontId="1" fillId="2" borderId="14" xfId="0" applyFont="1" applyFill="1" applyBorder="1"/>
    <xf numFmtId="0" fontId="7" fillId="4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0" fontId="5" fillId="2" borderId="15" xfId="0" applyFont="1" applyFill="1" applyBorder="1" applyAlignment="1">
      <alignment horizontal="center" vertical="center" wrapText="1"/>
    </xf>
    <xf numFmtId="164" fontId="0" fillId="4" borderId="3" xfId="0" applyNumberForma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/>
    </xf>
    <xf numFmtId="2" fontId="0" fillId="4" borderId="3" xfId="0" applyNumberFormat="1" applyFill="1" applyBorder="1" applyAlignment="1">
      <alignment horizontal="center" vertical="center"/>
    </xf>
    <xf numFmtId="0" fontId="0" fillId="4" borderId="12" xfId="0" applyFill="1" applyBorder="1"/>
    <xf numFmtId="0" fontId="7" fillId="4" borderId="12" xfId="0" applyFont="1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7" fillId="4" borderId="12" xfId="0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7" fillId="4" borderId="0" xfId="0" applyNumberFormat="1" applyFont="1" applyFill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4" borderId="12" xfId="0" applyNumberFormat="1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>
      <alignment horizontal="center"/>
    </xf>
    <xf numFmtId="165" fontId="0" fillId="3" borderId="1" xfId="0" applyNumberFormat="1" applyFill="1" applyBorder="1" applyProtection="1">
      <protection locked="0"/>
    </xf>
    <xf numFmtId="164" fontId="0" fillId="4" borderId="1" xfId="0" applyNumberFormat="1" applyFill="1" applyBorder="1" applyAlignment="1">
      <alignment horizontal="center"/>
    </xf>
    <xf numFmtId="0" fontId="7" fillId="4" borderId="0" xfId="0" applyFont="1" applyFill="1" applyAlignment="1">
      <alignment horizontal="center"/>
    </xf>
  </cellXfs>
  <cellStyles count="1">
    <cellStyle name="Standaard" xfId="0" builtinId="0"/>
  </cellStyles>
  <dxfs count="60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B5E6A2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waterproef.nl/logo/footer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s://www.waterproef.nl/logo/footer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s://www.waterproef.nl/logo/footer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57150</xdr:rowOff>
    </xdr:from>
    <xdr:to>
      <xdr:col>3</xdr:col>
      <xdr:colOff>409015</xdr:colOff>
      <xdr:row>5</xdr:row>
      <xdr:rowOff>94757</xdr:rowOff>
    </xdr:to>
    <xdr:pic>
      <xdr:nvPicPr>
        <xdr:cNvPr id="4" name="Afbeelding 3" descr="logo">
          <a:extLst>
            <a:ext uri="{FF2B5EF4-FFF2-40B4-BE49-F238E27FC236}">
              <a16:creationId xmlns:a16="http://schemas.microsoft.com/office/drawing/2014/main" id="{680F1CBB-AC36-457B-9A4E-DDFE064FA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2152090" cy="847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2</xdr:col>
      <xdr:colOff>885825</xdr:colOff>
      <xdr:row>5</xdr:row>
      <xdr:rowOff>117729</xdr:rowOff>
    </xdr:to>
    <xdr:pic>
      <xdr:nvPicPr>
        <xdr:cNvPr id="4" name="Afbeelding 3" descr="logo">
          <a:extLst>
            <a:ext uri="{FF2B5EF4-FFF2-40B4-BE49-F238E27FC236}">
              <a16:creationId xmlns:a16="http://schemas.microsoft.com/office/drawing/2014/main" id="{4E94BDA8-8B71-45B2-B130-40822F831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2143125" cy="832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57150</xdr:rowOff>
    </xdr:from>
    <xdr:to>
      <xdr:col>1</xdr:col>
      <xdr:colOff>1647825</xdr:colOff>
      <xdr:row>5</xdr:row>
      <xdr:rowOff>79629</xdr:rowOff>
    </xdr:to>
    <xdr:pic>
      <xdr:nvPicPr>
        <xdr:cNvPr id="2" name="Afbeelding 1" descr="logo">
          <a:extLst>
            <a:ext uri="{FF2B5EF4-FFF2-40B4-BE49-F238E27FC236}">
              <a16:creationId xmlns:a16="http://schemas.microsoft.com/office/drawing/2014/main" id="{DD6C3CBD-F83B-4EC0-BEF2-36838D9F6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0"/>
          <a:ext cx="2143125" cy="832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1026B21-637F-4091-9B21-B36ADBC4AEEF}" name="Kalibratie0" displayName="Kalibratie0" ref="B9:I25" totalsRowShown="0" headerRowDxfId="601" dataDxfId="599" headerRowBorderDxfId="600" tableBorderDxfId="598" totalsRowBorderDxfId="597">
  <autoFilter ref="B9:I25" xr:uid="{DBBB033C-1534-4D3D-878C-0813AF80BE7B}"/>
  <tableColumns count="8">
    <tableColumn id="1" xr3:uid="{41BE15BB-AD85-458F-A97B-A28ED6ACAA84}" name="Component" dataDxfId="596"/>
    <tableColumn id="2" xr3:uid="{A77D2275-A459-42A6-BD64-51F22C18E0C7}" name="Theoretische concentratie (ng/l)" dataDxfId="595"/>
    <tableColumn id="3" xr3:uid="{215326BB-755D-42A3-8F77-E6EB46B554E0}" name="Retentietijd (min)" dataDxfId="594"/>
    <tableColumn id="5" xr3:uid="{6903866B-B85D-461D-8551-420FFF36B2DF}" name="Quantitation overgang (area)" dataDxfId="593"/>
    <tableColumn id="7" xr3:uid="{3B15E04C-9FCA-4501-9D43-FB7F551936DE}" name="Kwalification overgang (area)" dataDxfId="592"/>
    <tableColumn id="8" xr3:uid="{ED638002-7E16-438F-92CB-9AF85A0494EB}" name="Berekende concentratie (ng/l)" dataDxfId="591"/>
    <tableColumn id="9" xr3:uid="{4D60C53B-C02B-415C-91F7-5858206FF0B0}" name="Terugvinding (%)" dataDxfId="590"/>
    <tableColumn id="10" xr3:uid="{1F329DE8-F3A3-4896-AC33-0D298075F4B2}" name="Ratio (%)" dataDxfId="589">
      <calculatedColumnFormula>IFERROR(MIN(E10,F10)/MAX(E10,F10)*100,"")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99191189-20AA-4AA4-BC2C-78B6C804556B}" name="OW_A_KAL_0_01" displayName="OW_A_KAL_0_01" ref="B180:I196" totalsRowShown="0" headerRowDxfId="491" headerRowBorderDxfId="490" tableBorderDxfId="489" totalsRowBorderDxfId="488">
  <autoFilter ref="B180:I196" xr:uid="{D5B71C82-C0BA-41FB-BE55-D53B8D64ABF0}"/>
  <tableColumns count="8">
    <tableColumn id="1" xr3:uid="{D2BD60FF-CF66-43B1-B9E4-0830EBAB8D56}" name="Component" dataDxfId="487"/>
    <tableColumn id="2" xr3:uid="{577D8C91-0897-4EAE-84F7-D666A4B692A9}" name="Theoretische concentratie (ng/l)" dataDxfId="486"/>
    <tableColumn id="3" xr3:uid="{E63CB56E-24CF-4CE3-A9F4-532919D26047}" name="Retentietijd (min)" dataDxfId="485"/>
    <tableColumn id="5" xr3:uid="{E12A2A44-94C8-4FB3-BF3B-196CD3BB2484}" name="Quantitation overgang (area)" dataDxfId="484"/>
    <tableColumn id="7" xr3:uid="{CC3ADFD1-2A6D-4802-A517-35F408FF33A4}" name="Kwalification overgang (area)" dataDxfId="483"/>
    <tableColumn id="8" xr3:uid="{B4A0BBFA-FF29-4042-8C70-BA8CCF622018}" name="Berekende concentratie (ng/l)" dataDxfId="482"/>
    <tableColumn id="9" xr3:uid="{D4AFBC11-1036-458A-828B-A84A7E00CF4A}" name="Terugvinding (%)" dataDxfId="481"/>
    <tableColumn id="10" xr3:uid="{4964D611-74DC-48E2-99B3-CEA65D8FA8E4}" name="Ratio (%)" dataDxfId="480">
      <calculatedColumnFormula>IFERROR(MIN(E181,F181)/MAX(E181,F181)*100,"")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2EF0B461-3F65-418E-ABCF-82B053A24E19}" name="OW_A_KAL_0_02" displayName="OW_A_KAL_0_02" ref="B199:I215" totalsRowShown="0" headerRowDxfId="479" headerRowBorderDxfId="478" tableBorderDxfId="477" totalsRowBorderDxfId="476">
  <autoFilter ref="B199:I215" xr:uid="{9F4AD14F-D5FD-42A4-8F4A-A8AC84A03856}"/>
  <tableColumns count="8">
    <tableColumn id="1" xr3:uid="{856C0AB7-A69B-452A-8960-2B1E9E1A5376}" name="Component" dataDxfId="475"/>
    <tableColumn id="2" xr3:uid="{EE0F7C20-F73E-446A-8EB5-46DB8D2E8ED5}" name="Theoretische concentratie (ng/l)" dataDxfId="474"/>
    <tableColumn id="3" xr3:uid="{D9A13509-082A-4930-8BC0-73AC5332DED5}" name="Retentietijd (min)" dataDxfId="473"/>
    <tableColumn id="5" xr3:uid="{96DCA587-B904-4FA1-B73F-85C82BB5BDA3}" name="Quantitation overgang (area)" dataDxfId="472"/>
    <tableColumn id="7" xr3:uid="{DAFAFED5-54ED-40B5-A751-13865C033BBD}" name="Kwalification overgang (area)" dataDxfId="471"/>
    <tableColumn id="8" xr3:uid="{D3C93914-B125-4FC6-B198-59B47E3541CF}" name="Berekende concentratie (ng/l)" dataDxfId="470"/>
    <tableColumn id="9" xr3:uid="{9177DC2F-D0F3-4D84-B5C3-DBA67154B82A}" name="Terugvinding (%)" dataDxfId="469"/>
    <tableColumn id="10" xr3:uid="{B88154F7-8530-4D4C-B329-2E2D38F06A06}" name="Ratio (%)" dataDxfId="468">
      <calculatedColumnFormula>IFERROR(MIN(E200,F200)/MAX(E200,F200)*100,"")</calculatedColumnFormula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6B89DA8-28D2-479B-ADCE-D2B4DEA9BE63}" name="OW_A_additie_laag01" displayName="OW_A_additie_laag01" ref="B218:I234" totalsRowShown="0" headerRowDxfId="467" headerRowBorderDxfId="466" tableBorderDxfId="465" totalsRowBorderDxfId="464">
  <autoFilter ref="B218:I234" xr:uid="{7A17437B-D769-4DE6-BE6F-28EF957D947E}"/>
  <sortState xmlns:xlrd2="http://schemas.microsoft.com/office/spreadsheetml/2017/richdata2" ref="B219:I234">
    <sortCondition descending="1" ref="G218:G234"/>
  </sortState>
  <tableColumns count="8">
    <tableColumn id="1" xr3:uid="{301334DD-A923-47CB-BEEF-9583C0C64D38}" name="Component" dataDxfId="463"/>
    <tableColumn id="2" xr3:uid="{85E730C0-A0EE-4BAF-A9F6-4E73BC467C23}" name="Theoretische concentratie (ng/l)" dataDxfId="462"/>
    <tableColumn id="3" xr3:uid="{F1E89B7C-303A-49DC-A5CF-17E6E2575D1C}" name="Retentietijd (min)" dataDxfId="461"/>
    <tableColumn id="5" xr3:uid="{2C835174-F201-40C5-9E87-408CDBAB0640}" name="Quantitation overgang (area)" dataDxfId="460"/>
    <tableColumn id="7" xr3:uid="{7090EF12-05F6-4120-8C02-0FCDE1587473}" name="Kwalification overgang (area)" dataDxfId="459"/>
    <tableColumn id="8" xr3:uid="{F4AF8601-B3A4-4510-B9EE-5D0A09374EF9}" name="Berekende concentratie (ng/l)" dataDxfId="458"/>
    <tableColumn id="9" xr3:uid="{9FF631EE-A8E3-44E5-A6B4-E51BC4220490}" name="Terugvinding (%)" dataDxfId="457">
      <calculatedColumnFormula>IF(G219="","",100*G219/C219)</calculatedColumnFormula>
    </tableColumn>
    <tableColumn id="10" xr3:uid="{321D3FEC-662C-4494-936D-0A2500D00306}" name="Ratio (%)" dataDxfId="456">
      <calculatedColumnFormula>IFERROR(MIN(E219,F219)/MAX(E219,F219)*100,"")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D12C71D0-8679-4A51-B4A5-20337C424A9D}" name="OW_A_additie_laag02" displayName="OW_A_additie_laag02" ref="B237:I253" totalsRowShown="0" headerRowDxfId="455" headerRowBorderDxfId="454" tableBorderDxfId="453" totalsRowBorderDxfId="452">
  <autoFilter ref="B237:I253" xr:uid="{A14A9168-0912-4EC1-8258-5ED0D49319F4}"/>
  <tableColumns count="8">
    <tableColumn id="1" xr3:uid="{7048BD76-9A98-4745-B58C-47A9719F0C0B}" name="Component" dataDxfId="451"/>
    <tableColumn id="2" xr3:uid="{B992DF0A-C4A7-4922-BC85-994C17916247}" name="Theoretische concentratie (ng/l)" dataDxfId="450">
      <calculatedColumnFormula>VLOOKUP(OW_A_additie_laag02[[#This Row],[Component]],OW_A_additie_laag01[],2,FALSE)</calculatedColumnFormula>
    </tableColumn>
    <tableColumn id="3" xr3:uid="{B87EFD48-BC3C-421C-B11A-9E56BC1DAA30}" name="Retentietijd (min)" dataDxfId="449"/>
    <tableColumn id="5" xr3:uid="{827BE347-8F7B-4276-B948-0E2C5BE1ABA9}" name="Quantitation overgang (area)" dataDxfId="448"/>
    <tableColumn id="7" xr3:uid="{08CE79B3-1A97-4FC1-B4F3-725A101E9896}" name="Kwalification overgang (area)" dataDxfId="447"/>
    <tableColumn id="8" xr3:uid="{DE251121-8BEF-435D-B6B5-5D1B1B166F2D}" name="Berekende concentratie (ng/l)" dataDxfId="446"/>
    <tableColumn id="9" xr3:uid="{5E26FB24-AFB3-4D2C-8A62-B2E061597190}" name="Terugvinding (%)" dataDxfId="445">
      <calculatedColumnFormula>IF(G238="","",100*G238/C238)</calculatedColumnFormula>
    </tableColumn>
    <tableColumn id="10" xr3:uid="{F42A1697-A89A-4BE2-9993-C556924BD56A}" name="Ratio (%)" dataDxfId="444">
      <calculatedColumnFormula>IFERROR(MIN(E238,F238)/MAX(E238,F238)*100,"")</calculatedColumnFormula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D905F9F4-7B5E-4908-930F-19744E708A30}" name="OW_A_additie_laag03" displayName="OW_A_additie_laag03" ref="B256:I272" totalsRowShown="0" headerRowDxfId="443" headerRowBorderDxfId="442" tableBorderDxfId="441" totalsRowBorderDxfId="440">
  <autoFilter ref="B256:I272" xr:uid="{7067610E-4582-4255-B858-D8038465F03F}"/>
  <tableColumns count="8">
    <tableColumn id="1" xr3:uid="{16F42754-0439-4D1C-B4BD-74AD16F8A167}" name="Component" dataDxfId="439"/>
    <tableColumn id="2" xr3:uid="{90D5FB01-A207-4D1E-8DB4-8AE3A3AFF6E6}" name="Theoretische concentratie (ng/l)" dataDxfId="438">
      <calculatedColumnFormula>VLOOKUP(OW_A_additie_laag03[[#This Row],[Component]],OW_A_additie_laag01[],2,FALSE)</calculatedColumnFormula>
    </tableColumn>
    <tableColumn id="3" xr3:uid="{F7C000B0-698E-4694-ABDB-701D32323254}" name="Retentietijd (min)" dataDxfId="437"/>
    <tableColumn id="5" xr3:uid="{42698C13-AB16-4501-8A84-513168257BD3}" name="Quantitation overgang (area)" dataDxfId="436"/>
    <tableColumn id="7" xr3:uid="{447F3BAC-0E49-4F9E-BA82-6B73A1D7D925}" name="Kwalification overgang (area)" dataDxfId="435"/>
    <tableColumn id="8" xr3:uid="{C860693C-8F4A-4793-B7B9-607F6D267B36}" name="Berekende concentratie (ng/l)" dataDxfId="434"/>
    <tableColumn id="9" xr3:uid="{1D960336-3AE1-49D9-B364-71FB8B7270F9}" name="Terugvinding (%)" dataDxfId="433">
      <calculatedColumnFormula>IF(G257="","",100*G257/C257)</calculatedColumnFormula>
    </tableColumn>
    <tableColumn id="10" xr3:uid="{601F94FA-B7D9-4867-8AB4-973B18E24E4D}" name="Ratio (%)" dataDxfId="432">
      <calculatedColumnFormula>IFERROR(MIN(E257,F257)/MAX(E257,F257)*100,"")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311E2E8E-80C8-4139-9AA6-AA20B05DBC48}" name="OW_A_additie_laag04" displayName="OW_A_additie_laag04" ref="B275:I291" totalsRowShown="0" headerRowDxfId="431" headerRowBorderDxfId="430" tableBorderDxfId="429" totalsRowBorderDxfId="428">
  <autoFilter ref="B275:I291" xr:uid="{3835E8D2-00EE-498E-8516-DCD3F2BAC41C}"/>
  <tableColumns count="8">
    <tableColumn id="1" xr3:uid="{814BAF6D-ED23-4465-930E-1F6122BB51E4}" name="Component" dataDxfId="427"/>
    <tableColumn id="2" xr3:uid="{D70B1C92-7E8A-488E-A9E7-8C9726C733C6}" name="Theoretische concentratie (ng/l)" dataDxfId="426">
      <calculatedColumnFormula>VLOOKUP(OW_A_additie_laag04[[#This Row],[Component]],OW_A_additie_laag01[],2,FALSE)</calculatedColumnFormula>
    </tableColumn>
    <tableColumn id="3" xr3:uid="{D7039B9C-F9DD-4D64-8A8D-B12DEC8CCB9D}" name="Retentietijd (min)" dataDxfId="425"/>
    <tableColumn id="5" xr3:uid="{B58D234A-BB8A-469C-9D81-DEE28881E8F3}" name="Quantitation overgang (area)" dataDxfId="424"/>
    <tableColumn id="7" xr3:uid="{FC9AD254-0D76-42E5-9CAF-7C57BCCA4EF9}" name="Kwalification overgang (area)" dataDxfId="423"/>
    <tableColumn id="8" xr3:uid="{40AA5E45-597A-443E-9FE2-241B39E50005}" name="Berekende concentratie (ng/l)" dataDxfId="422"/>
    <tableColumn id="9" xr3:uid="{93F3D992-A78F-4321-844D-5A94E9F6183F}" name="Terugvinding (%)" dataDxfId="421">
      <calculatedColumnFormula>IF(G276="","",100*G276/C276)</calculatedColumnFormula>
    </tableColumn>
    <tableColumn id="10" xr3:uid="{0652033D-0676-4785-9740-28CAA55416C0}" name="Ratio (%)" dataDxfId="420">
      <calculatedColumnFormula>IFERROR(MIN(E276,F276)/MAX(E276,F276)*100,"")</calculatedColumnFormula>
    </tableColumn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58CD516C-4404-4139-83A7-F689D3124563}" name="OW_A_additie_laag05" displayName="OW_A_additie_laag05" ref="B294:I310" totalsRowShown="0" headerRowDxfId="419" headerRowBorderDxfId="418" tableBorderDxfId="417" totalsRowBorderDxfId="416">
  <autoFilter ref="B294:I310" xr:uid="{246EC7A8-375D-4363-828B-B2F76C58CAA8}"/>
  <tableColumns count="8">
    <tableColumn id="1" xr3:uid="{091E27DD-244E-4685-8F27-BF475781F85A}" name="Component" dataDxfId="415"/>
    <tableColumn id="2" xr3:uid="{E06C6962-3AE3-42F5-9C7F-1E2142250483}" name="Theoretische concentratie (ng/l)" dataDxfId="414">
      <calculatedColumnFormula>VLOOKUP(OW_A_additie_laag05[[#This Row],[Component]],OW_A_additie_laag01[],2,FALSE)</calculatedColumnFormula>
    </tableColumn>
    <tableColumn id="3" xr3:uid="{F01578E8-E491-4B03-B7E9-F293280B92DB}" name="Retentietijd (min)" dataDxfId="413"/>
    <tableColumn id="5" xr3:uid="{3BD6C8E0-CEED-49CB-A162-421378EAA565}" name="Quantitation overgang (area)" dataDxfId="412"/>
    <tableColumn id="7" xr3:uid="{D74AF01B-B639-431A-9772-8E8F2C9468C4}" name="Kwalification overgang (area)" dataDxfId="411"/>
    <tableColumn id="8" xr3:uid="{7EB67B28-0BAB-4FA2-BC0F-0262D1BC8B26}" name="Berekende concentratie (ng/l)" dataDxfId="410"/>
    <tableColumn id="9" xr3:uid="{05B49E62-853D-41BC-8BBD-FDFD44AFE5B8}" name="Terugvinding (%)" dataDxfId="409">
      <calculatedColumnFormula>IF(G295="","",100*G295/C295)</calculatedColumnFormula>
    </tableColumn>
    <tableColumn id="10" xr3:uid="{09FF77E4-65F1-48E3-91DE-7CF4DDEF912A}" name="Ratio (%)" dataDxfId="408">
      <calculatedColumnFormula>IFERROR(MIN(E295,F295)/MAX(E295,F295)*100,"")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5C3D8463-6595-4F7C-968B-786602A8B2E3}" name="OW_A_additie_laag06" displayName="OW_A_additie_laag06" ref="B313:I329" totalsRowShown="0" headerRowDxfId="407" headerRowBorderDxfId="406" tableBorderDxfId="405" totalsRowBorderDxfId="404">
  <autoFilter ref="B313:I329" xr:uid="{DBE3D1E9-1240-4BE6-ABF7-BA11707ACC4C}"/>
  <tableColumns count="8">
    <tableColumn id="1" xr3:uid="{DA0AE154-8B46-4DF7-BF18-5E72F13B65DA}" name="Component" dataDxfId="403"/>
    <tableColumn id="2" xr3:uid="{F2F59AA8-3296-4C49-9CC2-9559D7FD61C9}" name="Theoretische concentratie (ng/l)" dataDxfId="402">
      <calculatedColumnFormula>VLOOKUP(OW_A_additie_laag06[[#This Row],[Component]],OW_A_additie_laag01[],2,FALSE)</calculatedColumnFormula>
    </tableColumn>
    <tableColumn id="3" xr3:uid="{201111ED-65DD-49DE-9E68-03C8D3416900}" name="Retentietijd (min)" dataDxfId="401"/>
    <tableColumn id="5" xr3:uid="{FC62C7D7-0DCD-438D-B85D-926620863EF9}" name="Quantitation overgang (area)" dataDxfId="400"/>
    <tableColumn id="7" xr3:uid="{0B359EA4-E2AC-4CE1-8F97-F793B64209EA}" name="Kwalification overgang (area)" dataDxfId="399"/>
    <tableColumn id="8" xr3:uid="{5657E24D-5174-4F30-8835-DEDABA02BEEE}" name="Berekende concentratie (ng/l)" dataDxfId="398"/>
    <tableColumn id="9" xr3:uid="{99E40551-34DE-48B2-B27F-85255E0AAD55}" name="Terugvinding (%)" dataDxfId="397">
      <calculatedColumnFormula>IF(G314="","",100*G314/C314)</calculatedColumnFormula>
    </tableColumn>
    <tableColumn id="10" xr3:uid="{65FD2D55-1200-48B5-96EB-E9C6DF4A10A9}" name="Ratio (%)" dataDxfId="396">
      <calculatedColumnFormula>IFERROR(MIN(E314,F314)/MAX(E314,F314)*100,"")</calculatedColumnFormula>
    </tableColumn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671F77-12FE-41BE-A848-B0292E2DBDE8}" name="OW_A_additie_laag07" displayName="OW_A_additie_laag07" ref="B332:I348" totalsRowShown="0" headerRowDxfId="395" headerRowBorderDxfId="394" tableBorderDxfId="393" totalsRowBorderDxfId="392">
  <autoFilter ref="B332:I348" xr:uid="{894BF5EF-0439-4734-BE1F-027FAD9B0C84}"/>
  <tableColumns count="8">
    <tableColumn id="1" xr3:uid="{9EFAD5ED-68FA-4788-8FB7-486B2A0EABDD}" name="Component" dataDxfId="391"/>
    <tableColumn id="2" xr3:uid="{1DF532D5-836A-476E-85EC-0D5FA65DB2CC}" name="Theoretische concentratie (ng/l)" dataDxfId="390">
      <calculatedColumnFormula>VLOOKUP(OW_A_additie_laag07[[#This Row],[Component]],OW_A_additie_laag01[],2,FALSE)</calculatedColumnFormula>
    </tableColumn>
    <tableColumn id="3" xr3:uid="{5DDCB182-7120-4453-818D-AF4A61B59494}" name="Retentietijd (min)" dataDxfId="389"/>
    <tableColumn id="5" xr3:uid="{09F91123-A249-40BD-8DD2-67949A25D57C}" name="Quantitation overgang (area)" dataDxfId="388"/>
    <tableColumn id="7" xr3:uid="{FFFC8208-B68B-4C58-8433-4DF5B5CA1970}" name="Kwalification overgang (area)" dataDxfId="387"/>
    <tableColumn id="8" xr3:uid="{8159B5AB-BC03-4977-8566-35E7C5A76E5D}" name="Berekende concentratie (ng/l)" dataDxfId="386"/>
    <tableColumn id="9" xr3:uid="{F69C6DFD-7942-4569-B7A7-1305B4A9F79B}" name="Terugvinding (%)" dataDxfId="385">
      <calculatedColumnFormula>IF(G333="","",100*G333/C333)</calculatedColumnFormula>
    </tableColumn>
    <tableColumn id="10" xr3:uid="{30C77B60-6865-4129-B2CA-187C2F296B89}" name="Ratio (%)" dataDxfId="384">
      <calculatedColumnFormula>IFERROR(MIN(E333,F333)/MAX(E333,F333)*100,"")</calculatedColumnFormula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92465832-4E97-4894-847E-A6062332BDA0}" name="OW_A_additie_laag08" displayName="OW_A_additie_laag08" ref="B351:I367" totalsRowShown="0" headerRowDxfId="383" headerRowBorderDxfId="382" tableBorderDxfId="381" totalsRowBorderDxfId="380">
  <autoFilter ref="B351:I367" xr:uid="{9E7B1FD6-99F6-4373-A298-9E593A6A3721}"/>
  <tableColumns count="8">
    <tableColumn id="1" xr3:uid="{726E82AA-407A-4C36-AFEF-70BDF287889B}" name="Component" dataDxfId="379"/>
    <tableColumn id="2" xr3:uid="{0A9BC4F1-FA7C-4FE2-8C43-0B926095E6B3}" name="Theoretische concentratie (ng/l)" dataDxfId="378">
      <calculatedColumnFormula>VLOOKUP(OW_A_additie_laag08[[#This Row],[Component]],OW_A_additie_laag01[],2,FALSE)</calculatedColumnFormula>
    </tableColumn>
    <tableColumn id="3" xr3:uid="{2B61CF46-8B6C-45DA-96BC-3538D161E30D}" name="Retentietijd (min)" dataDxfId="377"/>
    <tableColumn id="5" xr3:uid="{EC4A048F-3B65-4119-AB48-A3F3789163B0}" name="Quantitation overgang (area)" dataDxfId="376"/>
    <tableColumn id="7" xr3:uid="{2252B882-D7BA-4C0C-94DB-64B14DCF2821}" name="Kwalification overgang (area)" dataDxfId="375"/>
    <tableColumn id="8" xr3:uid="{19E3E0F4-5C03-4B87-828B-36C3E6424E97}" name="Berekende concentratie (ng/l)" dataDxfId="374"/>
    <tableColumn id="9" xr3:uid="{46817275-19A0-47DF-9BBD-FFB255636115}" name="Terugvinding (%)" dataDxfId="373">
      <calculatedColumnFormula>IF(G352="","",100*G352/C352)</calculatedColumnFormula>
    </tableColumn>
    <tableColumn id="10" xr3:uid="{83AD927A-60EF-4ED3-9713-F480FF121346}" name="Ratio (%)" dataDxfId="372">
      <calculatedColumnFormula>IFERROR(MIN(E352,F352)/MAX(E352,F352)*100,"")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F67EBA44-5729-4566-B2DA-7DD494063CFF}" name="Kalibratie1" displayName="Kalibratie1" ref="B28:I44" totalsRowShown="0" headerRowDxfId="588" dataDxfId="586" headerRowBorderDxfId="587" tableBorderDxfId="585" totalsRowBorderDxfId="584">
  <autoFilter ref="B28:I44" xr:uid="{5B43A024-2E2E-4BD2-9A11-48867DB2C5FD}"/>
  <tableColumns count="8">
    <tableColumn id="1" xr3:uid="{2916800A-D298-4973-8813-F15B5FC0B7CE}" name="Component" dataDxfId="583"/>
    <tableColumn id="2" xr3:uid="{1F4BA189-6C27-43C0-9DF8-A6E6574882F0}" name="Theoretische concentratie (ng/l)" dataDxfId="582"/>
    <tableColumn id="3" xr3:uid="{CA57018F-3A0F-4585-A877-5CF34333CD4F}" name="Retentietijd (min)" dataDxfId="581"/>
    <tableColumn id="5" xr3:uid="{0D6A18B9-E57C-43BE-A9D9-952A32230405}" name="Quantitation overgang (area)" dataDxfId="580"/>
    <tableColumn id="7" xr3:uid="{7C82F4E0-A4D2-4C97-B78E-1A4EB523082A}" name="Kwalification overgang (area)" dataDxfId="579"/>
    <tableColumn id="8" xr3:uid="{682A93D0-E7EC-4566-98D8-EE86BE7DC36C}" name="Berekende concentratie (ng/l)" dataDxfId="578"/>
    <tableColumn id="9" xr3:uid="{11066FBA-7438-4BF0-89F7-0AD0B51EA01E}" name="Terugvinding (%)" dataDxfId="577">
      <calculatedColumnFormula>IF(G29="","",100*G29/C29)</calculatedColumnFormula>
    </tableColumn>
    <tableColumn id="10" xr3:uid="{1FB80BAA-7968-460E-BBEA-5E5DD41A4AF3}" name="Ratio (%)" dataDxfId="576">
      <calculatedColumnFormula>IFERROR(MIN(E29,F29)/MAX(E29,F29)*100,"")</calculatedColumnFormula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50C0DBC6-492F-4666-87A9-3742883DA2A1}" name="KAL_standaard_4_01" displayName="KAL_standaard_4_01" ref="B370:I386" totalsRowShown="0" headerRowDxfId="371" headerRowBorderDxfId="370" tableBorderDxfId="369" totalsRowBorderDxfId="368">
  <autoFilter ref="B370:I386" xr:uid="{FE9130BD-63A3-4541-9D24-F031EC593626}"/>
  <tableColumns count="8">
    <tableColumn id="1" xr3:uid="{3748D51C-724A-4238-B210-7C48E072E473}" name="Component" dataDxfId="367"/>
    <tableColumn id="2" xr3:uid="{4C94434C-8CFD-4A44-92C2-1642265D1BD0}" name="Theoretische concentratie (ng/l)" dataDxfId="366">
      <calculatedColumnFormula>VLOOKUP(KAL_standaard_4_01[[#This Row],[Component]],Kalibratie4[],2,FALSE)</calculatedColumnFormula>
    </tableColumn>
    <tableColumn id="3" xr3:uid="{93B17E6A-8DCB-4F65-9729-4B17E3E62B01}" name="Retentietijd (min)" dataDxfId="365"/>
    <tableColumn id="5" xr3:uid="{CDDD398D-D3CA-4D9B-963A-DB0FA410324D}" name="Quantitation overgang (area)" dataDxfId="364"/>
    <tableColumn id="7" xr3:uid="{813F6254-7D87-47B6-B6FC-5AB6539F6535}" name="Kwalification overgang (area)" dataDxfId="363"/>
    <tableColumn id="8" xr3:uid="{76DB2218-B23E-4AC2-BD6D-4C190759718B}" name="Berekende concentratie (ng/l)" dataDxfId="362"/>
    <tableColumn id="9" xr3:uid="{E7EA3923-85F6-420F-835A-180690222368}" name="Terugvinding (%)" dataDxfId="361">
      <calculatedColumnFormula>IF(G371="","",100*G371/C371)</calculatedColumnFormula>
    </tableColumn>
    <tableColumn id="10" xr3:uid="{83A53760-B14B-45A4-B7F9-EFEC717C0904}" name="Ratio (%)" dataDxfId="360">
      <calculatedColumnFormula>IFERROR(MIN(E371,F371)/MAX(E371,F371)*100,"")</calculatedColumnFormula>
    </tableColumn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3A5AE600-F449-46D7-9B9B-9CDD6B74625E}" name="OW_B01" displayName="OW_B01" ref="B389:I405" totalsRowShown="0" headerRowDxfId="359" headerRowBorderDxfId="358" tableBorderDxfId="357" totalsRowBorderDxfId="356">
  <autoFilter ref="B389:I405" xr:uid="{AEC26EFF-13AE-4891-85C0-9B476D714205}"/>
  <tableColumns count="8">
    <tableColumn id="1" xr3:uid="{73E2B4AA-9322-4A04-9321-850177736100}" name="Component" dataDxfId="355"/>
    <tableColumn id="2" xr3:uid="{C7855E3B-DD92-4D55-BE6A-77A63C5CF224}" name="Theoretische concentratie (ng/l)" dataDxfId="354"/>
    <tableColumn id="3" xr3:uid="{21B776C4-45A8-4103-BC4F-FA56794B0F34}" name="Retentietijd (min)" dataDxfId="353"/>
    <tableColumn id="5" xr3:uid="{A5FFD24F-6D74-4BF8-89A3-08437C76CD59}" name="Quantitation overgang (area)" dataDxfId="352"/>
    <tableColumn id="7" xr3:uid="{99F8A828-2852-4AC3-9E0F-417DF53199D3}" name="Kwalification overgang (area)" dataDxfId="351"/>
    <tableColumn id="8" xr3:uid="{BBC311CA-F8D8-4115-8DD1-05A086EE69E4}" name="Berekende concentratie (ng/l)" dataDxfId="350"/>
    <tableColumn id="9" xr3:uid="{761ECFE5-2A6E-45C5-BE31-4B0E24328457}" name="Terugvinding (%)" dataDxfId="349"/>
    <tableColumn id="10" xr3:uid="{8F79992D-621C-4DDC-95B6-1DD48C1E73A7}" name="Ratio (%)" dataDxfId="348">
      <calculatedColumnFormula>IFERROR(MIN(E390,F390)/MAX(E390,F390)*100,"")</calculatedColumnFormula>
    </tableColumn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A2AB90B9-3EB7-413F-88F2-78684F7921D8}" name="OW_B02" displayName="OW_B02" ref="B408:I424" totalsRowShown="0" headerRowDxfId="347" headerRowBorderDxfId="346" tableBorderDxfId="345" totalsRowBorderDxfId="344">
  <autoFilter ref="B408:I424" xr:uid="{ADD66837-4219-48F8-9315-33C3201BDD65}"/>
  <tableColumns count="8">
    <tableColumn id="1" xr3:uid="{869550FC-009E-4F70-8235-FA00B22860BA}" name="Component" dataDxfId="343"/>
    <tableColumn id="2" xr3:uid="{98698FBF-64D0-45DA-A096-34CBC560B14A}" name="Theoretische concentratie (ng/l)" dataDxfId="342"/>
    <tableColumn id="3" xr3:uid="{6A999DD2-30F6-4EAB-9402-99F4F8B71818}" name="Retentietijd (min)" dataDxfId="341"/>
    <tableColumn id="5" xr3:uid="{DED9F25A-C87F-470C-8C88-27A23E57317B}" name="Quantitation overgang (area)" dataDxfId="340"/>
    <tableColumn id="7" xr3:uid="{F87D481F-219F-48A8-8D26-CD11E3CA77C9}" name="Kwalification overgang (area)" dataDxfId="339"/>
    <tableColumn id="8" xr3:uid="{DF2755A8-FE99-49EB-9BC7-3B2105BE29C2}" name="Berekende concentratie (ng/l)" dataDxfId="338"/>
    <tableColumn id="9" xr3:uid="{5D3A2E07-3C9A-4F65-A2F0-14ED4FA28A7B}" name="Terugvinding (%)" dataDxfId="337"/>
    <tableColumn id="10" xr3:uid="{159639A7-0E7A-4156-9ED4-D9702E127476}" name="Ratio (%)" dataDxfId="336">
      <calculatedColumnFormula>IFERROR(MIN(E409,F409)/MAX(E409,F409)*100,"")</calculatedColumnFormula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75863725-F6DA-4873-A31A-57E212C4852B}" name="OW_B_additie_hoog01" displayName="OW_B_additie_hoog01" ref="B427:I443" totalsRowShown="0" headerRowDxfId="335" headerRowBorderDxfId="334" tableBorderDxfId="333" totalsRowBorderDxfId="332">
  <autoFilter ref="B427:I443" xr:uid="{1E396907-C69B-43CF-8CFF-43CB93D095CC}"/>
  <tableColumns count="8">
    <tableColumn id="1" xr3:uid="{7E457BB0-BF10-40B9-AE00-22C402FD7705}" name="Component" dataDxfId="331"/>
    <tableColumn id="2" xr3:uid="{5CBBCDFC-BBE0-4274-9E7F-639B827D41F7}" name="Theoretische concentratie (ng/l)" dataDxfId="330"/>
    <tableColumn id="3" xr3:uid="{8F3728D8-0704-41CD-896D-69FD0E1FD2EA}" name="Retentietijd (min)" dataDxfId="329"/>
    <tableColumn id="5" xr3:uid="{C8CFB396-DB69-493D-BA07-FAF71C205C1D}" name="Quantitation overgang (area)" dataDxfId="328"/>
    <tableColumn id="7" xr3:uid="{7C8F14C8-AAB1-408D-AC9B-89B3C56327FD}" name="Kwalification overgang (area)" dataDxfId="327"/>
    <tableColumn id="8" xr3:uid="{78A6304C-195C-4EAD-8FC1-B02C30FD10B2}" name="Berekende concentratie (ng/l)" dataDxfId="326"/>
    <tableColumn id="9" xr3:uid="{6F2D9E55-A9C7-443B-9115-616182A42F56}" name="Terugvinding (%)" dataDxfId="325">
      <calculatedColumnFormula>IF(G428="","",100*G428/C428)</calculatedColumnFormula>
    </tableColumn>
    <tableColumn id="10" xr3:uid="{DEA27B8E-C987-4F04-AC5C-FFE032BD75E9}" name="Ratio (%)" dataDxfId="324">
      <calculatedColumnFormula>IFERROR(MIN(E428,F428)/MAX(E428,F428)*100,"")</calculatedColumnFormula>
    </tableColumn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833FC49-8194-4FCF-B05E-8BC3FBDA0BDB}" name="OW_B_additie_hoog02" displayName="OW_B_additie_hoog02" ref="B446:I462" totalsRowShown="0" headerRowDxfId="323" headerRowBorderDxfId="322" tableBorderDxfId="321" totalsRowBorderDxfId="320">
  <autoFilter ref="B446:I462" xr:uid="{A99EE328-E137-46A6-8320-6E99157A4A46}"/>
  <tableColumns count="8">
    <tableColumn id="1" xr3:uid="{F2281032-EE84-40E0-AC5C-8CD648D02B5E}" name="Component" dataDxfId="319"/>
    <tableColumn id="2" xr3:uid="{1D75F182-E93F-4A9A-BAB0-5D2B709E5F6D}" name="Theoretische concentratie (ng/l)" dataDxfId="318">
      <calculatedColumnFormula>VLOOKUP(OW_B_additie_hoog02[[#This Row],[Component]],OW_B_additie_hoog01[],2,FALSE)</calculatedColumnFormula>
    </tableColumn>
    <tableColumn id="3" xr3:uid="{E367ACDB-7D7D-4B7C-8927-F8F3D055FC63}" name="Retentietijd (min)" dataDxfId="317"/>
    <tableColumn id="5" xr3:uid="{DF9F3C61-106A-48C6-9ACB-057BE8849E22}" name="Quantitation overgang (area)" dataDxfId="316"/>
    <tableColumn id="7" xr3:uid="{5D3B32DD-A257-4F18-9A68-F82ADFC79E9F}" name="Kwalification overgang (area)" dataDxfId="315"/>
    <tableColumn id="8" xr3:uid="{21E700A6-0C4C-45A6-AC07-125883906437}" name="Berekende concentratie (ng/l)" dataDxfId="314"/>
    <tableColumn id="9" xr3:uid="{4984F382-42B7-4755-904F-2EE5DF55DAA7}" name="Terugvinding (%)" dataDxfId="313">
      <calculatedColumnFormula>IF(G447="","",100*G447/C447)</calculatedColumnFormula>
    </tableColumn>
    <tableColumn id="10" xr3:uid="{9A876BAA-F3EF-4B4D-AF53-45A2A18FB2F0}" name="Ratio (%)" dataDxfId="312">
      <calculatedColumnFormula>IFERROR(MIN(E447,F447)/MAX(E447,F447)*100,"")</calculatedColumnFormula>
    </tableColumn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71F1A0B2-4731-458B-B5EF-6829E7CEF183}" name="OW_B_additie_hoog03" displayName="OW_B_additie_hoog03" ref="B465:I481" totalsRowShown="0" headerRowDxfId="311" headerRowBorderDxfId="310" tableBorderDxfId="309" totalsRowBorderDxfId="308">
  <autoFilter ref="B465:I481" xr:uid="{A52C01C3-73A2-4BD1-9B52-155CCDD8153C}"/>
  <tableColumns count="8">
    <tableColumn id="1" xr3:uid="{74D79D39-E63D-4730-9567-890B494A173D}" name="Component" dataDxfId="307"/>
    <tableColumn id="2" xr3:uid="{3F5A923F-C426-441E-9B35-CC52B847FAA8}" name="Theoretische concentratie (ng/l)" dataDxfId="306">
      <calculatedColumnFormula>VLOOKUP(OW_B_additie_hoog03[[#This Row],[Component]],OW_B_additie_hoog01[],2,FALSE)</calculatedColumnFormula>
    </tableColumn>
    <tableColumn id="3" xr3:uid="{7C2126C8-60E3-4869-A616-4EBA2914855C}" name="Retentietijd (min)" dataDxfId="305"/>
    <tableColumn id="5" xr3:uid="{BD84EF9B-A416-4AA3-BD3D-27A267439EE6}" name="Quantitation overgang (area)" dataDxfId="304"/>
    <tableColumn id="7" xr3:uid="{6769D305-2576-4B9E-922A-F0F822BB7F49}" name="Kwalification overgang (area)" dataDxfId="303"/>
    <tableColumn id="8" xr3:uid="{66148C6E-0AF4-4C53-B615-5B7A16448864}" name="Berekende concentratie (ng/l)" dataDxfId="302"/>
    <tableColumn id="9" xr3:uid="{3A2E93AA-2399-4798-9E00-EBADC3E57CDB}" name="Terugvinding (%)" dataDxfId="301">
      <calculatedColumnFormula>IF(G466="","",100*G466/C466)</calculatedColumnFormula>
    </tableColumn>
    <tableColumn id="10" xr3:uid="{0550CED7-CED5-440E-8849-0EDB76F9801D}" name="Ratio (%)" dataDxfId="300">
      <calculatedColumnFormula>IFERROR(MIN(E466,F466)/MAX(E466,F466)*100,"")</calculatedColumnFormula>
    </tableColumn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1145130F-7E24-4C77-A7A5-B8A79A9B2A10}" name="OW_B_additie_hoog04" displayName="OW_B_additie_hoog04" ref="B484:I500" totalsRowShown="0" headerRowDxfId="299" headerRowBorderDxfId="298" tableBorderDxfId="297" totalsRowBorderDxfId="296">
  <autoFilter ref="B484:I500" xr:uid="{445E2457-A5B4-405D-A655-9E4D76A4D652}"/>
  <tableColumns count="8">
    <tableColumn id="1" xr3:uid="{E63125DB-4BA9-493A-A11F-19B4ABB58FDC}" name="Component" dataDxfId="295"/>
    <tableColumn id="2" xr3:uid="{00FF0F0F-FA71-4A20-9D39-0B729D4891B9}" name="Theoretische concentratie (ng/l)" dataDxfId="294">
      <calculatedColumnFormula>VLOOKUP(OW_B_additie_hoog04[[#This Row],[Component]],OW_B_additie_hoog01[],2,FALSE)</calculatedColumnFormula>
    </tableColumn>
    <tableColumn id="3" xr3:uid="{88370939-60CB-424D-AA1E-3CA96E01D3D1}" name="Retentietijd (min)" dataDxfId="293"/>
    <tableColumn id="5" xr3:uid="{CDDF7CD4-A0ED-42FD-8406-A256A6CDF9D5}" name="Quantitation overgang (area)" dataDxfId="292"/>
    <tableColumn id="7" xr3:uid="{3B885BE6-3E7E-4CD9-BCC0-836949B8AE1C}" name="Kwalification overgang (area)" dataDxfId="291"/>
    <tableColumn id="8" xr3:uid="{95E5332A-5B1F-498A-A0E3-9AFAD6918C6E}" name="Berekende concentratie (ng/l)" dataDxfId="290"/>
    <tableColumn id="9" xr3:uid="{86D7EAB8-9822-47B4-8EF2-7016DECD73FD}" name="Terugvinding (%)" dataDxfId="289">
      <calculatedColumnFormula>IF(G485="","",100*G485/C485)</calculatedColumnFormula>
    </tableColumn>
    <tableColumn id="10" xr3:uid="{94835229-ED12-476D-B887-4899EB1238F6}" name="Ratio (%)" dataDxfId="288">
      <calculatedColumnFormula>IFERROR(MIN(E485,F485)/MAX(E485,F485)*100,"")</calculatedColumnFormula>
    </tableColumn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614EB20E-4392-4357-BD2B-AEA5A3743FDF}" name="OW_B_additie_hoog05" displayName="OW_B_additie_hoog05" ref="B503:I519" totalsRowShown="0" headerRowDxfId="287" headerRowBorderDxfId="286" tableBorderDxfId="285" totalsRowBorderDxfId="284">
  <autoFilter ref="B503:I519" xr:uid="{722A5619-5699-44DF-B884-F60D6174C8B9}"/>
  <tableColumns count="8">
    <tableColumn id="1" xr3:uid="{6F6E7AD8-19E4-4297-AB6D-9C726927238F}" name="Component" dataDxfId="283"/>
    <tableColumn id="2" xr3:uid="{D3F7F6A9-EAD6-4A7E-837D-33F1BA96B3FA}" name="Theoretische concentratie (ng/l)" dataDxfId="282">
      <calculatedColumnFormula>VLOOKUP(OW_B_additie_hoog05[[#This Row],[Component]],OW_B_additie_hoog01[],2,FALSE)</calculatedColumnFormula>
    </tableColumn>
    <tableColumn id="3" xr3:uid="{42C84867-6674-4123-BF05-3975BA531858}" name="Retentietijd (min)" dataDxfId="281"/>
    <tableColumn id="5" xr3:uid="{FB9DFC22-BE56-40C5-B821-CB8E35E7C789}" name="Quantitation overgang (area)" dataDxfId="280"/>
    <tableColumn id="7" xr3:uid="{4ED42E5D-A182-4D95-8106-1C4BFB0E5C2D}" name="Kwalification overgang (area)" dataDxfId="279"/>
    <tableColumn id="8" xr3:uid="{22786EA2-EF4B-48B9-AAD2-D2A47F79E7A7}" name="Berekende concentratie (ng/l)" dataDxfId="278"/>
    <tableColumn id="9" xr3:uid="{7CE26F9F-3A37-4368-BFC9-C94ACA8B7538}" name="Terugvinding (%)" dataDxfId="277">
      <calculatedColumnFormula>IF(G504="","",100*G504/C504)</calculatedColumnFormula>
    </tableColumn>
    <tableColumn id="10" xr3:uid="{106551F8-1D65-4365-9ACC-FF39F6864D1C}" name="Ratio (%)" dataDxfId="276">
      <calculatedColumnFormula>IFERROR(MIN(E504,F504)/MAX(E504,F504)*100,"")</calculatedColumnFormula>
    </tableColumn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981B58FE-B05E-447A-A775-4AE1A5385559}" name="OW_B_additie_hoog06" displayName="OW_B_additie_hoog06" ref="B522:I538" totalsRowShown="0" headerRowDxfId="275" headerRowBorderDxfId="274" tableBorderDxfId="273" totalsRowBorderDxfId="272">
  <autoFilter ref="B522:I538" xr:uid="{32BD55F7-0504-4F6A-90FC-023480F6F92D}"/>
  <tableColumns count="8">
    <tableColumn id="1" xr3:uid="{44FAD474-9972-4CE4-97FC-F017374A19DE}" name="Component" dataDxfId="271"/>
    <tableColumn id="2" xr3:uid="{86070265-0DF0-42DC-BF13-87A99E24C025}" name="Theoretische concentratie (ng/l)" dataDxfId="270">
      <calculatedColumnFormula>VLOOKUP(OW_B_additie_hoog06[[#This Row],[Component]],OW_B_additie_hoog01[],2,FALSE)</calculatedColumnFormula>
    </tableColumn>
    <tableColumn id="3" xr3:uid="{FDEAC2E0-6292-41B7-BC04-36FA98AD8E64}" name="Retentietijd (min)" dataDxfId="269"/>
    <tableColumn id="5" xr3:uid="{C30B72A5-2E6A-47AD-B624-4F8091960C8E}" name="Quantitation overgang (area)" dataDxfId="268"/>
    <tableColumn id="7" xr3:uid="{8264BB67-B455-4374-A539-D9B3F2508B87}" name="Kwalification overgang (area)" dataDxfId="267"/>
    <tableColumn id="8" xr3:uid="{CE602223-84D3-4379-B1AD-6E3D0F243D12}" name="Berekende concentratie (ng/l)" dataDxfId="266"/>
    <tableColumn id="9" xr3:uid="{AC3ABF69-268C-4C03-8869-2091A931195E}" name="Terugvinding (%)" dataDxfId="265">
      <calculatedColumnFormula>IF(G523="","",100*G523/C523)</calculatedColumnFormula>
    </tableColumn>
    <tableColumn id="10" xr3:uid="{A72377B4-A1BD-4351-8A20-C29F0EE00A8D}" name="Ratio (%)" dataDxfId="264">
      <calculatedColumnFormula>IFERROR(MIN(E523,F523)/MAX(E523,F523)*100,"")</calculatedColumnFormula>
    </tableColumn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B533306B-22AD-4F3E-A0DB-872E1EC2F53C}" name="OW_B_additie_hoog07" displayName="OW_B_additie_hoog07" ref="B541:I557" totalsRowShown="0" headerRowDxfId="263" headerRowBorderDxfId="262" tableBorderDxfId="261" totalsRowBorderDxfId="260">
  <autoFilter ref="B541:I557" xr:uid="{FF947368-916C-414F-BC64-882DF8913A5B}"/>
  <tableColumns count="8">
    <tableColumn id="1" xr3:uid="{89010A4E-FD4B-42DE-AB0E-FBD720CCDA8C}" name="Component" dataDxfId="259"/>
    <tableColumn id="2" xr3:uid="{6D0EC5B2-38AF-4A50-9F50-8C153E3AF843}" name="Theoretische concentratie (ng/l)" dataDxfId="258">
      <calculatedColumnFormula>VLOOKUP(OW_B_additie_hoog07[[#This Row],[Component]],OW_B_additie_hoog01[],2,FALSE)</calculatedColumnFormula>
    </tableColumn>
    <tableColumn id="3" xr3:uid="{CC7EAE30-2EEB-4B20-8EB3-59EC78E2034B}" name="Retentietijd (min)" dataDxfId="257"/>
    <tableColumn id="5" xr3:uid="{6C588419-CDF1-42F8-A79A-9DA2BCBDBD4F}" name="Quantitation overgang (area)" dataDxfId="256"/>
    <tableColumn id="7" xr3:uid="{1026463A-C4FB-4005-9E31-DAD90B276AC2}" name="Kwalification overgang (area)" dataDxfId="255"/>
    <tableColumn id="8" xr3:uid="{0808FB3E-7628-4CCC-B6A4-BDFFC6760FBA}" name="Berekende concentratie (ng/l)" dataDxfId="254"/>
    <tableColumn id="9" xr3:uid="{3EA7B49C-38F3-434D-988B-CD909B26FEFF}" name="Terugvinding (%)" dataDxfId="253">
      <calculatedColumnFormula>IF(G542="","",100*G542/C542)</calculatedColumnFormula>
    </tableColumn>
    <tableColumn id="10" xr3:uid="{A31A23C3-E4B5-4590-BF1A-B41253FE6DC6}" name="Ratio (%)" dataDxfId="252">
      <calculatedColumnFormula>IFERROR(MIN(E542,F542)/MAX(E542,F542)*100,"")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59C4BA82-BB99-40B9-99AA-364980D79012}" name="Kalibratie2" displayName="Kalibratie2" ref="B47:I63" totalsRowShown="0" headerRowDxfId="575" headerRowBorderDxfId="574" tableBorderDxfId="573" totalsRowBorderDxfId="572">
  <autoFilter ref="B47:I63" xr:uid="{9A32D56F-EE26-49D5-A090-721A7886E19F}"/>
  <tableColumns count="8">
    <tableColumn id="1" xr3:uid="{E50AB09F-DEAC-4AFD-B682-4FD45E8FF820}" name="Component" dataDxfId="571"/>
    <tableColumn id="2" xr3:uid="{6E476165-B1DC-419F-9E4B-E26AD82E237C}" name="Theoretische concentratie (ng/l)" dataDxfId="570"/>
    <tableColumn id="3" xr3:uid="{E0A0CCF9-256C-47C9-B4FF-9DFE4C74FEC1}" name="Retentietijd (min)" dataDxfId="569"/>
    <tableColumn id="5" xr3:uid="{E92B688C-C620-4FEE-8712-D52FF8323642}" name="Quantitation overgang (area)" dataDxfId="568"/>
    <tableColumn id="7" xr3:uid="{095F6EB6-7A17-4948-ACFF-F988776DBF3B}" name="Kwalification overgang (area)" dataDxfId="567"/>
    <tableColumn id="8" xr3:uid="{D2EE369F-D69A-44BD-86E2-CD4491EA405D}" name="Berekende concentratie (ng/l)" dataDxfId="566"/>
    <tableColumn id="9" xr3:uid="{C8AC515A-D6F1-4DB8-9E99-29EA8CC31820}" name="Terugvinding (%)" dataDxfId="565">
      <calculatedColumnFormula>IF(G48="","",100*G48/C48)</calculatedColumnFormula>
    </tableColumn>
    <tableColumn id="10" xr3:uid="{34242573-16A0-4E12-853C-4E2E95D8C458}" name="Ratio (%)" dataDxfId="564">
      <calculatedColumnFormula>IFERROR(MIN(E48,F48)/MAX(E48,F48)*100,"")</calculatedColumnFormula>
    </tableColumn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1F3EFB03-A6AB-4ED9-9ACA-14662B7DC2DA}" name="OW_B_additie_hoog08" displayName="OW_B_additie_hoog08" ref="B560:I576" totalsRowShown="0" headerRowDxfId="251" headerRowBorderDxfId="250" tableBorderDxfId="249" totalsRowBorderDxfId="248">
  <autoFilter ref="B560:I576" xr:uid="{5638A772-F50D-4BD8-8166-247B4BC5DDAB}"/>
  <tableColumns count="8">
    <tableColumn id="1" xr3:uid="{07A92210-4B7F-40BF-AF30-BBE5404296E6}" name="Component" dataDxfId="247"/>
    <tableColumn id="2" xr3:uid="{5A69FD4A-7AF2-41F3-A1EA-127E2D575A9E}" name="Theoretische concentratie (ng/l)" dataDxfId="246">
      <calculatedColumnFormula>VLOOKUP(OW_B_additie_hoog08[[#This Row],[Component]],OW_B_additie_hoog01[],2,FALSE)</calculatedColumnFormula>
    </tableColumn>
    <tableColumn id="3" xr3:uid="{D561EF99-FD44-472F-B6E0-661839918AC0}" name="Retentietijd (min)" dataDxfId="245"/>
    <tableColumn id="5" xr3:uid="{018CD3FE-1343-4DAE-9401-7C788CCC6C80}" name="Quantitation overgang (area)" dataDxfId="244"/>
    <tableColumn id="7" xr3:uid="{C674C6B4-1B78-4BC7-BBF3-EB423B52608B}" name="Kwalification overgang (area)" dataDxfId="243"/>
    <tableColumn id="8" xr3:uid="{8F23E299-4BD8-4710-B41D-71477F95EF33}" name="Berekende concentratie (ng/l)" dataDxfId="242"/>
    <tableColumn id="9" xr3:uid="{66043D4B-55BE-4033-ACC0-1D2991AB7A3B}" name="Terugvinding (%)" dataDxfId="241">
      <calculatedColumnFormula>IF(G561="","",100*G561/C561)</calculatedColumnFormula>
    </tableColumn>
    <tableColumn id="10" xr3:uid="{02E8A855-E981-4E29-9950-D89BA184A117}" name="Ratio (%)" dataDxfId="240">
      <calculatedColumnFormula>IFERROR(MIN(E561,F561)/MAX(E561,F561)*100,"")</calculatedColumnFormula>
    </tableColumn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3ECA972-C076-4BB1-9C22-F151DA06D026}" name="KAL_standaard_4_02" displayName="KAL_standaard_4_02" ref="B579:I595" totalsRowShown="0" headerRowDxfId="239" headerRowBorderDxfId="238" tableBorderDxfId="237" totalsRowBorderDxfId="236">
  <autoFilter ref="B579:I595" xr:uid="{57AB34A8-CD4E-4BB1-B180-D65FD99AD672}"/>
  <tableColumns count="8">
    <tableColumn id="1" xr3:uid="{3CF8453D-026B-4717-A4F3-D22976C46571}" name="Component" dataDxfId="235"/>
    <tableColumn id="2" xr3:uid="{9B429D39-AB48-4F30-8B85-BAAE30BBCC34}" name="Theoretische concentratie (ng/l)" dataDxfId="234">
      <calculatedColumnFormula>VLOOKUP(KAL_standaard_4_02[[#This Row],[Component]],Kalibratie4[],2,FALSE)</calculatedColumnFormula>
    </tableColumn>
    <tableColumn id="3" xr3:uid="{16CA6A70-EC12-42A0-A77F-6C7D8C7F3059}" name="Retentietijd (min)" dataDxfId="233"/>
    <tableColumn id="5" xr3:uid="{B2872663-88EB-4F7B-BBEA-7769AA605966}" name="Quantitation overgang (area)" dataDxfId="232"/>
    <tableColumn id="7" xr3:uid="{DEEDD748-3499-4E7B-BBF3-75A9569E72CB}" name="Kwalification overgang (area)" dataDxfId="231"/>
    <tableColumn id="8" xr3:uid="{D76E9518-6215-4566-B668-578D0269FB22}" name="Berekende concentratie (ng/l)" dataDxfId="230"/>
    <tableColumn id="9" xr3:uid="{008FEEA9-28B2-492B-A4D1-EB96D716B731}" name="Terugvinding (%)" dataDxfId="229">
      <calculatedColumnFormula>IF(G580="","",100*G580/C580)</calculatedColumnFormula>
    </tableColumn>
    <tableColumn id="10" xr3:uid="{CA44BC33-671C-4BF1-B23F-E95C24C47725}" name="Ratio (%)" dataDxfId="228">
      <calculatedColumnFormula>IFERROR(MIN(E580,F580)/MAX(E580,F580)*100,"")</calculatedColumnFormula>
    </tableColumn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F7E6857E-BBC3-4308-8611-95715D84D593}" name="Blanco_eluens_water03" displayName="Blanco_eluens_water03" ref="B598:I614" totalsRowShown="0" headerRowDxfId="227" headerRowBorderDxfId="226" tableBorderDxfId="225" totalsRowBorderDxfId="224">
  <autoFilter ref="B598:I614" xr:uid="{7DF9A343-1E3D-42DD-8771-BF75BA7766BB}"/>
  <tableColumns count="8">
    <tableColumn id="1" xr3:uid="{EE8F9795-800D-47C5-9B9A-B3DBB4B6D6D1}" name="Component" dataDxfId="223"/>
    <tableColumn id="2" xr3:uid="{3B8DA2D8-7530-4772-B69C-F137B98627E9}" name="Theoretische concentratie (ng/l)" dataDxfId="222"/>
    <tableColumn id="3" xr3:uid="{CDF5D542-58CB-451B-B833-5A3B5D9A4CF3}" name="Retentietijd (min)" dataDxfId="221"/>
    <tableColumn id="5" xr3:uid="{4E0FF95B-3E5C-43B2-8A51-70DB09B1ECDB}" name="Quantitation overgang (area)" dataDxfId="220"/>
    <tableColumn id="7" xr3:uid="{637D92EA-14EC-46F5-BBE0-7CDD38FFEB7D}" name="Kwalification overgang (area)" dataDxfId="219"/>
    <tableColumn id="8" xr3:uid="{DEC3AFB5-1CDB-49FF-ACCE-7E51794A3606}" name="Berekende concentratie (ng/l)" dataDxfId="218"/>
    <tableColumn id="9" xr3:uid="{DABCE119-3BBB-4306-B48B-152307BEFBAD}" name="Terugvinding (%)" dataDxfId="217"/>
    <tableColumn id="10" xr3:uid="{9AFD70BE-A82F-4BB3-A9D6-545B038E1FCB}" name="Ratio (%)" dataDxfId="216">
      <calculatedColumnFormula>IFERROR(MIN(E599,F599)/MAX(E599,F599)*100,"")</calculatedColumnFormula>
    </tableColumn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AC167943-5ED0-4B72-B80D-F0E6FF67E9A8}" name="KAL_1_2xvv01" displayName="KAL_1_2xvv01" ref="B617:I633" totalsRowShown="0" headerRowDxfId="215" headerRowBorderDxfId="214" tableBorderDxfId="213" totalsRowBorderDxfId="212">
  <autoFilter ref="B617:I633" xr:uid="{1927FBC9-0353-4FA1-AF03-D0349231F0FF}"/>
  <tableColumns count="8">
    <tableColumn id="1" xr3:uid="{4A99992A-A827-40B2-9761-BB16C8E6A342}" name="Component" dataDxfId="211"/>
    <tableColumn id="2" xr3:uid="{1CCF4F27-FBA9-4285-B46E-770DDF6F2CF9}" name="Theoretische concentratie (ng/l)" dataDxfId="210">
      <calculatedColumnFormula>VLOOKUP(KAL_1_2xvv01[[#This Row],[Component]],Kalibratie1[],2,FALSE)/2</calculatedColumnFormula>
    </tableColumn>
    <tableColumn id="3" xr3:uid="{6784FF9E-F540-4C38-8D6A-B3ABF1B2AE4E}" name="Retentietijd (min)" dataDxfId="209"/>
    <tableColumn id="5" xr3:uid="{FB496218-99EC-4C0C-A4E6-9B2FBA6E77D9}" name="Quantitation overgang (area)" dataDxfId="208"/>
    <tableColumn id="7" xr3:uid="{C1F38D3E-52A1-44C3-8494-162F352E48E8}" name="Kwalification overgang (area)" dataDxfId="207"/>
    <tableColumn id="8" xr3:uid="{1A6BA4E9-04CF-4624-BC1A-F0868AB2E096}" name="Berekende concentratie (ng/l)" dataDxfId="206"/>
    <tableColumn id="9" xr3:uid="{3F574FEF-60C8-40D7-AD10-904766B17DD0}" name="Terugvinding (%)" dataDxfId="205">
      <calculatedColumnFormula>IF(G618="","",100*G618/C618)</calculatedColumnFormula>
    </tableColumn>
    <tableColumn id="10" xr3:uid="{78E0D0C1-A4A2-4202-BD16-849004DA99B5}" name="Ratio (%)" dataDxfId="204">
      <calculatedColumnFormula>IFERROR(MIN(E618,F618)/MAX(E618,F618)*100,"")</calculatedColumnFormula>
    </tableColumn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DED8AE4B-9E0B-4D07-933B-DFAC56F5663D}" name="KAL_1_5xvv01" displayName="KAL_1_5xvv01" ref="B636:I652" totalsRowShown="0" headerRowDxfId="203" headerRowBorderDxfId="202" tableBorderDxfId="201" totalsRowBorderDxfId="200">
  <autoFilter ref="B636:I652" xr:uid="{7424803B-809F-499D-99FC-1C1B41006FAE}"/>
  <tableColumns count="8">
    <tableColumn id="1" xr3:uid="{BAFF536E-F04C-46A3-94B8-DF4E3B856058}" name="Component" dataDxfId="199"/>
    <tableColumn id="2" xr3:uid="{A1B4EEDC-6831-4C2E-A675-9F8B367F0D5D}" name="Theoretische concentratie (ng/l)" dataDxfId="198">
      <calculatedColumnFormula>VLOOKUP(KAL_1_5xvv01[[#This Row],[Component]],Kalibratie1[],2,FALSE)/5</calculatedColumnFormula>
    </tableColumn>
    <tableColumn id="3" xr3:uid="{3C291117-B329-4559-8216-F2E27479279A}" name="Retentietijd (min)" dataDxfId="197"/>
    <tableColumn id="5" xr3:uid="{C5729041-FD9B-46AB-A221-A0CA1CCE8AB8}" name="Quantitation overgang (area)" dataDxfId="196"/>
    <tableColumn id="7" xr3:uid="{703687CE-43E6-49F6-841D-1DEDABF85062}" name="Kwalification overgang (area)" dataDxfId="195"/>
    <tableColumn id="8" xr3:uid="{3E6A28F0-5360-493B-A38E-4ED73856525E}" name="Berekende concentratie (ng/l)" dataDxfId="194"/>
    <tableColumn id="9" xr3:uid="{13C4690F-76B8-4AEE-B6BB-A614B0E1E737}" name="Terugvinding (%)" dataDxfId="193">
      <calculatedColumnFormula>IF(G637="","",100*G637/C637)</calculatedColumnFormula>
    </tableColumn>
    <tableColumn id="10" xr3:uid="{D06A00DA-306D-41B8-82C4-9298E49665DD}" name="Ratio (%)" dataDxfId="192">
      <calculatedColumnFormula>IFERROR(MIN(E637,F637)/MAX(E637,F637)*100,"")</calculatedColumnFormula>
    </tableColumn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C1669FDC-5F2E-47E3-9AA6-735FE077CC17}" name="KAL_standaard_4_03" displayName="KAL_standaard_4_03" ref="B655:I671" totalsRowShown="0" headerRowDxfId="191" headerRowBorderDxfId="190" tableBorderDxfId="189" totalsRowBorderDxfId="188">
  <autoFilter ref="B655:I671" xr:uid="{7CB26824-1BB6-4D40-8CA9-A1CE44C4E186}"/>
  <tableColumns count="8">
    <tableColumn id="1" xr3:uid="{5E5835B7-37B8-4748-813E-F310A3451894}" name="Component" dataDxfId="187"/>
    <tableColumn id="2" xr3:uid="{F58D3161-716D-4A35-A22D-EB71952FF495}" name="Theoretische concentratie (ng/l)" dataDxfId="186">
      <calculatedColumnFormula>VLOOKUP(KAL_standaard_4_03[[#This Row],[Component]],Kalibratie4[],2,FALSE)</calculatedColumnFormula>
    </tableColumn>
    <tableColumn id="3" xr3:uid="{E6F053A8-FB1A-4011-9118-1AFF5D5D1B0D}" name="Retentietijd (min)" dataDxfId="185"/>
    <tableColumn id="5" xr3:uid="{93C427E8-8533-403E-9053-49B4811DF205}" name="Quantitation overgang (area)" dataDxfId="184"/>
    <tableColumn id="7" xr3:uid="{62539FA1-9263-40FF-9ECB-368726269F52}" name="Kwalification overgang (area)" dataDxfId="183"/>
    <tableColumn id="8" xr3:uid="{D2BB0B09-1C4E-4AA0-A430-E7C4EDE436D6}" name="Berekende concentratie (ng/l)" dataDxfId="182"/>
    <tableColumn id="9" xr3:uid="{0D833D44-CA66-4348-BECA-00C9F8483418}" name="Terugvinding (%)" dataDxfId="181">
      <calculatedColumnFormula>IF(G656="","",100*G656/C656)</calculatedColumnFormula>
    </tableColumn>
    <tableColumn id="10" xr3:uid="{6DD32BA8-A9BC-4AB7-A100-4EE1E46DCAEA}" name="Ratio (%)" dataDxfId="180">
      <calculatedColumnFormula>IFERROR(MIN(E656,F656)/MAX(E656,F656)*100,"")</calculatedColumnFormula>
    </tableColumn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253E29AA-BF9F-4CDD-B704-BE6CA162987B}" name="OW_B_additie_hoog09" displayName="OW_B_additie_hoog09" ref="B674:I690" totalsRowShown="0" headerRowDxfId="179" headerRowBorderDxfId="178" tableBorderDxfId="177" totalsRowBorderDxfId="176">
  <autoFilter ref="B674:I690" xr:uid="{D7F69F1B-235E-445F-BC62-D14C924A0CE6}"/>
  <tableColumns count="8">
    <tableColumn id="1" xr3:uid="{635B46D0-DF26-4EF0-BDC6-90DEF29AF828}" name="Component" dataDxfId="175"/>
    <tableColumn id="2" xr3:uid="{3133EC13-F99D-4FED-9A03-D4B0AB558FBF}" name="Theoretische concentratie (ng/l)" dataDxfId="174">
      <calculatedColumnFormula>VLOOKUP(OW_B_additie_hoog09[[#This Row],[Component]],OW_B_additie_hoog01[],2,FALSE)</calculatedColumnFormula>
    </tableColumn>
    <tableColumn id="3" xr3:uid="{3D6A051B-7140-4669-AB6B-6EC6977E9EDD}" name="Retentietijd (min)" dataDxfId="173"/>
    <tableColumn id="5" xr3:uid="{E7E72595-F8F2-4889-A457-7FF93D1598D6}" name="Quantitation overgang (area)" dataDxfId="172"/>
    <tableColumn id="7" xr3:uid="{432DBDAE-F540-4E5E-83D7-52D0405B7652}" name="Kwalification overgang (area)" dataDxfId="171"/>
    <tableColumn id="8" xr3:uid="{FBD7D549-E0EE-40C6-92CF-9486BB8F7FA1}" name="Berekende concentratie (ng/l)" dataDxfId="170"/>
    <tableColumn id="9" xr3:uid="{32A16348-10DF-4615-AF3D-EE293F8C68D8}" name="Terugvinding (%)" dataDxfId="169">
      <calculatedColumnFormula>IF(G675="","",100*G675/C675)</calculatedColumnFormula>
    </tableColumn>
    <tableColumn id="10" xr3:uid="{2B472609-5ACD-48B0-B906-385D5B1A1794}" name="Ratio (%)" dataDxfId="168">
      <calculatedColumnFormula>IFERROR(MIN(E675,F675)/MAX(E675,F675)*100,"")</calculatedColumnFormula>
    </tableColumn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16F5C9C6-FE3C-4786-8D21-C2DC90BAF4D2}" name="OW_B_additie_hoog10" displayName="OW_B_additie_hoog10" ref="B693:I709" totalsRowShown="0" headerRowDxfId="167" headerRowBorderDxfId="166" tableBorderDxfId="165" totalsRowBorderDxfId="164">
  <autoFilter ref="B693:I709" xr:uid="{F7F1A92E-7F60-4D5C-BFF6-594D64D7D7C8}"/>
  <tableColumns count="8">
    <tableColumn id="1" xr3:uid="{7A349845-2233-441B-8C20-44C134E2AC51}" name="Component" dataDxfId="163"/>
    <tableColumn id="2" xr3:uid="{7D63A01F-D059-4027-8025-F036A47ADCD7}" name="Theoretische concentratie (ng/l)" dataDxfId="162">
      <calculatedColumnFormula>VLOOKUP(OW_B_additie_hoog10[[#This Row],[Component]],OW_B_additie_hoog01[],2,FALSE)</calculatedColumnFormula>
    </tableColumn>
    <tableColumn id="3" xr3:uid="{056CEAB4-5D65-4B9D-9750-E705F9345149}" name="Retentietijd (min)" dataDxfId="161"/>
    <tableColumn id="5" xr3:uid="{0BB71745-DF39-4CC2-A741-C16C5C7DF02F}" name="Quantitation overgang (area)" dataDxfId="160"/>
    <tableColumn id="7" xr3:uid="{C94A2992-AF7A-45C0-BD89-BA762EA6722D}" name="Kwalification overgang (area)" dataDxfId="159"/>
    <tableColumn id="8" xr3:uid="{B931CA35-494B-4B60-8E11-AC36081E54E1}" name="Berekende concentratie (ng/l)" dataDxfId="158"/>
    <tableColumn id="9" xr3:uid="{404507CC-CACA-4A7D-BA91-2A8BD8918411}" name="Terugvinding (%)" dataDxfId="157">
      <calculatedColumnFormula>IF(G694="","",100*G694/C694)</calculatedColumnFormula>
    </tableColumn>
    <tableColumn id="10" xr3:uid="{B6D6E156-8EAD-4877-9201-C6C1DA42BE51}" name="Ratio (%)" dataDxfId="156">
      <calculatedColumnFormula>IFERROR(MIN(E694,F694)/MAX(E694,F694)*100,"")</calculatedColumnFormula>
    </tableColumn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D8FD31A7-D68F-404C-84B9-19FD9C512A89}" name="KAL_standaard_4_04" displayName="KAL_standaard_4_04" ref="B712:I728" totalsRowShown="0" headerRowDxfId="155" headerRowBorderDxfId="154" tableBorderDxfId="153" totalsRowBorderDxfId="152">
  <autoFilter ref="B712:I728" xr:uid="{A2640BFC-2F85-421E-9B70-206D43F92655}"/>
  <tableColumns count="8">
    <tableColumn id="1" xr3:uid="{631C4767-864D-434D-BF84-170AC9F822BA}" name="Component" dataDxfId="151"/>
    <tableColumn id="2" xr3:uid="{56388753-BEBA-4A83-A694-B651B3250BBD}" name="Theoretische concentratie (ng/l)" dataDxfId="150">
      <calculatedColumnFormula>VLOOKUP(KAL_standaard_4_04[[#This Row],[Component]],Kalibratie4[],2,FALSE)</calculatedColumnFormula>
    </tableColumn>
    <tableColumn id="3" xr3:uid="{DECD519E-099D-448E-83DF-D96EFC94F8E4}" name="Retentietijd (min)" dataDxfId="149"/>
    <tableColumn id="5" xr3:uid="{22959C14-C31C-40C7-AC02-25770142C59C}" name="Quantitation overgang (area)" dataDxfId="148"/>
    <tableColumn id="7" xr3:uid="{3763EE93-2ADC-46FE-A6D1-961D1D179F18}" name="Kwalification overgang (area)" dataDxfId="147"/>
    <tableColumn id="8" xr3:uid="{B8E4BF61-FEF9-405F-9BD5-EB7271B3E51B}" name="Berekende concentratie (ng/l)" dataDxfId="146"/>
    <tableColumn id="9" xr3:uid="{CE79F6F2-F4A6-4FE4-BF09-34B62D2E9AC1}" name="Terugvinding (%)" dataDxfId="145">
      <calculatedColumnFormula>IF(G713="","",100*G713/C713)</calculatedColumnFormula>
    </tableColumn>
    <tableColumn id="10" xr3:uid="{F0453BC8-4270-4DBB-B034-F10C38FC6379}" name="Ratio (%)" dataDxfId="144">
      <calculatedColumnFormula>IFERROR(MIN(E713,F713)/MAX(E713,F713)*100,"")</calculatedColumnFormula>
    </tableColumn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E0709F39-B8C1-4C37-BDFC-291F13A8F550}" name="OW_B_additie_hoog11" displayName="OW_B_additie_hoog11" ref="B731:I747" totalsRowShown="0" headerRowDxfId="143" headerRowBorderDxfId="142" tableBorderDxfId="141" totalsRowBorderDxfId="140">
  <autoFilter ref="B731:I747" xr:uid="{4057E3C1-0412-43F5-84AF-9F746BA0B3BE}"/>
  <tableColumns count="8">
    <tableColumn id="1" xr3:uid="{D08D5ED0-56F4-451B-9CC5-A5D83C64B749}" name="Component" dataDxfId="139"/>
    <tableColumn id="2" xr3:uid="{B7605DFF-571E-4AFA-B72B-8261E095890C}" name="Theoretische concentratie (ng/l)" dataDxfId="138">
      <calculatedColumnFormula>VLOOKUP(OW_B_additie_hoog11[[#This Row],[Component]],OW_B_additie_hoog01[],2,FALSE)</calculatedColumnFormula>
    </tableColumn>
    <tableColumn id="3" xr3:uid="{C8B47700-D8E6-4A51-BFB6-1DA4EFD7138F}" name="Retentietijd (min)" dataDxfId="137"/>
    <tableColumn id="5" xr3:uid="{40C017C7-EABF-4243-9F93-822B58840EDC}" name="Quantitation overgang (area)" dataDxfId="136"/>
    <tableColumn id="7" xr3:uid="{A8233961-0879-47E1-A075-9EE7BE9A646A}" name="Kwalification overgang (area)" dataDxfId="135"/>
    <tableColumn id="8" xr3:uid="{89450E09-58ED-429D-8461-B88063F79272}" name="Berekende concentratie (ng/l)" dataDxfId="134"/>
    <tableColumn id="9" xr3:uid="{DCB8019D-2C79-42E3-AB57-C2A2452441F8}" name="Terugvinding (%)" dataDxfId="133">
      <calculatedColumnFormula>IF(G732="","",100*G732/C732)</calculatedColumnFormula>
    </tableColumn>
    <tableColumn id="10" xr3:uid="{81687D9D-7BD9-42EC-9E35-2265A017C08C}" name="Ratio (%)" dataDxfId="132">
      <calculatedColumnFormula>IFERROR(MIN(E732,F732)/MAX(E732,F732)*100,"")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E1043D88-0A59-40F6-89A3-A3355E3A7F79}" name="Kalibratie3" displayName="Kalibratie3" ref="B66:I82" totalsRowShown="0" headerRowDxfId="563" headerRowBorderDxfId="562" tableBorderDxfId="561" totalsRowBorderDxfId="560">
  <autoFilter ref="B66:I82" xr:uid="{BC66D303-DB41-436F-A535-DB9B66130956}"/>
  <tableColumns count="8">
    <tableColumn id="1" xr3:uid="{2798E86F-D681-47C5-88A9-59A50279FF47}" name="Component" dataDxfId="559"/>
    <tableColumn id="2" xr3:uid="{39A928A0-2FD4-4E8E-BB05-1B246FD28ADB}" name="Theoretische concentratie (ng/l)" dataDxfId="558"/>
    <tableColumn id="3" xr3:uid="{D48344C4-F62F-42D9-A0E0-16CC15B727D7}" name="Retentietijd (min)" dataDxfId="557"/>
    <tableColumn id="5" xr3:uid="{68EA3C5B-038F-44E9-AD38-AD9E4F80B041}" name="Quantitation overgang (area)" dataDxfId="556"/>
    <tableColumn id="7" xr3:uid="{246A0393-149D-40A0-B2C8-66810BAF06D3}" name="Kwalification overgang (area)" dataDxfId="555"/>
    <tableColumn id="8" xr3:uid="{EF3ECC36-16B3-420F-8537-C046946FBA5C}" name="Berekende concentratie (ng/l)" dataDxfId="554"/>
    <tableColumn id="9" xr3:uid="{04EFF841-1F53-4E52-AB6F-3AC88EEC7108}" name="Terugvinding (%)" dataDxfId="553">
      <calculatedColumnFormula>IF(G67="","",100*G67/C67)</calculatedColumnFormula>
    </tableColumn>
    <tableColumn id="10" xr3:uid="{D17285CC-7637-4FBF-8608-D076F351710E}" name="Ratio (%)" dataDxfId="552">
      <calculatedColumnFormula>IFERROR(MIN(E67,F67)/MAX(E67,F67)*100,"")</calculatedColumnFormula>
    </tableColumn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9D16F069-EEC0-4DCF-B031-1E1D872E62D1}" name="OW_B_additie_hoog12" displayName="OW_B_additie_hoog12" ref="B750:I766" totalsRowShown="0" headerRowDxfId="131" headerRowBorderDxfId="130" tableBorderDxfId="129" totalsRowBorderDxfId="128">
  <autoFilter ref="B750:I766" xr:uid="{2A383714-ACEE-4D3F-9631-64CB7EBC4DB3}"/>
  <tableColumns count="8">
    <tableColumn id="1" xr3:uid="{61014B2D-EFB0-4991-ABC5-BD63CC1D7E1E}" name="Component" dataDxfId="127"/>
    <tableColumn id="2" xr3:uid="{8E69227E-5A79-4C32-B9FF-E3D21D28D200}" name="Theoretische concentratie (ng/l)" dataDxfId="126">
      <calculatedColumnFormula>VLOOKUP(OW_B_additie_hoog12[[#This Row],[Component]],OW_B_additie_hoog01[],2,FALSE)</calculatedColumnFormula>
    </tableColumn>
    <tableColumn id="3" xr3:uid="{25B13DBC-CB77-4F4D-AF62-24B6B30BA466}" name="Retentietijd (min)" dataDxfId="125"/>
    <tableColumn id="5" xr3:uid="{72997BE9-E40A-40E0-B6DF-89768BD9F985}" name="Quantitation overgang (area)" dataDxfId="124"/>
    <tableColumn id="7" xr3:uid="{6FBF4646-2BF2-41A8-8A3B-3D9F11EA2AC2}" name="Kwalification overgang (area)" dataDxfId="123"/>
    <tableColumn id="8" xr3:uid="{8F38FBC0-842B-49DD-84C5-B8A8488A5BC4}" name="Berekende concentratie (ng/l)" dataDxfId="122"/>
    <tableColumn id="9" xr3:uid="{DB7F4BFF-75DE-46C8-856D-E00E05081B66}" name="Terugvinding (%)" dataDxfId="121">
      <calculatedColumnFormula>IF(G751="","",100*G751/C751)</calculatedColumnFormula>
    </tableColumn>
    <tableColumn id="10" xr3:uid="{CEC311A8-3F35-4851-AC56-BBF711C90E19}" name="Ratio (%)" dataDxfId="120">
      <calculatedColumnFormula>IFERROR(MIN(E751,F751)/MAX(E751,F751)*100,"")</calculatedColumnFormula>
    </tableColumn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79FD16C5-16AB-47AC-87B6-F269657D7FC7}" name="KAL_standaard_4_05" displayName="KAL_standaard_4_05" ref="B769:I785" totalsRowShown="0" headerRowDxfId="119" headerRowBorderDxfId="118" tableBorderDxfId="117" totalsRowBorderDxfId="116">
  <autoFilter ref="B769:I785" xr:uid="{61CF5275-F102-4A74-A5B7-1ACEFDDE4973}"/>
  <tableColumns count="8">
    <tableColumn id="1" xr3:uid="{4AEAAA96-5AB8-4BB9-8C0C-D420BDA26CC2}" name="Component" dataDxfId="115"/>
    <tableColumn id="2" xr3:uid="{D951BC5F-ECBB-4534-ABE9-1A91E650CBCE}" name="Theoretische concentratie (ng/l)" dataDxfId="114">
      <calculatedColumnFormula>VLOOKUP(KAL_standaard_4_05[[#This Row],[Component]],Kalibratie4[],2,FALSE)</calculatedColumnFormula>
    </tableColumn>
    <tableColumn id="3" xr3:uid="{DA3472AD-2033-40F2-92FA-DC4E66798386}" name="Retentietijd (min)" dataDxfId="113"/>
    <tableColumn id="5" xr3:uid="{F1CDECDD-489D-484E-B4D0-5348893DC72C}" name="Quantitation overgang (area)" dataDxfId="112"/>
    <tableColumn id="7" xr3:uid="{3C96B654-AE4B-470C-8E4F-FC6BCB92DF43}" name="Kwalification overgang (area)" dataDxfId="111"/>
    <tableColumn id="8" xr3:uid="{BCED28BF-A511-4C98-938F-125B9B4B46DC}" name="Berekende concentratie (ng/l)" dataDxfId="110"/>
    <tableColumn id="9" xr3:uid="{00609C4C-A224-4C8B-83D6-F3778C3BDE71}" name="Terugvinding (%)" dataDxfId="109">
      <calculatedColumnFormula>IF(G770="","",100*G770/C770)</calculatedColumnFormula>
    </tableColumn>
    <tableColumn id="10" xr3:uid="{AB028B5D-D92C-48AC-9B32-023FA5FD0422}" name="Ratio (%)" dataDxfId="108">
      <calculatedColumnFormula>IFERROR(MIN(E770,F770)/MAX(E770,F770)*100,"")</calculatedColumnFormula>
    </tableColumn>
  </tableColumns>
  <tableStyleInfo name="TableStyleMedium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4CA3CD27-3756-49A9-A470-7E0E4086F16E}" name="OW_B_additie_hoog13" displayName="OW_B_additie_hoog13" ref="B788:I804" totalsRowShown="0" headerRowDxfId="107" headerRowBorderDxfId="106" tableBorderDxfId="105" totalsRowBorderDxfId="104">
  <autoFilter ref="B788:I804" xr:uid="{13784300-9716-4AC7-B647-AD5FDFC4F857}"/>
  <tableColumns count="8">
    <tableColumn id="1" xr3:uid="{A7E11E5D-3A57-435B-AB92-D08FA3207093}" name="Component" dataDxfId="103"/>
    <tableColumn id="2" xr3:uid="{F3E0E759-5791-4CDD-B83F-470717E0DCE4}" name="Theoretische concentratie (ng/l)" dataDxfId="102">
      <calculatedColumnFormula>VLOOKUP(OW_B_additie_hoog13[[#This Row],[Component]],OW_B_additie_hoog01[],2,FALSE)</calculatedColumnFormula>
    </tableColumn>
    <tableColumn id="3" xr3:uid="{0A373653-D0AC-41EA-92B2-469E4FC9D6AE}" name="Retentietijd (min)" dataDxfId="101"/>
    <tableColumn id="5" xr3:uid="{6DC0547A-C504-4FDC-A056-FE4A335F4B05}" name="Quantitation overgang (area)" dataDxfId="100"/>
    <tableColumn id="7" xr3:uid="{FCDAECB4-F3E6-4E8A-B00B-5CB4D608E554}" name="Kwalification overgang (area)" dataDxfId="99"/>
    <tableColumn id="8" xr3:uid="{43456F11-C89D-4A46-AED8-AF815849901A}" name="Berekende concentratie (ng/l)" dataDxfId="98"/>
    <tableColumn id="9" xr3:uid="{D86BCC2C-AD96-4120-B33C-0DA6CB18B920}" name="Terugvinding (%)" dataDxfId="97">
      <calculatedColumnFormula>IF(G789="","",100*G789/C789)</calculatedColumnFormula>
    </tableColumn>
    <tableColumn id="10" xr3:uid="{43A2FD8E-1FCF-4E36-AEB2-1679270EE843}" name="Ratio (%)" dataDxfId="96">
      <calculatedColumnFormula>IFERROR(MIN(E789,F789)/MAX(E789,F789)*100,"")</calculatedColumnFormula>
    </tableColumn>
  </tableColumns>
  <tableStyleInfo name="TableStyleMedium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47FBE5F-E200-49CF-8787-4AB04A342D3C}" name="OW_B_additie_hoog14" displayName="OW_B_additie_hoog14" ref="B807:I823" totalsRowShown="0" headerRowDxfId="95" headerRowBorderDxfId="94" tableBorderDxfId="93" totalsRowBorderDxfId="92">
  <autoFilter ref="B807:I823" xr:uid="{DB4C77C8-04E6-49F1-95B0-173680D1DBAA}"/>
  <tableColumns count="8">
    <tableColumn id="1" xr3:uid="{E743211F-801A-41C9-81D0-4F445B3213FC}" name="Component" dataDxfId="91"/>
    <tableColumn id="2" xr3:uid="{8EAA9AB8-E46D-42F8-B78C-0797440C98A4}" name="Theoretische concentratie (ng/l)" dataDxfId="90">
      <calculatedColumnFormula>VLOOKUP(OW_B_additie_hoog14[[#This Row],[Component]],OW_B_additie_hoog01[],2,FALSE)</calculatedColumnFormula>
    </tableColumn>
    <tableColumn id="3" xr3:uid="{2B4866D0-E3A8-4A5C-87E4-01FE95999ECC}" name="Retentietijd (min)" dataDxfId="89"/>
    <tableColumn id="5" xr3:uid="{0501D8C3-75FA-4A36-AD20-C2DAE296CDF0}" name="Quantitation overgang (area)" dataDxfId="88"/>
    <tableColumn id="7" xr3:uid="{0B6E9C28-76A7-4958-89D3-5CAE1DC7EE74}" name="Kwalification overgang (area)" dataDxfId="87"/>
    <tableColumn id="8" xr3:uid="{6BD7E384-902A-4350-B003-06B6D6D8F82B}" name="Berekende concentratie (ng/l)" dataDxfId="86"/>
    <tableColumn id="9" xr3:uid="{B49B1BE0-0C0E-4C82-B56B-CF51429B4951}" name="Terugvinding (%)" dataDxfId="85">
      <calculatedColumnFormula>IF(G808="","",100*G808/C808)</calculatedColumnFormula>
    </tableColumn>
    <tableColumn id="10" xr3:uid="{1881A8A8-E2DF-4789-ABA6-B659C9F9D77F}" name="Ratio (%)" dataDxfId="84">
      <calculatedColumnFormula>IFERROR(MIN(E808,F808)/MAX(E808,F808)*100,"")</calculatedColumnFormula>
    </tableColumn>
  </tableColumns>
  <tableStyleInfo name="TableStyleMedium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4C93F806-7893-4D06-95A8-F9F15FD90858}" name="KAL_standaard_4_06" displayName="KAL_standaard_4_06" ref="B826:I842" totalsRowShown="0" headerRowDxfId="83" headerRowBorderDxfId="82" tableBorderDxfId="81" totalsRowBorderDxfId="80">
  <autoFilter ref="B826:I842" xr:uid="{A969F566-4118-45CA-8FAD-2BE204914CEE}"/>
  <tableColumns count="8">
    <tableColumn id="1" xr3:uid="{E2789F31-4E79-458A-8C1C-9CFB19386054}" name="Component" dataDxfId="79"/>
    <tableColumn id="2" xr3:uid="{B0CA0CB1-2AF8-4CEC-BAC9-FB416125597A}" name="Theoretische concentratie (ng/l)" dataDxfId="78">
      <calculatedColumnFormula>VLOOKUP(KAL_standaard_4_06[[#This Row],[Component]],Kalibratie4[],2,FALSE)</calculatedColumnFormula>
    </tableColumn>
    <tableColumn id="3" xr3:uid="{205F2F77-4C39-4F42-BE59-42879B418994}" name="Retentietijd (min)" dataDxfId="77"/>
    <tableColumn id="5" xr3:uid="{6546808F-9A98-47FB-A5C3-6196E4A29530}" name="Quantitation overgang (area)" dataDxfId="76"/>
    <tableColumn id="7" xr3:uid="{257E72AE-0FEB-472A-B973-A8F4FD7E26F8}" name="Kwalification overgang (area)" dataDxfId="75"/>
    <tableColumn id="8" xr3:uid="{25C69C60-6636-433A-8988-543B5D1D5C39}" name="Berekende concentratie (ng/l)" dataDxfId="74"/>
    <tableColumn id="9" xr3:uid="{569ED51A-E96D-4B01-8725-187B7EE89E57}" name="Terugvinding (%)" dataDxfId="73">
      <calculatedColumnFormula>IF(G827="","",100*G827/C827)</calculatedColumnFormula>
    </tableColumn>
    <tableColumn id="10" xr3:uid="{03B6B0A6-59E2-4D2E-B8AC-5518DE11E7B1}" name="Ratio (%)" dataDxfId="72">
      <calculatedColumnFormula>IFERROR(MIN(E827,F827)/MAX(E827,F827)*100,"")</calculatedColumnFormula>
    </tableColumn>
  </tableColumns>
  <tableStyleInfo name="TableStyleMedium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7434FEA7-E56A-428B-8BF3-157455D3A1AE}" name="OW_B_additie_hoog15" displayName="OW_B_additie_hoog15" ref="B845:I861" totalsRowShown="0" headerRowDxfId="71" headerRowBorderDxfId="70" tableBorderDxfId="69" totalsRowBorderDxfId="68">
  <autoFilter ref="B845:I861" xr:uid="{5296A5E2-FC11-456A-A21D-A18E73EC8F7C}"/>
  <tableColumns count="8">
    <tableColumn id="1" xr3:uid="{7D5209C4-28A8-4D9B-B8DB-1AF1B1C9396B}" name="Component" dataDxfId="67"/>
    <tableColumn id="2" xr3:uid="{F454A401-7E8D-4B23-9560-A25A13636239}" name="Theoretische concentratie (ng/l)" dataDxfId="66">
      <calculatedColumnFormula>VLOOKUP(OW_B_additie_hoog15[[#This Row],[Component]],OW_B_additie_hoog01[],2,FALSE)</calculatedColumnFormula>
    </tableColumn>
    <tableColumn id="3" xr3:uid="{9A6C9BEA-ECC5-4587-9A18-CE968D37D363}" name="Retentietijd (min)" dataDxfId="65"/>
    <tableColumn id="5" xr3:uid="{BE6B6D8A-1B1A-452A-B54B-6EF406B20125}" name="Quantitation overgang (area)" dataDxfId="64"/>
    <tableColumn id="7" xr3:uid="{98B131A9-242D-4AA8-909C-5C59F6D4A4E7}" name="Kwalification overgang (area)" dataDxfId="63"/>
    <tableColumn id="8" xr3:uid="{C4289CDF-85A3-4397-A483-1E1DBDB9A182}" name="Berekende concentratie (ng/l)" dataDxfId="62"/>
    <tableColumn id="9" xr3:uid="{D7E1DCE8-1933-4948-9EDB-8E07E22A25C8}" name="Terugvinding (%)" dataDxfId="61">
      <calculatedColumnFormula>IF(G846="","",100*G846/C846)</calculatedColumnFormula>
    </tableColumn>
    <tableColumn id="10" xr3:uid="{10D2793A-1850-4D70-BDF1-88A328C8ACA0}" name="Ratio (%)" dataDxfId="60">
      <calculatedColumnFormula>IFERROR(MIN(E846,F846)/MAX(E846,F846)*100,"")</calculatedColumnFormula>
    </tableColumn>
  </tableColumns>
  <tableStyleInfo name="TableStyleMedium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96D8181-DA78-4D7D-BC10-770B6F15DC3B}" name="OW_B_additie_hoog16" displayName="OW_B_additie_hoog16" ref="B864:I880" totalsRowShown="0" headerRowDxfId="59" headerRowBorderDxfId="58" tableBorderDxfId="57" totalsRowBorderDxfId="56">
  <autoFilter ref="B864:I880" xr:uid="{E547A22A-990D-4A12-9F8D-4425AC7F3A9D}"/>
  <tableColumns count="8">
    <tableColumn id="1" xr3:uid="{B6EA3628-906D-4305-BEFC-78B279FBCB4E}" name="Component" dataDxfId="55"/>
    <tableColumn id="2" xr3:uid="{496AF99C-D2E2-4AC6-95FD-FDB023489ED2}" name="Theoretische concentratie (ng/l)" dataDxfId="54">
      <calculatedColumnFormula>VLOOKUP(OW_B_additie_hoog16[[#This Row],[Component]],OW_B_additie_hoog01[],2,FALSE)</calculatedColumnFormula>
    </tableColumn>
    <tableColumn id="3" xr3:uid="{9E9A7153-3F4F-4982-94AB-3115032C7A55}" name="Retentietijd (min)" dataDxfId="53"/>
    <tableColumn id="5" xr3:uid="{3A2564B8-3D32-4278-A57D-C609E36D067F}" name="Quantitation overgang (area)" dataDxfId="52"/>
    <tableColumn id="7" xr3:uid="{76C475FA-F4FD-4513-976C-418F1A867AD4}" name="Kwalification overgang (area)" dataDxfId="51"/>
    <tableColumn id="8" xr3:uid="{F8AE506B-613E-42ED-937D-13714B2969CE}" name="Berekende concentratie (ng/l)" dataDxfId="50"/>
    <tableColumn id="9" xr3:uid="{8318A449-1D7C-4FF2-A430-911D44687DC9}" name="Terugvinding (%)" dataDxfId="49">
      <calculatedColumnFormula>IF(G865="","",100*G865/C865)</calculatedColumnFormula>
    </tableColumn>
    <tableColumn id="10" xr3:uid="{EF39FD53-EF8B-4528-B14C-B7DC86801DCA}" name="Ratio (%)" dataDxfId="48">
      <calculatedColumnFormula>IFERROR(MIN(E865,F865)/MAX(E865,F865)*100,"")</calculatedColumnFormula>
    </tableColumn>
  </tableColumns>
  <tableStyleInfo name="TableStyleMedium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27B95752-5C0B-4A3B-BDED-D0720FE14238}" name="KAL_standaard_4_07" displayName="KAL_standaard_4_07" ref="B883:I899" totalsRowShown="0" headerRowDxfId="47" headerRowBorderDxfId="46" tableBorderDxfId="45" totalsRowBorderDxfId="44">
  <autoFilter ref="B883:I899" xr:uid="{B9307074-44AB-4524-8418-35ED81C575A2}"/>
  <tableColumns count="8">
    <tableColumn id="1" xr3:uid="{401D4AD5-66A0-4F81-9CBC-3820FA65D107}" name="Component" dataDxfId="43"/>
    <tableColumn id="2" xr3:uid="{A13340FA-7F16-401A-8236-4A4087360BAB}" name="Theoretische concentratie (ng/l)" dataDxfId="42">
      <calculatedColumnFormula>VLOOKUP(KAL_standaard_4_07[[#This Row],[Component]],Kalibratie4[],2,FALSE)</calculatedColumnFormula>
    </tableColumn>
    <tableColumn id="3" xr3:uid="{31A856A5-7BEE-4820-BFD2-B5637013E091}" name="Retentietijd (min)" dataDxfId="41"/>
    <tableColumn id="5" xr3:uid="{73266525-EA54-4718-9683-7492621167DC}" name="Quantitation overgang (area)" dataDxfId="40"/>
    <tableColumn id="7" xr3:uid="{5A872BBF-A8C2-49F8-A9EE-B7B761E6A126}" name="Kwalification overgang (area)" dataDxfId="39"/>
    <tableColumn id="8" xr3:uid="{AD4A270D-EA14-4A93-B956-75DD289F7C22}" name="Berekende concentratie (ng/l)" dataDxfId="38"/>
    <tableColumn id="9" xr3:uid="{9C658352-BC5E-4CA5-8B9A-E8063EDD1203}" name="Terugvinding (%)" dataDxfId="37">
      <calculatedColumnFormula>IF(G884="","",100*G884/C884)</calculatedColumnFormula>
    </tableColumn>
    <tableColumn id="10" xr3:uid="{BAFFA503-A4D4-4B39-B6FA-4DB0B100A4C9}" name="Ratio (%)" dataDxfId="36">
      <calculatedColumnFormula>IFERROR(MIN(E884,F884)/MAX(E884,F884)*100,"")</calculatedColumnFormula>
    </tableColumn>
  </tableColumns>
  <tableStyleInfo name="TableStyleMedium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C0CF992-7564-4B7E-BE3D-6BAF62F9A86C}" name="OW_B_additie_hoog17" displayName="OW_B_additie_hoog17" ref="B902:I918" totalsRowShown="0" headerRowDxfId="35" headerRowBorderDxfId="34" tableBorderDxfId="33" totalsRowBorderDxfId="32">
  <autoFilter ref="B902:I918" xr:uid="{A9055BD5-ACE6-4057-A2FE-E2868AC13871}"/>
  <tableColumns count="8">
    <tableColumn id="1" xr3:uid="{005E5A4C-1D25-4CB6-8ED2-C3EFA09F0809}" name="Component" dataDxfId="31"/>
    <tableColumn id="2" xr3:uid="{47F508A0-9A32-4D81-9900-40DE6541441F}" name="Theoretische concentratie (ng/l)" dataDxfId="30">
      <calculatedColumnFormula>VLOOKUP(OW_B_additie_hoog17[[#This Row],[Component]],OW_B_additie_hoog01[],2,FALSE)</calculatedColumnFormula>
    </tableColumn>
    <tableColumn id="3" xr3:uid="{AD2F24D3-BCD7-498E-A341-246C55659738}" name="Retentietijd (min)" dataDxfId="29"/>
    <tableColumn id="5" xr3:uid="{D3EEB800-F1CB-481A-9C06-3C5A92CB70E7}" name="Quantitation overgang (area)" dataDxfId="28"/>
    <tableColumn id="7" xr3:uid="{8E9FDF31-0BD4-4A5A-80B9-3C1BAFC64324}" name="Kwalification overgang (area)" dataDxfId="27"/>
    <tableColumn id="8" xr3:uid="{ED3FFDF9-170C-4277-8467-AF9B8A98C2FF}" name="Berekende concentratie (ng/l)" dataDxfId="26"/>
    <tableColumn id="9" xr3:uid="{226F4F94-EB71-4943-9A4F-2795AE6C7105}" name="Terugvinding (%)" dataDxfId="25">
      <calculatedColumnFormula>IF(G903="","",100*G903/C903)</calculatedColumnFormula>
    </tableColumn>
    <tableColumn id="10" xr3:uid="{DE3D7114-04F2-4FFE-9BC7-965D1CFBD633}" name="Ratio (%)" dataDxfId="24">
      <calculatedColumnFormula>IFERROR(MIN(E903,F903)/MAX(E903,F903)*100,"")</calculatedColumnFormula>
    </tableColumn>
  </tableColumns>
  <tableStyleInfo name="TableStyleMedium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09147241-01FF-42A3-9B4F-EA34A8892236}" name="OW_B_additie_hoog18" displayName="OW_B_additie_hoog18" ref="B921:I937" totalsRowShown="0" headerRowDxfId="23" headerRowBorderDxfId="22" tableBorderDxfId="21" totalsRowBorderDxfId="20">
  <autoFilter ref="B921:I937" xr:uid="{389D83C8-92A8-4D4E-AD6A-6FC02604C759}"/>
  <tableColumns count="8">
    <tableColumn id="1" xr3:uid="{BBB7FE9D-B5F9-4B35-A3F7-8BFA2CF96425}" name="Component" dataDxfId="19"/>
    <tableColumn id="2" xr3:uid="{A33527D0-8383-4487-B86A-A8600B9A3D42}" name="Theoretische concentratie (ng/l)" dataDxfId="18">
      <calculatedColumnFormula>VLOOKUP(OW_B_additie_hoog18[[#This Row],[Component]],OW_B_additie_hoog01[],2,FALSE)</calculatedColumnFormula>
    </tableColumn>
    <tableColumn id="3" xr3:uid="{79BD9CB8-B4E0-4FF6-A70D-8BA495AFA940}" name="Retentietijd (min)" dataDxfId="17"/>
    <tableColumn id="5" xr3:uid="{3E387F35-4D74-476D-8EB0-0D7A0527CFC5}" name="Quantitation overgang (area)" dataDxfId="16"/>
    <tableColumn id="7" xr3:uid="{AEA9EA50-4E3B-46BF-A26E-3A8C97AA85A6}" name="Kwalification overgang (area)" dataDxfId="15"/>
    <tableColumn id="8" xr3:uid="{46A39434-5D22-4CF8-8AEB-6C4DA9B4E87A}" name="Berekende concentratie (ng/l)" dataDxfId="14"/>
    <tableColumn id="9" xr3:uid="{C7C13604-44FC-4015-94FD-9500CD5D20E2}" name="Terugvinding (%)" dataDxfId="13">
      <calculatedColumnFormula>IF(G922="","",100*G922/C922)</calculatedColumnFormula>
    </tableColumn>
    <tableColumn id="10" xr3:uid="{C344A6F6-7E5B-462D-8A70-1026111FE299}" name="Ratio (%)" dataDxfId="12">
      <calculatedColumnFormula>IFERROR(MIN(E922,F922)/MAX(E922,F922)*100,"")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CFC9B28B-6723-4F50-A9DA-DE3F8CBB3303}" name="Kalibratie4" displayName="Kalibratie4" ref="B85:I101" totalsRowShown="0" headerRowDxfId="551" headerRowBorderDxfId="550" tableBorderDxfId="549" totalsRowBorderDxfId="548">
  <autoFilter ref="B85:I101" xr:uid="{314E2CD7-1C51-4618-8309-3015C5C50114}"/>
  <tableColumns count="8">
    <tableColumn id="1" xr3:uid="{20C8AAC8-F029-414A-BA42-F7B688FE2183}" name="Component" dataDxfId="547"/>
    <tableColumn id="2" xr3:uid="{F6ADE783-1365-49A8-963D-7A1A92CBE418}" name="Theoretische concentratie (ng/l)" dataDxfId="546"/>
    <tableColumn id="3" xr3:uid="{BA4D4A71-CC40-49C6-AFC4-2092D44FB4B5}" name="Retentietijd (min)" dataDxfId="545"/>
    <tableColumn id="5" xr3:uid="{9FC68583-8F94-4D2C-ADB8-B2C70B3BF340}" name="Quantitation overgang (area)" dataDxfId="544"/>
    <tableColumn id="7" xr3:uid="{6E6E7785-27F7-4118-8F95-F38B307709E9}" name="Kwalification overgang (area)" dataDxfId="543"/>
    <tableColumn id="8" xr3:uid="{9EEC2A53-5DF3-46F6-9DB1-335A7FE072EF}" name="Berekende concentratie (ng/l)" dataDxfId="542"/>
    <tableColumn id="9" xr3:uid="{7A3DB7D9-DC1E-4EC0-9CFA-60D2FD8EA375}" name="Terugvinding (%)" dataDxfId="541">
      <calculatedColumnFormula>IF(G86="","",100*G86/C86)</calculatedColumnFormula>
    </tableColumn>
    <tableColumn id="10" xr3:uid="{D6EE6BA5-0931-45FD-AEBD-E4A240019C10}" name="Ratio (%)" dataDxfId="540">
      <calculatedColumnFormula>IFERROR(MIN(E86,F86)/MAX(E86,F86)*100,"")</calculatedColumnFormula>
    </tableColumn>
  </tableColumns>
  <tableStyleInfo name="TableStyleMedium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68AD3CC-20E5-4C4E-906C-E59F34F90B51}" name="KAL_standaard_4_08" displayName="KAL_standaard_4_08" ref="B940:I956" totalsRowShown="0" headerRowDxfId="11" headerRowBorderDxfId="10" tableBorderDxfId="9" totalsRowBorderDxfId="8">
  <autoFilter ref="B940:I956" xr:uid="{BA3D08A1-F23F-48D3-9DFA-706F41FD3C15}"/>
  <tableColumns count="8">
    <tableColumn id="1" xr3:uid="{430DA744-B17C-4E6A-97F4-9E6BD95286D6}" name="Component" dataDxfId="7"/>
    <tableColumn id="2" xr3:uid="{C08AB437-49FB-4557-9AEC-04AF4876D68B}" name="Theoretische concentratie (ng/l)" dataDxfId="6">
      <calculatedColumnFormula>VLOOKUP(KAL_standaard_4_08[[#This Row],[Component]],Kalibratie4[],2,FALSE)</calculatedColumnFormula>
    </tableColumn>
    <tableColumn id="3" xr3:uid="{DF657796-6E82-4AE8-803A-422DE09575BA}" name="Retentietijd (min)" dataDxfId="5"/>
    <tableColumn id="5" xr3:uid="{DAE4A69D-28A9-461A-9C04-306CDD6BB639}" name="Quantitation overgang (area)" dataDxfId="4"/>
    <tableColumn id="7" xr3:uid="{2F919D5C-DF06-4270-AA62-A6BA8AFBEBBE}" name="Kwalification overgang (area)" dataDxfId="3"/>
    <tableColumn id="8" xr3:uid="{A9915F22-FF29-41DE-A4C1-08ED298574DF}" name="Berekende concentratie (ng/l)" dataDxfId="2"/>
    <tableColumn id="9" xr3:uid="{77EAFD4B-CAFC-427C-B642-58A11AB23B17}" name="Terugvinding (%)" dataDxfId="1">
      <calculatedColumnFormula>IF(G941="","",100*G941/C941)</calculatedColumnFormula>
    </tableColumn>
    <tableColumn id="10" xr3:uid="{1CCA3544-B65A-4DAC-9DDE-4C73E19630A4}" name="Ratio (%)" dataDxfId="0">
      <calculatedColumnFormula>IFERROR(MIN(E941,F941)/MAX(E941,F941)*100,"")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227BF678-A744-4984-949A-4BA99E9FC703}" name="Kalibratie5" displayName="Kalibratie5" ref="B104:I120" totalsRowShown="0" headerRowDxfId="539" headerRowBorderDxfId="538" tableBorderDxfId="537" totalsRowBorderDxfId="536">
  <autoFilter ref="B104:I120" xr:uid="{D8709CCE-34B2-46AE-997C-87FB393A971F}"/>
  <tableColumns count="8">
    <tableColumn id="1" xr3:uid="{0D981550-6DDF-4D64-B290-85F3E6B98A25}" name="Component" dataDxfId="535"/>
    <tableColumn id="2" xr3:uid="{AA347303-B8CF-4D65-B56B-840856185ABF}" name="Theoretische concentratie (ng/l)" dataDxfId="534"/>
    <tableColumn id="3" xr3:uid="{3A29D33A-A958-48DD-BEE8-BF8AF4862BCA}" name="Retentietijd (min)" dataDxfId="533"/>
    <tableColumn id="5" xr3:uid="{819D5112-F6D8-4585-BC3D-4388C1D47BB5}" name="Quantitation overgang (area)" dataDxfId="532"/>
    <tableColumn id="7" xr3:uid="{919ADDCD-7F37-491B-A93B-6EEA34B95B16}" name="Kwalification overgang (area)" dataDxfId="531"/>
    <tableColumn id="8" xr3:uid="{B7D041D8-7022-49B0-A771-643AE112B781}" name="Berekende concentratie (ng/l)" dataDxfId="530"/>
    <tableColumn id="9" xr3:uid="{DB000DBB-26C1-4921-9FE7-E2262B0C1BC1}" name="Terugvinding (%)" dataDxfId="529">
      <calculatedColumnFormula>IF(G105="","",100*G105/C105)</calculatedColumnFormula>
    </tableColumn>
    <tableColumn id="10" xr3:uid="{FF61B284-C5D1-41F3-92DD-ED5FD4A67EE8}" name="Ratio (%)" dataDxfId="528">
      <calculatedColumnFormula>IFERROR(MIN(E105,F105)/MAX(E105,F105)*100,"")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5DE49771-4B43-413A-83F1-F20DB27E27C5}" name="Kalibratie6" displayName="Kalibratie6" ref="B123:I139" totalsRowShown="0" headerRowDxfId="527" headerRowBorderDxfId="526" tableBorderDxfId="525" totalsRowBorderDxfId="524">
  <autoFilter ref="B123:I139" xr:uid="{0241DC62-F24E-4D26-A97B-30E99ABA6F3D}"/>
  <tableColumns count="8">
    <tableColumn id="1" xr3:uid="{FF3A0BEA-D664-420F-B383-933F0A300EC6}" name="Component" dataDxfId="523"/>
    <tableColumn id="2" xr3:uid="{0388EEBD-4AE7-470B-942A-D2806D0A7989}" name="Theoretische concentratie (ng/l)" dataDxfId="522"/>
    <tableColumn id="3" xr3:uid="{059DBD4E-B5FE-49C3-AD75-51B30AD8A7C5}" name="Retentietijd (min)" dataDxfId="521"/>
    <tableColumn id="5" xr3:uid="{EE184918-6497-416B-8726-23C427587C98}" name="Quantitation overgang (area)" dataDxfId="520"/>
    <tableColumn id="7" xr3:uid="{99AFB27E-9A95-495B-96AF-4D514785029C}" name="Kwalification overgang (area)" dataDxfId="519"/>
    <tableColumn id="8" xr3:uid="{E7954F4D-B4E9-43C2-933A-C3CE5AD07A9F}" name="Berekende concentratie (ng/l)" dataDxfId="518"/>
    <tableColumn id="9" xr3:uid="{1796F41C-4535-4348-8575-BE72D06C316D}" name="Terugvinding (%)" dataDxfId="517">
      <calculatedColumnFormula>IF(G124="","",100*G124/C124)</calculatedColumnFormula>
    </tableColumn>
    <tableColumn id="10" xr3:uid="{FC945F0F-2934-4732-A413-67B69EC02D87}" name="Ratio (%)" dataDxfId="516">
      <calculatedColumnFormula>IFERROR(MIN(E124,F124)/MAX(E124,F124)*100,"")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1146496F-2D91-4500-99C5-4A1BA8B14AFD}" name="Blanco_eluens_water01" displayName="Blanco_eluens_water01" ref="B142:I158" totalsRowShown="0" headerRowDxfId="515" headerRowBorderDxfId="514" tableBorderDxfId="513" totalsRowBorderDxfId="512">
  <autoFilter ref="B142:I158" xr:uid="{BC4E708D-54EF-4787-A517-9B10AB03EBE8}"/>
  <tableColumns count="8">
    <tableColumn id="1" xr3:uid="{50EFA1D7-551C-4D6F-A42A-53ED5E43F820}" name="Component" dataDxfId="511"/>
    <tableColumn id="2" xr3:uid="{B2BFF6C9-4096-43A6-AF7A-F61C3C24B9F5}" name="Theoretische concentratie (ng/l)" dataDxfId="510"/>
    <tableColumn id="3" xr3:uid="{6ABBD7D9-FE1C-4E41-B3FD-AF654CE23AFA}" name="Retentietijd (min)" dataDxfId="509"/>
    <tableColumn id="5" xr3:uid="{793DB6F0-B71D-4BF7-8154-1D7AB1C0E1D6}" name="Quantitation overgang (area)" dataDxfId="508"/>
    <tableColumn id="7" xr3:uid="{6A46A2AF-DED4-4372-BEFB-0C55D899FF3C}" name="Kwalification overgang (area)" dataDxfId="507"/>
    <tableColumn id="8" xr3:uid="{44B8A18E-2E27-4434-8A5C-661C0BF88447}" name="Berekende concentratie (ng/l)" dataDxfId="506"/>
    <tableColumn id="9" xr3:uid="{383AC4C0-C767-4625-9CFB-36E937C7D245}" name="Terugvinding (%)" dataDxfId="505"/>
    <tableColumn id="10" xr3:uid="{B09CBD33-DF25-4936-ABF1-752799D25744}" name="Ratio (%)" dataDxfId="504">
      <calculatedColumnFormula>IFERROR(MIN(E143,F143)/MAX(E143,F143)*100,"")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69FE8AB-D87A-4EB6-8B93-78641A1F8C5F}" name="Blanco_eluens_water02" displayName="Blanco_eluens_water02" ref="B161:I177" totalsRowShown="0" headerRowDxfId="503" headerRowBorderDxfId="502" tableBorderDxfId="501" totalsRowBorderDxfId="500">
  <autoFilter ref="B161:I177" xr:uid="{2F415518-29F8-415A-897A-E193656B306E}"/>
  <tableColumns count="8">
    <tableColumn id="1" xr3:uid="{E53492EC-41E7-4EC4-B9E7-A688BE10CC62}" name="Component" dataDxfId="499"/>
    <tableColumn id="2" xr3:uid="{48128584-F8D1-4820-8AD3-E1271DF56585}" name="Theoretische concentratie (ng/l)" dataDxfId="498"/>
    <tableColumn id="3" xr3:uid="{01EFFA3E-404D-4BD0-AA51-238995E6BB6D}" name="Retentietijd (min)" dataDxfId="497"/>
    <tableColumn id="5" xr3:uid="{3F31018E-5B9E-4C61-BF7E-DA854A5391F7}" name="Quantitation overgang (area)" dataDxfId="496"/>
    <tableColumn id="7" xr3:uid="{57F025C2-BA59-4BF6-80A6-13FE130A679E}" name="Kwalification overgang (area)" dataDxfId="495"/>
    <tableColumn id="8" xr3:uid="{B026E969-8D87-4F61-8BC4-BE926E29CBD9}" name="Berekende concentratie (ng/l)" dataDxfId="494"/>
    <tableColumn id="9" xr3:uid="{E6318933-D7C8-4BC6-9CF9-2DBC402E2891}" name="Terugvinding (%)" dataDxfId="493"/>
    <tableColumn id="10" xr3:uid="{FF96A2FD-6B0B-4267-8AD0-96D838EC12B1}" name="Ratio (%)" dataDxfId="492">
      <calculatedColumnFormula>IFERROR(MIN(E162,F162)/MAX(E162,F162)*100,"")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11.xml"/><Relationship Id="rId18" Type="http://schemas.openxmlformats.org/officeDocument/2006/relationships/table" Target="../tables/table16.xml"/><Relationship Id="rId26" Type="http://schemas.openxmlformats.org/officeDocument/2006/relationships/table" Target="../tables/table24.xml"/><Relationship Id="rId39" Type="http://schemas.openxmlformats.org/officeDocument/2006/relationships/table" Target="../tables/table37.xml"/><Relationship Id="rId3" Type="http://schemas.openxmlformats.org/officeDocument/2006/relationships/table" Target="../tables/table1.xml"/><Relationship Id="rId21" Type="http://schemas.openxmlformats.org/officeDocument/2006/relationships/table" Target="../tables/table19.xml"/><Relationship Id="rId34" Type="http://schemas.openxmlformats.org/officeDocument/2006/relationships/table" Target="../tables/table32.xml"/><Relationship Id="rId42" Type="http://schemas.openxmlformats.org/officeDocument/2006/relationships/table" Target="../tables/table40.xml"/><Relationship Id="rId47" Type="http://schemas.openxmlformats.org/officeDocument/2006/relationships/table" Target="../tables/table45.xml"/><Relationship Id="rId50" Type="http://schemas.openxmlformats.org/officeDocument/2006/relationships/table" Target="../tables/table48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17" Type="http://schemas.openxmlformats.org/officeDocument/2006/relationships/table" Target="../tables/table15.xml"/><Relationship Id="rId25" Type="http://schemas.openxmlformats.org/officeDocument/2006/relationships/table" Target="../tables/table23.xml"/><Relationship Id="rId33" Type="http://schemas.openxmlformats.org/officeDocument/2006/relationships/table" Target="../tables/table31.xml"/><Relationship Id="rId38" Type="http://schemas.openxmlformats.org/officeDocument/2006/relationships/table" Target="../tables/table36.xml"/><Relationship Id="rId46" Type="http://schemas.openxmlformats.org/officeDocument/2006/relationships/table" Target="../tables/table44.xml"/><Relationship Id="rId2" Type="http://schemas.openxmlformats.org/officeDocument/2006/relationships/drawing" Target="../drawings/drawing2.xml"/><Relationship Id="rId16" Type="http://schemas.openxmlformats.org/officeDocument/2006/relationships/table" Target="../tables/table14.xml"/><Relationship Id="rId20" Type="http://schemas.openxmlformats.org/officeDocument/2006/relationships/table" Target="../tables/table18.xml"/><Relationship Id="rId29" Type="http://schemas.openxmlformats.org/officeDocument/2006/relationships/table" Target="../tables/table27.xml"/><Relationship Id="rId41" Type="http://schemas.openxmlformats.org/officeDocument/2006/relationships/table" Target="../tables/table39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24" Type="http://schemas.openxmlformats.org/officeDocument/2006/relationships/table" Target="../tables/table22.xml"/><Relationship Id="rId32" Type="http://schemas.openxmlformats.org/officeDocument/2006/relationships/table" Target="../tables/table30.xml"/><Relationship Id="rId37" Type="http://schemas.openxmlformats.org/officeDocument/2006/relationships/table" Target="../tables/table35.xml"/><Relationship Id="rId40" Type="http://schemas.openxmlformats.org/officeDocument/2006/relationships/table" Target="../tables/table38.xml"/><Relationship Id="rId45" Type="http://schemas.openxmlformats.org/officeDocument/2006/relationships/table" Target="../tables/table43.xml"/><Relationship Id="rId5" Type="http://schemas.openxmlformats.org/officeDocument/2006/relationships/table" Target="../tables/table3.xml"/><Relationship Id="rId15" Type="http://schemas.openxmlformats.org/officeDocument/2006/relationships/table" Target="../tables/table13.xml"/><Relationship Id="rId23" Type="http://schemas.openxmlformats.org/officeDocument/2006/relationships/table" Target="../tables/table21.xml"/><Relationship Id="rId28" Type="http://schemas.openxmlformats.org/officeDocument/2006/relationships/table" Target="../tables/table26.xml"/><Relationship Id="rId36" Type="http://schemas.openxmlformats.org/officeDocument/2006/relationships/table" Target="../tables/table34.xml"/><Relationship Id="rId49" Type="http://schemas.openxmlformats.org/officeDocument/2006/relationships/table" Target="../tables/table47.xml"/><Relationship Id="rId10" Type="http://schemas.openxmlformats.org/officeDocument/2006/relationships/table" Target="../tables/table8.xml"/><Relationship Id="rId19" Type="http://schemas.openxmlformats.org/officeDocument/2006/relationships/table" Target="../tables/table17.xml"/><Relationship Id="rId31" Type="http://schemas.openxmlformats.org/officeDocument/2006/relationships/table" Target="../tables/table29.xml"/><Relationship Id="rId44" Type="http://schemas.openxmlformats.org/officeDocument/2006/relationships/table" Target="../tables/table42.xml"/><Relationship Id="rId52" Type="http://schemas.openxmlformats.org/officeDocument/2006/relationships/table" Target="../tables/table50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Relationship Id="rId22" Type="http://schemas.openxmlformats.org/officeDocument/2006/relationships/table" Target="../tables/table20.xml"/><Relationship Id="rId27" Type="http://schemas.openxmlformats.org/officeDocument/2006/relationships/table" Target="../tables/table25.xml"/><Relationship Id="rId30" Type="http://schemas.openxmlformats.org/officeDocument/2006/relationships/table" Target="../tables/table28.xml"/><Relationship Id="rId35" Type="http://schemas.openxmlformats.org/officeDocument/2006/relationships/table" Target="../tables/table33.xml"/><Relationship Id="rId43" Type="http://schemas.openxmlformats.org/officeDocument/2006/relationships/table" Target="../tables/table41.xml"/><Relationship Id="rId48" Type="http://schemas.openxmlformats.org/officeDocument/2006/relationships/table" Target="../tables/table46.xml"/><Relationship Id="rId8" Type="http://schemas.openxmlformats.org/officeDocument/2006/relationships/table" Target="../tables/table6.xml"/><Relationship Id="rId51" Type="http://schemas.openxmlformats.org/officeDocument/2006/relationships/table" Target="../tables/table4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351AB-8358-4144-B160-43EE30846331}">
  <dimension ref="B7:O63"/>
  <sheetViews>
    <sheetView tabSelected="1" zoomScaleNormal="100" workbookViewId="0">
      <selection activeCell="E3" sqref="E3"/>
    </sheetView>
  </sheetViews>
  <sheetFormatPr defaultColWidth="9.140625" defaultRowHeight="12.75" x14ac:dyDescent="0.2"/>
  <cols>
    <col min="1" max="3" width="9.140625" style="3"/>
    <col min="4" max="4" width="23.140625" style="3" customWidth="1"/>
    <col min="5" max="5" width="10.28515625" style="3" customWidth="1"/>
    <col min="6" max="6" width="18.42578125" style="3" customWidth="1"/>
    <col min="7" max="7" width="17.28515625" style="3" customWidth="1"/>
    <col min="8" max="8" width="9.140625" style="3"/>
    <col min="9" max="9" width="24.42578125" style="3" customWidth="1"/>
    <col min="10" max="11" width="17.28515625" style="3" customWidth="1"/>
    <col min="12" max="12" width="14.5703125" style="3" customWidth="1"/>
    <col min="13" max="13" width="14.42578125" style="3" customWidth="1"/>
    <col min="14" max="15" width="13.42578125" style="3" customWidth="1"/>
    <col min="16" max="16384" width="9.140625" style="3"/>
  </cols>
  <sheetData>
    <row r="7" spans="2:15" ht="23.25" x14ac:dyDescent="0.35">
      <c r="B7" s="84" t="s">
        <v>149</v>
      </c>
      <c r="C7" s="84"/>
      <c r="D7" s="84"/>
      <c r="E7" s="84"/>
      <c r="F7" s="84"/>
      <c r="G7" s="84"/>
      <c r="I7" s="84" t="s">
        <v>148</v>
      </c>
      <c r="J7" s="84"/>
      <c r="K7" s="84"/>
      <c r="L7" s="84"/>
      <c r="M7" s="84"/>
      <c r="N7" s="84"/>
      <c r="O7" s="84"/>
    </row>
    <row r="9" spans="2:15" ht="38.25" x14ac:dyDescent="0.2">
      <c r="B9" s="49" t="s">
        <v>129</v>
      </c>
      <c r="C9" s="49" t="s">
        <v>130</v>
      </c>
      <c r="D9" s="49" t="s">
        <v>131</v>
      </c>
      <c r="E9" s="51" t="s">
        <v>155</v>
      </c>
      <c r="F9" s="51" t="s">
        <v>147</v>
      </c>
      <c r="G9" s="51" t="s">
        <v>168</v>
      </c>
      <c r="I9" s="18" t="s">
        <v>2</v>
      </c>
      <c r="J9" s="66" t="s">
        <v>156</v>
      </c>
      <c r="K9" s="66" t="s">
        <v>163</v>
      </c>
      <c r="L9" s="66" t="s">
        <v>158</v>
      </c>
      <c r="M9" s="66" t="s">
        <v>159</v>
      </c>
      <c r="N9" s="66" t="s">
        <v>157</v>
      </c>
      <c r="O9" s="66" t="s">
        <v>160</v>
      </c>
    </row>
    <row r="10" spans="2:15" x14ac:dyDescent="0.2">
      <c r="B10" s="52">
        <v>1</v>
      </c>
      <c r="C10" s="18" t="s">
        <v>132</v>
      </c>
      <c r="D10" s="18" t="s">
        <v>133</v>
      </c>
      <c r="E10" s="1"/>
      <c r="F10" s="1"/>
      <c r="G10" s="1"/>
      <c r="I10" s="18" t="s">
        <v>8</v>
      </c>
      <c r="J10" s="67"/>
      <c r="K10" s="67"/>
      <c r="L10" s="1"/>
      <c r="M10" s="1"/>
      <c r="N10" s="1"/>
      <c r="O10" s="1"/>
    </row>
    <row r="11" spans="2:15" x14ac:dyDescent="0.2">
      <c r="B11" s="52">
        <v>2</v>
      </c>
      <c r="C11" s="18" t="s">
        <v>132</v>
      </c>
      <c r="D11" s="18" t="s">
        <v>134</v>
      </c>
      <c r="E11" s="1"/>
      <c r="F11" s="1"/>
      <c r="G11" s="1"/>
      <c r="I11" s="18" t="s">
        <v>11</v>
      </c>
      <c r="J11" s="67"/>
      <c r="K11" s="67"/>
      <c r="L11" s="1"/>
      <c r="M11" s="1"/>
      <c r="N11" s="1"/>
      <c r="O11" s="1"/>
    </row>
    <row r="12" spans="2:15" x14ac:dyDescent="0.2">
      <c r="B12" s="52">
        <v>3</v>
      </c>
      <c r="C12" s="18" t="s">
        <v>132</v>
      </c>
      <c r="D12" s="18" t="s">
        <v>135</v>
      </c>
      <c r="E12" s="1"/>
      <c r="F12" s="1"/>
      <c r="G12" s="1"/>
      <c r="I12" s="18" t="s">
        <v>12</v>
      </c>
      <c r="J12" s="67"/>
      <c r="K12" s="67"/>
      <c r="L12" s="1"/>
      <c r="M12" s="1"/>
      <c r="N12" s="1"/>
      <c r="O12" s="1"/>
    </row>
    <row r="13" spans="2:15" x14ac:dyDescent="0.2">
      <c r="B13" s="52">
        <v>4</v>
      </c>
      <c r="C13" s="18" t="s">
        <v>132</v>
      </c>
      <c r="D13" s="18" t="s">
        <v>136</v>
      </c>
      <c r="E13" s="1"/>
      <c r="F13" s="1"/>
      <c r="G13" s="1"/>
      <c r="I13" s="18" t="s">
        <v>13</v>
      </c>
      <c r="J13" s="67"/>
      <c r="K13" s="67"/>
      <c r="L13" s="1"/>
      <c r="M13" s="1"/>
      <c r="N13" s="1"/>
      <c r="O13" s="1"/>
    </row>
    <row r="14" spans="2:15" x14ac:dyDescent="0.2">
      <c r="B14" s="52">
        <v>5</v>
      </c>
      <c r="C14" s="18" t="s">
        <v>132</v>
      </c>
      <c r="D14" s="18" t="s">
        <v>137</v>
      </c>
      <c r="E14" s="1"/>
      <c r="F14" s="1"/>
      <c r="G14" s="1"/>
      <c r="I14" s="18" t="s">
        <v>14</v>
      </c>
      <c r="J14" s="67"/>
      <c r="K14" s="67"/>
      <c r="L14" s="1"/>
      <c r="M14" s="1"/>
      <c r="N14" s="1"/>
      <c r="O14" s="1"/>
    </row>
    <row r="15" spans="2:15" x14ac:dyDescent="0.2">
      <c r="B15" s="52">
        <v>6</v>
      </c>
      <c r="C15" s="18" t="s">
        <v>132</v>
      </c>
      <c r="D15" s="18" t="s">
        <v>138</v>
      </c>
      <c r="E15" s="1"/>
      <c r="F15" s="1"/>
      <c r="G15" s="1"/>
      <c r="I15" s="18" t="s">
        <v>15</v>
      </c>
      <c r="J15" s="67"/>
      <c r="K15" s="67"/>
      <c r="L15" s="1"/>
      <c r="M15" s="1"/>
      <c r="N15" s="1"/>
      <c r="O15" s="1"/>
    </row>
    <row r="16" spans="2:15" x14ac:dyDescent="0.2">
      <c r="B16" s="52">
        <v>7</v>
      </c>
      <c r="C16" s="18" t="s">
        <v>132</v>
      </c>
      <c r="D16" s="18" t="s">
        <v>139</v>
      </c>
      <c r="E16" s="1"/>
      <c r="F16" s="1"/>
      <c r="G16" s="1"/>
      <c r="I16" s="18" t="s">
        <v>16</v>
      </c>
      <c r="J16" s="67"/>
      <c r="K16" s="67"/>
      <c r="L16" s="1"/>
      <c r="M16" s="1"/>
      <c r="N16" s="1"/>
      <c r="O16" s="1"/>
    </row>
    <row r="17" spans="2:15" x14ac:dyDescent="0.2">
      <c r="B17" s="52">
        <v>8</v>
      </c>
      <c r="C17" s="18" t="s">
        <v>140</v>
      </c>
      <c r="D17" s="18" t="s">
        <v>32</v>
      </c>
      <c r="E17" s="1"/>
      <c r="F17" s="1"/>
      <c r="G17" s="1"/>
      <c r="I17" s="18" t="s">
        <v>17</v>
      </c>
      <c r="J17" s="67"/>
      <c r="K17" s="67"/>
      <c r="L17" s="1"/>
      <c r="M17" s="1"/>
      <c r="N17" s="1"/>
      <c r="O17" s="1"/>
    </row>
    <row r="18" spans="2:15" x14ac:dyDescent="0.2">
      <c r="B18" s="52">
        <v>9</v>
      </c>
      <c r="C18" s="18" t="s">
        <v>140</v>
      </c>
      <c r="D18" s="18" t="s">
        <v>33</v>
      </c>
      <c r="E18" s="1"/>
      <c r="F18" s="1"/>
      <c r="G18" s="1"/>
      <c r="I18" s="18" t="s">
        <v>18</v>
      </c>
      <c r="J18" s="67"/>
      <c r="K18" s="67"/>
      <c r="L18" s="1"/>
      <c r="M18" s="1"/>
      <c r="N18" s="1"/>
      <c r="O18" s="1"/>
    </row>
    <row r="19" spans="2:15" x14ac:dyDescent="0.2">
      <c r="B19" s="52">
        <v>10</v>
      </c>
      <c r="C19" s="18" t="s">
        <v>140</v>
      </c>
      <c r="D19" s="18" t="s">
        <v>141</v>
      </c>
      <c r="E19" s="1"/>
      <c r="F19" s="1"/>
      <c r="G19" s="1"/>
      <c r="I19" s="18" t="s">
        <v>19</v>
      </c>
      <c r="J19" s="67"/>
      <c r="K19" s="67"/>
      <c r="L19" s="1"/>
      <c r="M19" s="1"/>
      <c r="N19" s="1"/>
      <c r="O19" s="1"/>
    </row>
    <row r="20" spans="2:15" x14ac:dyDescent="0.2">
      <c r="B20" s="52">
        <v>11</v>
      </c>
      <c r="C20" s="18" t="s">
        <v>140</v>
      </c>
      <c r="D20" s="18" t="s">
        <v>142</v>
      </c>
      <c r="E20" s="1"/>
      <c r="F20" s="1"/>
      <c r="G20" s="1"/>
      <c r="I20" s="18" t="s">
        <v>20</v>
      </c>
      <c r="J20" s="67"/>
      <c r="K20" s="67"/>
      <c r="L20" s="1"/>
      <c r="M20" s="1"/>
      <c r="N20" s="1"/>
      <c r="O20" s="1"/>
    </row>
    <row r="21" spans="2:15" x14ac:dyDescent="0.2">
      <c r="B21" s="52">
        <v>12</v>
      </c>
      <c r="C21" s="18" t="s">
        <v>140</v>
      </c>
      <c r="D21" s="18" t="s">
        <v>34</v>
      </c>
      <c r="E21" s="1"/>
      <c r="F21" s="1"/>
      <c r="G21" s="1"/>
      <c r="I21" s="18" t="s">
        <v>21</v>
      </c>
      <c r="J21" s="67"/>
      <c r="K21" s="67"/>
      <c r="L21" s="1"/>
      <c r="M21" s="1"/>
      <c r="N21" s="1"/>
      <c r="O21" s="1"/>
    </row>
    <row r="22" spans="2:15" x14ac:dyDescent="0.2">
      <c r="B22" s="52">
        <v>13</v>
      </c>
      <c r="C22" s="18" t="s">
        <v>140</v>
      </c>
      <c r="D22" s="18" t="s">
        <v>35</v>
      </c>
      <c r="E22" s="1"/>
      <c r="F22" s="1"/>
      <c r="G22" s="1"/>
      <c r="I22" s="18" t="s">
        <v>22</v>
      </c>
      <c r="J22" s="67"/>
      <c r="K22" s="67"/>
      <c r="L22" s="1"/>
      <c r="M22" s="1"/>
      <c r="N22" s="1"/>
      <c r="O22" s="1"/>
    </row>
    <row r="23" spans="2:15" x14ac:dyDescent="0.2">
      <c r="B23" s="52">
        <v>14</v>
      </c>
      <c r="C23" s="18" t="s">
        <v>140</v>
      </c>
      <c r="D23" s="18" t="s">
        <v>36</v>
      </c>
      <c r="E23" s="1"/>
      <c r="F23" s="1"/>
      <c r="G23" s="1"/>
      <c r="I23" s="18" t="s">
        <v>23</v>
      </c>
      <c r="J23" s="67"/>
      <c r="K23" s="67"/>
      <c r="L23" s="1"/>
      <c r="M23" s="1"/>
      <c r="N23" s="1"/>
      <c r="O23" s="1"/>
    </row>
    <row r="24" spans="2:15" x14ac:dyDescent="0.2">
      <c r="B24" s="52">
        <v>15</v>
      </c>
      <c r="C24" s="18" t="s">
        <v>140</v>
      </c>
      <c r="D24" s="18" t="s">
        <v>37</v>
      </c>
      <c r="E24" s="1"/>
      <c r="F24" s="1"/>
      <c r="G24" s="1"/>
      <c r="I24" s="18" t="s">
        <v>24</v>
      </c>
      <c r="J24" s="67"/>
      <c r="K24" s="67"/>
      <c r="L24" s="1"/>
      <c r="M24" s="1"/>
      <c r="N24" s="1"/>
      <c r="O24" s="1"/>
    </row>
    <row r="25" spans="2:15" x14ac:dyDescent="0.2">
      <c r="B25" s="52">
        <v>16</v>
      </c>
      <c r="C25" s="18" t="s">
        <v>140</v>
      </c>
      <c r="D25" s="18" t="s">
        <v>38</v>
      </c>
      <c r="E25" s="1"/>
      <c r="F25" s="1"/>
      <c r="G25" s="1"/>
      <c r="I25" s="18" t="s">
        <v>25</v>
      </c>
      <c r="J25" s="67"/>
      <c r="K25" s="67"/>
      <c r="L25" s="1"/>
      <c r="M25" s="1"/>
      <c r="N25" s="1"/>
      <c r="O25" s="1"/>
    </row>
    <row r="26" spans="2:15" x14ac:dyDescent="0.2">
      <c r="B26" s="52">
        <v>17</v>
      </c>
      <c r="C26" s="18" t="s">
        <v>140</v>
      </c>
      <c r="D26" s="18" t="s">
        <v>39</v>
      </c>
      <c r="E26" s="1"/>
      <c r="F26" s="1"/>
      <c r="G26" s="1"/>
    </row>
    <row r="27" spans="2:15" x14ac:dyDescent="0.2">
      <c r="B27" s="52">
        <v>18</v>
      </c>
      <c r="C27" s="18" t="s">
        <v>140</v>
      </c>
      <c r="D27" s="18" t="s">
        <v>40</v>
      </c>
      <c r="E27" s="1"/>
      <c r="F27" s="1"/>
      <c r="G27" s="1"/>
    </row>
    <row r="28" spans="2:15" x14ac:dyDescent="0.2">
      <c r="B28" s="52">
        <v>19</v>
      </c>
      <c r="C28" s="18" t="s">
        <v>140</v>
      </c>
      <c r="D28" s="18" t="s">
        <v>41</v>
      </c>
      <c r="E28" s="1"/>
      <c r="F28" s="1"/>
      <c r="G28" s="1"/>
      <c r="I28" s="18" t="s">
        <v>164</v>
      </c>
      <c r="J28" s="80" t="s">
        <v>165</v>
      </c>
    </row>
    <row r="29" spans="2:15" x14ac:dyDescent="0.2">
      <c r="B29" s="52">
        <v>20</v>
      </c>
      <c r="C29" s="18" t="s">
        <v>140</v>
      </c>
      <c r="D29" s="18" t="s">
        <v>61</v>
      </c>
      <c r="E29" s="1"/>
      <c r="F29" s="1"/>
      <c r="G29" s="1"/>
      <c r="I29" s="18" t="s">
        <v>166</v>
      </c>
      <c r="J29" s="1"/>
    </row>
    <row r="30" spans="2:15" x14ac:dyDescent="0.2">
      <c r="B30" s="52">
        <v>21</v>
      </c>
      <c r="C30" s="18" t="s">
        <v>140</v>
      </c>
      <c r="D30" s="18" t="s">
        <v>143</v>
      </c>
      <c r="E30" s="1"/>
      <c r="F30" s="1"/>
      <c r="G30" s="1"/>
      <c r="I30" s="18" t="s">
        <v>167</v>
      </c>
      <c r="J30" s="1"/>
    </row>
    <row r="31" spans="2:15" x14ac:dyDescent="0.2">
      <c r="B31" s="52">
        <v>22</v>
      </c>
      <c r="C31" s="18" t="s">
        <v>140</v>
      </c>
      <c r="D31" s="18" t="s">
        <v>144</v>
      </c>
      <c r="E31" s="1"/>
      <c r="F31" s="1"/>
      <c r="G31" s="1"/>
      <c r="I31" s="18" t="s">
        <v>171</v>
      </c>
      <c r="J31" s="1"/>
    </row>
    <row r="32" spans="2:15" x14ac:dyDescent="0.2">
      <c r="B32" s="52">
        <v>23</v>
      </c>
      <c r="C32" s="18" t="s">
        <v>140</v>
      </c>
      <c r="D32" s="18" t="s">
        <v>42</v>
      </c>
      <c r="E32" s="1"/>
      <c r="F32" s="1"/>
      <c r="G32" s="1"/>
    </row>
    <row r="33" spans="2:15" x14ac:dyDescent="0.2">
      <c r="B33" s="52">
        <v>24</v>
      </c>
      <c r="C33" s="18" t="s">
        <v>140</v>
      </c>
      <c r="D33" s="18" t="s">
        <v>43</v>
      </c>
      <c r="E33" s="1"/>
      <c r="F33" s="1"/>
      <c r="G33" s="1"/>
      <c r="I33" s="18" t="s">
        <v>172</v>
      </c>
      <c r="J33" s="80" t="s">
        <v>165</v>
      </c>
    </row>
    <row r="34" spans="2:15" x14ac:dyDescent="0.2">
      <c r="B34" s="52">
        <v>25</v>
      </c>
      <c r="C34" s="18" t="s">
        <v>140</v>
      </c>
      <c r="D34" s="18" t="s">
        <v>44</v>
      </c>
      <c r="E34" s="1"/>
      <c r="F34" s="1"/>
      <c r="G34" s="1"/>
      <c r="I34" s="18" t="s">
        <v>169</v>
      </c>
      <c r="J34" s="1"/>
    </row>
    <row r="35" spans="2:15" x14ac:dyDescent="0.2">
      <c r="B35" s="52">
        <v>26</v>
      </c>
      <c r="C35" s="18" t="s">
        <v>140</v>
      </c>
      <c r="D35" s="18" t="s">
        <v>45</v>
      </c>
      <c r="E35" s="1"/>
      <c r="F35" s="1"/>
      <c r="G35" s="1"/>
      <c r="I35" s="18" t="s">
        <v>170</v>
      </c>
      <c r="J35" s="1"/>
    </row>
    <row r="36" spans="2:15" x14ac:dyDescent="0.2">
      <c r="B36" s="52">
        <v>27</v>
      </c>
      <c r="C36" s="18" t="s">
        <v>140</v>
      </c>
      <c r="D36" s="18" t="s">
        <v>46</v>
      </c>
      <c r="E36" s="1"/>
      <c r="F36" s="1"/>
      <c r="G36" s="1"/>
    </row>
    <row r="37" spans="2:15" x14ac:dyDescent="0.2">
      <c r="B37" s="52">
        <v>28</v>
      </c>
      <c r="C37" s="18" t="s">
        <v>140</v>
      </c>
      <c r="D37" s="18" t="s">
        <v>47</v>
      </c>
      <c r="E37" s="1"/>
      <c r="F37" s="1"/>
      <c r="G37" s="1"/>
      <c r="I37" s="18" t="s">
        <v>174</v>
      </c>
      <c r="J37" s="80"/>
    </row>
    <row r="38" spans="2:15" x14ac:dyDescent="0.2">
      <c r="B38" s="52">
        <v>29</v>
      </c>
      <c r="C38" s="18" t="s">
        <v>140</v>
      </c>
      <c r="D38" s="18" t="s">
        <v>48</v>
      </c>
      <c r="E38" s="1"/>
      <c r="F38" s="1"/>
      <c r="G38" s="1"/>
      <c r="I38" s="18" t="s">
        <v>170</v>
      </c>
      <c r="J38" s="1"/>
    </row>
    <row r="39" spans="2:15" x14ac:dyDescent="0.2">
      <c r="B39" s="52">
        <v>30</v>
      </c>
      <c r="C39" s="18" t="s">
        <v>140</v>
      </c>
      <c r="D39" s="18" t="s">
        <v>49</v>
      </c>
      <c r="E39" s="1"/>
      <c r="F39" s="1"/>
      <c r="G39" s="1"/>
      <c r="I39" s="18" t="s">
        <v>175</v>
      </c>
      <c r="J39" s="1"/>
    </row>
    <row r="40" spans="2:15" x14ac:dyDescent="0.2">
      <c r="B40" s="52">
        <v>31</v>
      </c>
      <c r="C40" s="18" t="s">
        <v>140</v>
      </c>
      <c r="D40" s="18" t="s">
        <v>62</v>
      </c>
      <c r="E40" s="1"/>
      <c r="F40" s="1"/>
      <c r="G40" s="1"/>
      <c r="I40" s="18" t="s">
        <v>173</v>
      </c>
      <c r="J40" s="1"/>
    </row>
    <row r="41" spans="2:15" x14ac:dyDescent="0.2">
      <c r="B41" s="52">
        <v>32</v>
      </c>
      <c r="C41" s="18" t="s">
        <v>140</v>
      </c>
      <c r="D41" s="18" t="s">
        <v>50</v>
      </c>
      <c r="E41" s="1"/>
      <c r="F41" s="1"/>
      <c r="G41" s="1"/>
      <c r="I41" s="18" t="s">
        <v>176</v>
      </c>
      <c r="J41" s="1"/>
    </row>
    <row r="42" spans="2:15" x14ac:dyDescent="0.2">
      <c r="B42" s="52">
        <v>33</v>
      </c>
      <c r="C42" s="18" t="s">
        <v>140</v>
      </c>
      <c r="D42" s="18" t="s">
        <v>145</v>
      </c>
      <c r="E42" s="1"/>
      <c r="F42" s="1"/>
      <c r="G42" s="1"/>
    </row>
    <row r="43" spans="2:15" x14ac:dyDescent="0.2">
      <c r="B43" s="52">
        <v>34</v>
      </c>
      <c r="C43" s="18" t="s">
        <v>140</v>
      </c>
      <c r="D43" s="18" t="s">
        <v>146</v>
      </c>
      <c r="E43" s="1"/>
      <c r="F43" s="1"/>
      <c r="G43" s="1"/>
      <c r="I43" s="10" t="s">
        <v>183</v>
      </c>
    </row>
    <row r="44" spans="2:15" x14ac:dyDescent="0.2">
      <c r="B44" s="52">
        <v>35</v>
      </c>
      <c r="C44" s="18" t="s">
        <v>140</v>
      </c>
      <c r="D44" s="18" t="s">
        <v>63</v>
      </c>
      <c r="E44" s="1"/>
      <c r="F44" s="1"/>
      <c r="G44" s="1"/>
      <c r="I44" s="18" t="s">
        <v>177</v>
      </c>
      <c r="J44" s="18" t="s">
        <v>178</v>
      </c>
      <c r="K44" s="18" t="s">
        <v>179</v>
      </c>
      <c r="L44" s="18" t="s">
        <v>180</v>
      </c>
      <c r="N44" s="10" t="s">
        <v>181</v>
      </c>
    </row>
    <row r="45" spans="2:15" x14ac:dyDescent="0.2">
      <c r="B45" s="52">
        <v>36</v>
      </c>
      <c r="C45" s="18" t="s">
        <v>140</v>
      </c>
      <c r="D45" s="18" t="s">
        <v>51</v>
      </c>
      <c r="E45" s="1"/>
      <c r="F45" s="1"/>
      <c r="G45" s="1"/>
      <c r="I45" s="81">
        <v>0</v>
      </c>
      <c r="J45" s="1"/>
      <c r="K45" s="1"/>
      <c r="L45" s="1"/>
      <c r="N45" s="18" t="s">
        <v>182</v>
      </c>
      <c r="O45" s="1"/>
    </row>
    <row r="46" spans="2:15" x14ac:dyDescent="0.2">
      <c r="B46" s="52">
        <v>37</v>
      </c>
      <c r="C46" s="18" t="s">
        <v>140</v>
      </c>
      <c r="D46" s="18" t="s">
        <v>52</v>
      </c>
      <c r="E46" s="1"/>
      <c r="F46" s="1"/>
      <c r="G46" s="1"/>
      <c r="I46" s="82"/>
      <c r="J46" s="1"/>
      <c r="K46" s="1"/>
      <c r="L46" s="1"/>
    </row>
    <row r="47" spans="2:15" x14ac:dyDescent="0.2">
      <c r="B47" s="52">
        <v>38</v>
      </c>
      <c r="C47" s="18" t="s">
        <v>140</v>
      </c>
      <c r="D47" s="18" t="s">
        <v>64</v>
      </c>
      <c r="E47" s="1"/>
      <c r="F47" s="1"/>
      <c r="G47" s="1"/>
      <c r="I47" s="82"/>
      <c r="J47" s="1"/>
      <c r="K47" s="1"/>
      <c r="L47" s="1"/>
      <c r="N47" s="10" t="s">
        <v>179</v>
      </c>
    </row>
    <row r="48" spans="2:15" x14ac:dyDescent="0.2">
      <c r="B48" s="52">
        <v>39</v>
      </c>
      <c r="C48" s="18" t="s">
        <v>140</v>
      </c>
      <c r="D48" s="18" t="s">
        <v>53</v>
      </c>
      <c r="E48" s="1"/>
      <c r="F48" s="1"/>
      <c r="G48" s="1"/>
      <c r="I48" s="82"/>
      <c r="J48" s="1"/>
      <c r="K48" s="1"/>
      <c r="L48" s="1"/>
      <c r="N48" s="18" t="s">
        <v>182</v>
      </c>
      <c r="O48" s="1"/>
    </row>
    <row r="49" spans="2:12" x14ac:dyDescent="0.2">
      <c r="B49" s="52">
        <v>40</v>
      </c>
      <c r="C49" s="18" t="s">
        <v>140</v>
      </c>
      <c r="D49" s="18" t="s">
        <v>54</v>
      </c>
      <c r="E49" s="1"/>
      <c r="F49" s="1"/>
      <c r="G49" s="1"/>
      <c r="I49" s="82"/>
      <c r="J49" s="1"/>
      <c r="K49" s="1"/>
      <c r="L49" s="1"/>
    </row>
    <row r="50" spans="2:12" x14ac:dyDescent="0.2">
      <c r="B50" s="52">
        <v>41</v>
      </c>
      <c r="C50" s="18" t="s">
        <v>140</v>
      </c>
      <c r="D50" s="18" t="s">
        <v>65</v>
      </c>
      <c r="E50" s="1"/>
      <c r="F50" s="1"/>
      <c r="G50" s="1"/>
      <c r="I50" s="82"/>
      <c r="J50" s="1"/>
      <c r="K50" s="1"/>
      <c r="L50" s="1"/>
    </row>
    <row r="51" spans="2:12" x14ac:dyDescent="0.2">
      <c r="B51" s="52">
        <v>42</v>
      </c>
      <c r="C51" s="18" t="s">
        <v>140</v>
      </c>
      <c r="D51" s="18" t="s">
        <v>55</v>
      </c>
      <c r="E51" s="1"/>
      <c r="F51" s="1"/>
      <c r="G51" s="1"/>
      <c r="I51" s="82"/>
      <c r="J51" s="1"/>
      <c r="K51" s="1"/>
      <c r="L51" s="1"/>
    </row>
    <row r="52" spans="2:12" x14ac:dyDescent="0.2">
      <c r="B52" s="52">
        <v>43</v>
      </c>
      <c r="C52" s="18" t="s">
        <v>140</v>
      </c>
      <c r="D52" s="18" t="s">
        <v>56</v>
      </c>
      <c r="E52" s="1"/>
      <c r="F52" s="1"/>
      <c r="G52" s="1"/>
      <c r="I52" s="82"/>
      <c r="J52" s="1"/>
      <c r="K52" s="1"/>
      <c r="L52" s="1"/>
    </row>
    <row r="53" spans="2:12" x14ac:dyDescent="0.2">
      <c r="B53" s="52">
        <v>44</v>
      </c>
      <c r="C53" s="18" t="s">
        <v>140</v>
      </c>
      <c r="D53" s="18" t="s">
        <v>66</v>
      </c>
      <c r="E53" s="1"/>
      <c r="F53" s="1"/>
      <c r="G53" s="1"/>
      <c r="I53" s="82"/>
      <c r="J53" s="1"/>
      <c r="K53" s="1"/>
      <c r="L53" s="1"/>
    </row>
    <row r="54" spans="2:12" x14ac:dyDescent="0.2">
      <c r="B54" s="52">
        <v>45</v>
      </c>
      <c r="C54" s="18" t="s">
        <v>140</v>
      </c>
      <c r="D54" s="18" t="s">
        <v>57</v>
      </c>
      <c r="E54" s="1"/>
      <c r="F54" s="1"/>
      <c r="G54" s="1"/>
      <c r="I54" s="82"/>
      <c r="J54" s="1"/>
      <c r="K54" s="1"/>
      <c r="L54" s="1"/>
    </row>
    <row r="55" spans="2:12" x14ac:dyDescent="0.2">
      <c r="B55" s="52">
        <v>46</v>
      </c>
      <c r="C55" s="18" t="s">
        <v>140</v>
      </c>
      <c r="D55" s="18" t="s">
        <v>58</v>
      </c>
      <c r="E55" s="1"/>
      <c r="F55" s="1"/>
      <c r="G55" s="1"/>
      <c r="I55" s="82"/>
      <c r="J55" s="1"/>
      <c r="K55" s="1"/>
      <c r="L55" s="1"/>
    </row>
    <row r="56" spans="2:12" x14ac:dyDescent="0.2">
      <c r="B56" s="52">
        <v>47</v>
      </c>
      <c r="C56" s="18" t="s">
        <v>140</v>
      </c>
      <c r="D56" s="18" t="s">
        <v>67</v>
      </c>
      <c r="E56" s="1"/>
      <c r="F56" s="1"/>
      <c r="G56" s="1"/>
      <c r="I56" s="82"/>
      <c r="J56" s="1"/>
      <c r="K56" s="1"/>
      <c r="L56" s="1"/>
    </row>
    <row r="57" spans="2:12" x14ac:dyDescent="0.2">
      <c r="B57" s="52">
        <v>48</v>
      </c>
      <c r="C57" s="18" t="s">
        <v>140</v>
      </c>
      <c r="D57" s="18" t="s">
        <v>59</v>
      </c>
      <c r="E57" s="1"/>
      <c r="F57" s="1"/>
      <c r="G57" s="1"/>
      <c r="I57" s="82"/>
      <c r="J57" s="1"/>
      <c r="K57" s="1"/>
      <c r="L57" s="1"/>
    </row>
    <row r="58" spans="2:12" x14ac:dyDescent="0.2">
      <c r="B58" s="52">
        <v>49</v>
      </c>
      <c r="C58" s="18" t="s">
        <v>140</v>
      </c>
      <c r="D58" s="18" t="s">
        <v>60</v>
      </c>
      <c r="E58" s="1"/>
      <c r="F58" s="1"/>
      <c r="G58" s="1"/>
      <c r="I58" s="82"/>
      <c r="J58" s="1"/>
      <c r="K58" s="1"/>
      <c r="L58" s="1"/>
    </row>
    <row r="59" spans="2:12" x14ac:dyDescent="0.2">
      <c r="B59" s="52">
        <v>50</v>
      </c>
      <c r="C59" s="18" t="s">
        <v>140</v>
      </c>
      <c r="D59" s="18" t="s">
        <v>68</v>
      </c>
      <c r="E59" s="1"/>
      <c r="F59" s="1"/>
      <c r="G59" s="1"/>
      <c r="I59" s="82"/>
      <c r="J59" s="1"/>
      <c r="K59" s="1"/>
      <c r="L59" s="1"/>
    </row>
    <row r="60" spans="2:12" x14ac:dyDescent="0.2">
      <c r="I60" s="82"/>
      <c r="J60" s="1"/>
      <c r="K60" s="1"/>
      <c r="L60" s="1"/>
    </row>
    <row r="61" spans="2:12" x14ac:dyDescent="0.2">
      <c r="I61" s="82"/>
      <c r="J61" s="1"/>
      <c r="K61" s="1"/>
      <c r="L61" s="1"/>
    </row>
    <row r="62" spans="2:12" x14ac:dyDescent="0.2">
      <c r="I62" s="82"/>
      <c r="J62" s="1"/>
      <c r="K62" s="1"/>
      <c r="L62" s="1"/>
    </row>
    <row r="63" spans="2:12" x14ac:dyDescent="0.2">
      <c r="I63" s="82"/>
      <c r="J63" s="1"/>
      <c r="K63" s="1"/>
      <c r="L63" s="1"/>
    </row>
  </sheetData>
  <sheetProtection algorithmName="SHA-512" hashValue="rgJA/MF1nC1DZdVvk9zMtRN62OY1E2GfvPMeJEVc0wVfg0DwUkNzyEoH3r2Oc9uW0RpXYWRzQ+mh2lR3UTzbAQ==" saltValue="scp/iAlIbxjubnupZcfsLw==" spinCount="100000" sheet="1" objects="1" scenarios="1"/>
  <sortState xmlns:xlrd2="http://schemas.microsoft.com/office/spreadsheetml/2017/richdata2" ref="H13:H225">
    <sortCondition sortBy="cellColor" ref="H13:H225" dxfId="602"/>
  </sortState>
  <mergeCells count="2">
    <mergeCell ref="B7:G7"/>
    <mergeCell ref="I7:O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F1435-34E5-44E3-92A0-AE9D27E08DD0}">
  <dimension ref="B2:AS956"/>
  <sheetViews>
    <sheetView zoomScaleNormal="100" workbookViewId="0">
      <selection activeCell="S748" sqref="S748"/>
    </sheetView>
  </sheetViews>
  <sheetFormatPr defaultColWidth="9.140625" defaultRowHeight="12.75" x14ac:dyDescent="0.2"/>
  <cols>
    <col min="1" max="1" width="3.42578125" style="3" customWidth="1"/>
    <col min="2" max="2" width="16.5703125" style="3" bestFit="1" customWidth="1"/>
    <col min="3" max="3" width="14.42578125" style="3" customWidth="1"/>
    <col min="4" max="4" width="13.28515625" style="3" customWidth="1"/>
    <col min="5" max="5" width="13.42578125" style="3" customWidth="1"/>
    <col min="6" max="6" width="20.28515625" style="3" customWidth="1"/>
    <col min="7" max="7" width="16.42578125" style="3" customWidth="1"/>
    <col min="8" max="8" width="15.7109375" style="42" customWidth="1"/>
    <col min="9" max="9" width="18.7109375" style="3" customWidth="1"/>
    <col min="10" max="10" width="14.7109375" style="72" customWidth="1"/>
    <col min="11" max="11" width="16.85546875" style="3" bestFit="1" customWidth="1"/>
    <col min="12" max="12" width="18" style="3" customWidth="1"/>
    <col min="13" max="13" width="11.85546875" style="3" customWidth="1"/>
    <col min="14" max="54" width="10.42578125" style="3" customWidth="1"/>
    <col min="55" max="16384" width="9.140625" style="3"/>
  </cols>
  <sheetData>
    <row r="2" spans="2:26" x14ac:dyDescent="0.2">
      <c r="D2" s="50" t="s">
        <v>84</v>
      </c>
      <c r="E2" s="1"/>
      <c r="H2" s="76" t="s">
        <v>128</v>
      </c>
      <c r="I2" s="44">
        <f>SUM(Punten_AG,Punten_TV,Punten_RSD,Punten_Ratio,Punten_Drift,Punt_TV_2xvv,Punt_TV_5xvv)</f>
        <v>0</v>
      </c>
    </row>
    <row r="3" spans="2:26" x14ac:dyDescent="0.2">
      <c r="D3" s="50" t="s">
        <v>0</v>
      </c>
      <c r="E3" s="23"/>
      <c r="H3" s="76" t="s">
        <v>127</v>
      </c>
      <c r="I3" s="40">
        <f>10*I2/Punt_MAX</f>
        <v>0</v>
      </c>
    </row>
    <row r="4" spans="2:26" ht="12" customHeight="1" x14ac:dyDescent="0.2"/>
    <row r="6" spans="2:26" ht="23.25" x14ac:dyDescent="0.35">
      <c r="B6" s="84" t="s">
        <v>98</v>
      </c>
      <c r="C6" s="84"/>
      <c r="D6" s="84"/>
      <c r="E6" s="84"/>
      <c r="F6" s="84"/>
      <c r="G6" s="84"/>
      <c r="H6" s="84"/>
      <c r="I6" s="84"/>
      <c r="J6" s="75"/>
      <c r="K6" s="65"/>
      <c r="L6" s="84" t="s">
        <v>99</v>
      </c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65"/>
    </row>
    <row r="7" spans="2:26" ht="23.25" x14ac:dyDescent="0.35">
      <c r="B7" s="34"/>
      <c r="C7" s="34"/>
      <c r="D7" s="34"/>
      <c r="E7" s="34"/>
      <c r="F7" s="34"/>
      <c r="G7" s="34"/>
      <c r="H7" s="77"/>
      <c r="I7" s="34"/>
      <c r="J7" s="73"/>
      <c r="K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2:26" ht="20.25" x14ac:dyDescent="0.2">
      <c r="B8" s="4" t="s">
        <v>1</v>
      </c>
      <c r="E8" s="5"/>
      <c r="F8" s="6"/>
      <c r="L8" s="4" t="s">
        <v>83</v>
      </c>
      <c r="O8" s="4"/>
    </row>
    <row r="9" spans="2:26" ht="39" thickBot="1" x14ac:dyDescent="0.25">
      <c r="B9" s="15" t="s">
        <v>2</v>
      </c>
      <c r="C9" s="16" t="s">
        <v>3</v>
      </c>
      <c r="D9" s="16" t="s">
        <v>4</v>
      </c>
      <c r="E9" s="16" t="s">
        <v>161</v>
      </c>
      <c r="F9" s="16" t="s">
        <v>162</v>
      </c>
      <c r="G9" s="16" t="s">
        <v>5</v>
      </c>
      <c r="H9" s="43" t="s">
        <v>6</v>
      </c>
      <c r="I9" s="17" t="s">
        <v>7</v>
      </c>
      <c r="L9" s="25" t="s">
        <v>2</v>
      </c>
      <c r="M9" s="24" t="s">
        <v>82</v>
      </c>
      <c r="N9" s="24" t="s">
        <v>34</v>
      </c>
      <c r="O9" s="24" t="s">
        <v>35</v>
      </c>
      <c r="P9" s="24" t="s">
        <v>36</v>
      </c>
      <c r="Q9" s="24" t="s">
        <v>37</v>
      </c>
      <c r="R9" s="24" t="s">
        <v>38</v>
      </c>
      <c r="S9" s="24" t="s">
        <v>39</v>
      </c>
      <c r="T9" s="24" t="s">
        <v>40</v>
      </c>
      <c r="U9" s="24" t="s">
        <v>41</v>
      </c>
      <c r="V9" s="24" t="s">
        <v>91</v>
      </c>
      <c r="W9" s="26" t="s">
        <v>85</v>
      </c>
      <c r="X9" s="24" t="s">
        <v>86</v>
      </c>
      <c r="Y9" s="24" t="s">
        <v>123</v>
      </c>
    </row>
    <row r="10" spans="2:26" ht="13.5" thickTop="1" x14ac:dyDescent="0.2">
      <c r="B10" s="14" t="s">
        <v>8</v>
      </c>
      <c r="C10" s="27" t="s">
        <v>9</v>
      </c>
      <c r="D10" s="45"/>
      <c r="E10" s="47"/>
      <c r="F10" s="47"/>
      <c r="G10" s="45"/>
      <c r="H10" s="22" t="s">
        <v>10</v>
      </c>
      <c r="I10" s="32" t="str">
        <f t="shared" ref="I10:I25" si="0">IFERROR(MIN(E10,F10)/MAX(E10,F10)*100,"")</f>
        <v/>
      </c>
      <c r="L10" s="20" t="str">
        <f>Kalibratie0[[#This Row],[Component]]</f>
        <v>Amisulbrom</v>
      </c>
      <c r="M10" s="22">
        <f>IF(VLOOKUP($L10,OW_A_additie_laag01[],2,FALSE)="","",VLOOKUP($L10,OW_A_additie_laag01[],2,FALSE))</f>
        <v>12.0528</v>
      </c>
      <c r="N10" s="22" t="str">
        <f>IF(VLOOKUP($L10,OW_A_additie_laag01[],6,FALSE)="","",VLOOKUP($L10,OW_A_additie_laag01[],6,FALSE))</f>
        <v/>
      </c>
      <c r="O10" s="22" t="str">
        <f>IF(VLOOKUP($L10,OW_A_additie_laag02[],6,FALSE)="","",VLOOKUP($L10,OW_A_additie_laag02[],6,FALSE))</f>
        <v/>
      </c>
      <c r="P10" s="22" t="str">
        <f>IF(VLOOKUP($L10,OW_A_additie_laag03[],6,FALSE)="","",VLOOKUP($L10,OW_A_additie_laag03[],6,FALSE))</f>
        <v/>
      </c>
      <c r="Q10" s="22" t="str">
        <f>IF(VLOOKUP($L10,OW_A_additie_laag04[],6,FALSE)="","",VLOOKUP($L10,OW_A_additie_laag04[],6,FALSE))</f>
        <v/>
      </c>
      <c r="R10" s="22" t="str">
        <f>IF(VLOOKUP($L10,OW_A_additie_laag05[],6,FALSE)="","",VLOOKUP($L10,OW_A_additie_laag05[],6,FALSE))</f>
        <v/>
      </c>
      <c r="S10" s="22" t="str">
        <f>IF(VLOOKUP($L10,OW_A_additie_laag06[],6,FALSE)="","",VLOOKUP($L10,OW_A_additie_laag06[],6,FALSE))</f>
        <v/>
      </c>
      <c r="T10" s="22" t="str">
        <f>IF(VLOOKUP($L10,OW_A_additie_laag07[],6,FALSE)="","",VLOOKUP($L10,OW_A_additie_laag07[],6,FALSE))</f>
        <v/>
      </c>
      <c r="U10" s="22" t="str">
        <f>IF(VLOOKUP($L10,OW_A_additie_laag08[],6,FALSE)="","",VLOOKUP($L10,OW_A_additie_laag08[],6,FALSE))</f>
        <v/>
      </c>
      <c r="V10" s="27">
        <f>COUNT(N10:U10)</f>
        <v>0</v>
      </c>
      <c r="W10" s="22" t="str">
        <f>IF(V10&lt;2,"",STDEV(N10:U10))</f>
        <v/>
      </c>
      <c r="X10" s="22" t="str">
        <f>IF(V10&lt;&gt;8,"",W10*9)</f>
        <v/>
      </c>
      <c r="Y10" s="38" cm="1">
        <f t="array" ref="Y10">_xlfn.IFS(AND(X10&gt;='Punten verdeling'!$C$8,X10&lt;='Punten verdeling'!$D$8),AG_U,AND(X10&gt;'Punten verdeling'!C$9,X10&lt;='Punten verdeling'!D$9),AG_G,AND(X10&gt;'Punten verdeling'!C$10,X10&lt;='Punten verdeling'!D$10),AG_V,X10&gt;'Punten verdeling'!C$11,AG_O)</f>
        <v>0</v>
      </c>
    </row>
    <row r="11" spans="2:26" x14ac:dyDescent="0.2">
      <c r="B11" s="12" t="s">
        <v>11</v>
      </c>
      <c r="C11" s="28" t="s">
        <v>9</v>
      </c>
      <c r="D11" s="46"/>
      <c r="E11" s="48"/>
      <c r="F11" s="48"/>
      <c r="G11" s="45"/>
      <c r="H11" s="40" t="s">
        <v>10</v>
      </c>
      <c r="I11" s="32" t="str">
        <f t="shared" si="0"/>
        <v/>
      </c>
      <c r="L11" s="19" t="str">
        <f>Kalibratie0[[#This Row],[Component]]</f>
        <v>Clothianidine</v>
      </c>
      <c r="M11" s="40">
        <f>IF(VLOOKUP($L11,OW_A_additie_laag01[],2,FALSE)="","",VLOOKUP($L11,OW_A_additie_laag01[],2,FALSE))</f>
        <v>11.930399999999997</v>
      </c>
      <c r="N11" s="22" t="str">
        <f>IF(VLOOKUP($L11,OW_A_additie_laag01[],6,FALSE)="","",VLOOKUP($L11,OW_A_additie_laag01[],6,FALSE))</f>
        <v/>
      </c>
      <c r="O11" s="22" t="str">
        <f>IF(VLOOKUP($L11,OW_A_additie_laag02[],6,FALSE)="","",VLOOKUP($L11,OW_A_additie_laag02[],6,FALSE))</f>
        <v/>
      </c>
      <c r="P11" s="22" t="str">
        <f>IF(VLOOKUP($L11,OW_A_additie_laag03[],6,FALSE)="","",VLOOKUP($L11,OW_A_additie_laag03[],6,FALSE))</f>
        <v/>
      </c>
      <c r="Q11" s="22" t="str">
        <f>IF(VLOOKUP($L11,OW_A_additie_laag04[],6,FALSE)="","",VLOOKUP($L11,OW_A_additie_laag04[],6,FALSE))</f>
        <v/>
      </c>
      <c r="R11" s="22" t="str">
        <f>IF(VLOOKUP($L11,OW_A_additie_laag05[],6,FALSE)="","",VLOOKUP($L11,OW_A_additie_laag05[],6,FALSE))</f>
        <v/>
      </c>
      <c r="S11" s="22" t="str">
        <f>IF(VLOOKUP($L11,OW_A_additie_laag06[],6,FALSE)="","",VLOOKUP($L11,OW_A_additie_laag06[],6,FALSE))</f>
        <v/>
      </c>
      <c r="T11" s="22" t="str">
        <f>IF(VLOOKUP($L11,OW_A_additie_laag07[],6,FALSE)="","",VLOOKUP($L11,OW_A_additie_laag07[],6,FALSE))</f>
        <v/>
      </c>
      <c r="U11" s="22" t="str">
        <f>IF(VLOOKUP($L11,OW_A_additie_laag08[],6,FALSE)="","",VLOOKUP($L11,OW_A_additie_laag08[],6,FALSE))</f>
        <v/>
      </c>
      <c r="V11" s="28">
        <f t="shared" ref="V11:V25" si="1">COUNT(N11:U11)</f>
        <v>0</v>
      </c>
      <c r="W11" s="22" t="str">
        <f t="shared" ref="W11:W25" si="2">IF(V11&lt;2,"",STDEV(N11:U11))</f>
        <v/>
      </c>
      <c r="X11" s="40" t="str">
        <f t="shared" ref="X11:X25" si="3">IF(V11&lt;&gt;8,"",W11*9)</f>
        <v/>
      </c>
      <c r="Y11" s="38" cm="1">
        <f t="array" ref="Y11">_xlfn.IFS(AND(X11&gt;='Punten verdeling'!$C$8,X11&lt;='Punten verdeling'!$D$8),AG_U,AND(X11&gt;'Punten verdeling'!C$9,X11&lt;='Punten verdeling'!D$9),AG_G,AND(X11&gt;'Punten verdeling'!C$10,X11&lt;='Punten verdeling'!D$10),AG_V,X11&gt;'Punten verdeling'!C$11,AG_O)</f>
        <v>0</v>
      </c>
    </row>
    <row r="12" spans="2:26" x14ac:dyDescent="0.2">
      <c r="B12" s="12" t="s">
        <v>12</v>
      </c>
      <c r="C12" s="28" t="s">
        <v>9</v>
      </c>
      <c r="D12" s="46"/>
      <c r="E12" s="48"/>
      <c r="F12" s="48"/>
      <c r="G12" s="45"/>
      <c r="H12" s="40" t="s">
        <v>10</v>
      </c>
      <c r="I12" s="32" t="str">
        <f t="shared" si="0"/>
        <v/>
      </c>
      <c r="L12" s="19" t="str">
        <f>Kalibratie0[[#This Row],[Component]]</f>
        <v>Cyazofamide</v>
      </c>
      <c r="M12" s="40">
        <f>IF(VLOOKUP($L12,OW_A_additie_laag01[],2,FALSE)="","",VLOOKUP($L12,OW_A_additie_laag01[],2,FALSE))</f>
        <v>12.004799999999999</v>
      </c>
      <c r="N12" s="22" t="str">
        <f>IF(VLOOKUP($L12,OW_A_additie_laag01[],6,FALSE)="","",VLOOKUP($L12,OW_A_additie_laag01[],6,FALSE))</f>
        <v/>
      </c>
      <c r="O12" s="22" t="str">
        <f>IF(VLOOKUP($L12,OW_A_additie_laag02[],6,FALSE)="","",VLOOKUP($L12,OW_A_additie_laag02[],6,FALSE))</f>
        <v/>
      </c>
      <c r="P12" s="22" t="str">
        <f>IF(VLOOKUP($L12,OW_A_additie_laag03[],6,FALSE)="","",VLOOKUP($L12,OW_A_additie_laag03[],6,FALSE))</f>
        <v/>
      </c>
      <c r="Q12" s="22" t="str">
        <f>IF(VLOOKUP($L12,OW_A_additie_laag04[],6,FALSE)="","",VLOOKUP($L12,OW_A_additie_laag04[],6,FALSE))</f>
        <v/>
      </c>
      <c r="R12" s="22" t="str">
        <f>IF(VLOOKUP($L12,OW_A_additie_laag05[],6,FALSE)="","",VLOOKUP($L12,OW_A_additie_laag05[],6,FALSE))</f>
        <v/>
      </c>
      <c r="S12" s="22" t="str">
        <f>IF(VLOOKUP($L12,OW_A_additie_laag06[],6,FALSE)="","",VLOOKUP($L12,OW_A_additie_laag06[],6,FALSE))</f>
        <v/>
      </c>
      <c r="T12" s="22" t="str">
        <f>IF(VLOOKUP($L12,OW_A_additie_laag07[],6,FALSE)="","",VLOOKUP($L12,OW_A_additie_laag07[],6,FALSE))</f>
        <v/>
      </c>
      <c r="U12" s="22" t="str">
        <f>IF(VLOOKUP($L12,OW_A_additie_laag08[],6,FALSE)="","",VLOOKUP($L12,OW_A_additie_laag08[],6,FALSE))</f>
        <v/>
      </c>
      <c r="V12" s="28">
        <f t="shared" si="1"/>
        <v>0</v>
      </c>
      <c r="W12" s="22" t="str">
        <f t="shared" si="2"/>
        <v/>
      </c>
      <c r="X12" s="40" t="str">
        <f t="shared" si="3"/>
        <v/>
      </c>
      <c r="Y12" s="38" cm="1">
        <f t="array" ref="Y12">_xlfn.IFS(AND(X12&gt;='Punten verdeling'!$C$8,X12&lt;='Punten verdeling'!$D$8),AG_U,AND(X12&gt;'Punten verdeling'!C$9,X12&lt;='Punten verdeling'!D$9),AG_G,AND(X12&gt;'Punten verdeling'!C$10,X12&lt;='Punten verdeling'!D$10),AG_V,X12&gt;'Punten verdeling'!C$11,AG_O)</f>
        <v>0</v>
      </c>
    </row>
    <row r="13" spans="2:26" x14ac:dyDescent="0.2">
      <c r="B13" s="12" t="s">
        <v>13</v>
      </c>
      <c r="C13" s="28" t="s">
        <v>9</v>
      </c>
      <c r="D13" s="46"/>
      <c r="E13" s="48"/>
      <c r="F13" s="48"/>
      <c r="G13" s="45"/>
      <c r="H13" s="40" t="s">
        <v>10</v>
      </c>
      <c r="I13" s="32" t="str">
        <f t="shared" si="0"/>
        <v/>
      </c>
      <c r="L13" s="19" t="str">
        <f>Kalibratie0[[#This Row],[Component]]</f>
        <v>Cymoxanil</v>
      </c>
      <c r="M13" s="40">
        <f>IF(VLOOKUP($L13,OW_A_additie_laag01[],2,FALSE)="","",VLOOKUP($L13,OW_A_additie_laag01[],2,FALSE))</f>
        <v>11.9748</v>
      </c>
      <c r="N13" s="22" t="str">
        <f>IF(VLOOKUP($L13,OW_A_additie_laag01[],6,FALSE)="","",VLOOKUP($L13,OW_A_additie_laag01[],6,FALSE))</f>
        <v/>
      </c>
      <c r="O13" s="22" t="str">
        <f>IF(VLOOKUP($L13,OW_A_additie_laag02[],6,FALSE)="","",VLOOKUP($L13,OW_A_additie_laag02[],6,FALSE))</f>
        <v/>
      </c>
      <c r="P13" s="22" t="str">
        <f>IF(VLOOKUP($L13,OW_A_additie_laag03[],6,FALSE)="","",VLOOKUP($L13,OW_A_additie_laag03[],6,FALSE))</f>
        <v/>
      </c>
      <c r="Q13" s="22" t="str">
        <f>IF(VLOOKUP($L13,OW_A_additie_laag04[],6,FALSE)="","",VLOOKUP($L13,OW_A_additie_laag04[],6,FALSE))</f>
        <v/>
      </c>
      <c r="R13" s="22" t="str">
        <f>IF(VLOOKUP($L13,OW_A_additie_laag05[],6,FALSE)="","",VLOOKUP($L13,OW_A_additie_laag05[],6,FALSE))</f>
        <v/>
      </c>
      <c r="S13" s="22" t="str">
        <f>IF(VLOOKUP($L13,OW_A_additie_laag06[],6,FALSE)="","",VLOOKUP($L13,OW_A_additie_laag06[],6,FALSE))</f>
        <v/>
      </c>
      <c r="T13" s="22" t="str">
        <f>IF(VLOOKUP($L13,OW_A_additie_laag07[],6,FALSE)="","",VLOOKUP($L13,OW_A_additie_laag07[],6,FALSE))</f>
        <v/>
      </c>
      <c r="U13" s="22" t="str">
        <f>IF(VLOOKUP($L13,OW_A_additie_laag08[],6,FALSE)="","",VLOOKUP($L13,OW_A_additie_laag08[],6,FALSE))</f>
        <v/>
      </c>
      <c r="V13" s="28">
        <f t="shared" si="1"/>
        <v>0</v>
      </c>
      <c r="W13" s="22" t="str">
        <f t="shared" si="2"/>
        <v/>
      </c>
      <c r="X13" s="40" t="str">
        <f t="shared" si="3"/>
        <v/>
      </c>
      <c r="Y13" s="38" cm="1">
        <f t="array" ref="Y13">_xlfn.IFS(AND(X13&gt;='Punten verdeling'!$C$8,X13&lt;='Punten verdeling'!$D$8),AG_U,AND(X13&gt;'Punten verdeling'!C$9,X13&lt;='Punten verdeling'!D$9),AG_G,AND(X13&gt;'Punten verdeling'!C$10,X13&lt;='Punten verdeling'!D$10),AG_V,X13&gt;'Punten verdeling'!C$11,AG_O)</f>
        <v>0</v>
      </c>
    </row>
    <row r="14" spans="2:26" x14ac:dyDescent="0.2">
      <c r="B14" s="12" t="s">
        <v>14</v>
      </c>
      <c r="C14" s="28" t="s">
        <v>9</v>
      </c>
      <c r="D14" s="46"/>
      <c r="E14" s="48"/>
      <c r="F14" s="48"/>
      <c r="G14" s="45"/>
      <c r="H14" s="40" t="s">
        <v>10</v>
      </c>
      <c r="I14" s="32" t="str">
        <f t="shared" si="0"/>
        <v/>
      </c>
      <c r="L14" s="19" t="str">
        <f>Kalibratie0[[#This Row],[Component]]</f>
        <v>Desmedifam</v>
      </c>
      <c r="M14" s="40">
        <f>IF(VLOOKUP($L14,OW_A_additie_laag01[],2,FALSE)="","",VLOOKUP($L14,OW_A_additie_laag01[],2,FALSE))</f>
        <v>12.031200000000002</v>
      </c>
      <c r="N14" s="22" t="str">
        <f>IF(VLOOKUP($L14,OW_A_additie_laag01[],6,FALSE)="","",VLOOKUP($L14,OW_A_additie_laag01[],6,FALSE))</f>
        <v/>
      </c>
      <c r="O14" s="22" t="str">
        <f>IF(VLOOKUP($L14,OW_A_additie_laag02[],6,FALSE)="","",VLOOKUP($L14,OW_A_additie_laag02[],6,FALSE))</f>
        <v/>
      </c>
      <c r="P14" s="22" t="str">
        <f>IF(VLOOKUP($L14,OW_A_additie_laag03[],6,FALSE)="","",VLOOKUP($L14,OW_A_additie_laag03[],6,FALSE))</f>
        <v/>
      </c>
      <c r="Q14" s="22" t="str">
        <f>IF(VLOOKUP($L14,OW_A_additie_laag04[],6,FALSE)="","",VLOOKUP($L14,OW_A_additie_laag04[],6,FALSE))</f>
        <v/>
      </c>
      <c r="R14" s="22" t="str">
        <f>IF(VLOOKUP($L14,OW_A_additie_laag05[],6,FALSE)="","",VLOOKUP($L14,OW_A_additie_laag05[],6,FALSE))</f>
        <v/>
      </c>
      <c r="S14" s="22" t="str">
        <f>IF(VLOOKUP($L14,OW_A_additie_laag06[],6,FALSE)="","",VLOOKUP($L14,OW_A_additie_laag06[],6,FALSE))</f>
        <v/>
      </c>
      <c r="T14" s="22" t="str">
        <f>IF(VLOOKUP($L14,OW_A_additie_laag07[],6,FALSE)="","",VLOOKUP($L14,OW_A_additie_laag07[],6,FALSE))</f>
        <v/>
      </c>
      <c r="U14" s="22" t="str">
        <f>IF(VLOOKUP($L14,OW_A_additie_laag08[],6,FALSE)="","",VLOOKUP($L14,OW_A_additie_laag08[],6,FALSE))</f>
        <v/>
      </c>
      <c r="V14" s="28">
        <f t="shared" si="1"/>
        <v>0</v>
      </c>
      <c r="W14" s="22" t="str">
        <f t="shared" si="2"/>
        <v/>
      </c>
      <c r="X14" s="40" t="str">
        <f t="shared" si="3"/>
        <v/>
      </c>
      <c r="Y14" s="38" cm="1">
        <f t="array" ref="Y14">_xlfn.IFS(AND(X14&gt;='Punten verdeling'!$C$8,X14&lt;='Punten verdeling'!$D$8),AG_U,AND(X14&gt;'Punten verdeling'!C$9,X14&lt;='Punten verdeling'!D$9),AG_G,AND(X14&gt;'Punten verdeling'!C$10,X14&lt;='Punten verdeling'!D$10),AG_V,X14&gt;'Punten verdeling'!C$11,AG_O)</f>
        <v>0</v>
      </c>
    </row>
    <row r="15" spans="2:26" x14ac:dyDescent="0.2">
      <c r="B15" s="12" t="s">
        <v>15</v>
      </c>
      <c r="C15" s="28" t="s">
        <v>9</v>
      </c>
      <c r="D15" s="46"/>
      <c r="E15" s="48"/>
      <c r="F15" s="48"/>
      <c r="G15" s="45"/>
      <c r="H15" s="40" t="s">
        <v>10</v>
      </c>
      <c r="I15" s="32" t="str">
        <f t="shared" si="0"/>
        <v/>
      </c>
      <c r="L15" s="19" t="str">
        <f>Kalibratie0[[#This Row],[Component]]</f>
        <v>Fenmedifam</v>
      </c>
      <c r="M15" s="40">
        <f>IF(VLOOKUP($L15,OW_A_additie_laag01[],2,FALSE)="","",VLOOKUP($L15,OW_A_additie_laag01[],2,FALSE))</f>
        <v>11.990400000000001</v>
      </c>
      <c r="N15" s="22" t="str">
        <f>IF(VLOOKUP($L15,OW_A_additie_laag01[],6,FALSE)="","",VLOOKUP($L15,OW_A_additie_laag01[],6,FALSE))</f>
        <v/>
      </c>
      <c r="O15" s="22" t="str">
        <f>IF(VLOOKUP($L15,OW_A_additie_laag02[],6,FALSE)="","",VLOOKUP($L15,OW_A_additie_laag02[],6,FALSE))</f>
        <v/>
      </c>
      <c r="P15" s="22" t="str">
        <f>IF(VLOOKUP($L15,OW_A_additie_laag03[],6,FALSE)="","",VLOOKUP($L15,OW_A_additie_laag03[],6,FALSE))</f>
        <v/>
      </c>
      <c r="Q15" s="22" t="str">
        <f>IF(VLOOKUP($L15,OW_A_additie_laag04[],6,FALSE)="","",VLOOKUP($L15,OW_A_additie_laag04[],6,FALSE))</f>
        <v/>
      </c>
      <c r="R15" s="22" t="str">
        <f>IF(VLOOKUP($L15,OW_A_additie_laag05[],6,FALSE)="","",VLOOKUP($L15,OW_A_additie_laag05[],6,FALSE))</f>
        <v/>
      </c>
      <c r="S15" s="22" t="str">
        <f>IF(VLOOKUP($L15,OW_A_additie_laag06[],6,FALSE)="","",VLOOKUP($L15,OW_A_additie_laag06[],6,FALSE))</f>
        <v/>
      </c>
      <c r="T15" s="22" t="str">
        <f>IF(VLOOKUP($L15,OW_A_additie_laag07[],6,FALSE)="","",VLOOKUP($L15,OW_A_additie_laag07[],6,FALSE))</f>
        <v/>
      </c>
      <c r="U15" s="22" t="str">
        <f>IF(VLOOKUP($L15,OW_A_additie_laag08[],6,FALSE)="","",VLOOKUP($L15,OW_A_additie_laag08[],6,FALSE))</f>
        <v/>
      </c>
      <c r="V15" s="28">
        <f t="shared" si="1"/>
        <v>0</v>
      </c>
      <c r="W15" s="22" t="str">
        <f t="shared" si="2"/>
        <v/>
      </c>
      <c r="X15" s="40" t="str">
        <f t="shared" si="3"/>
        <v/>
      </c>
      <c r="Y15" s="38" cm="1">
        <f t="array" ref="Y15">_xlfn.IFS(AND(X15&gt;='Punten verdeling'!$C$8,X15&lt;='Punten verdeling'!$D$8),AG_U,AND(X15&gt;'Punten verdeling'!C$9,X15&lt;='Punten verdeling'!D$9),AG_G,AND(X15&gt;'Punten verdeling'!C$10,X15&lt;='Punten verdeling'!D$10),AG_V,X15&gt;'Punten verdeling'!C$11,AG_O)</f>
        <v>0</v>
      </c>
    </row>
    <row r="16" spans="2:26" x14ac:dyDescent="0.2">
      <c r="B16" s="12" t="s">
        <v>16</v>
      </c>
      <c r="C16" s="28" t="s">
        <v>9</v>
      </c>
      <c r="D16" s="46"/>
      <c r="E16" s="48"/>
      <c r="F16" s="48"/>
      <c r="G16" s="45"/>
      <c r="H16" s="40" t="s">
        <v>10</v>
      </c>
      <c r="I16" s="32" t="str">
        <f t="shared" si="0"/>
        <v/>
      </c>
      <c r="L16" s="19" t="str">
        <f>Kalibratie0[[#This Row],[Component]]</f>
        <v>Fenoxycarb</v>
      </c>
      <c r="M16" s="40">
        <f>IF(VLOOKUP($L16,OW_A_additie_laag01[],2,FALSE)="","",VLOOKUP($L16,OW_A_additie_laag01[],2,FALSE))</f>
        <v>12.2448</v>
      </c>
      <c r="N16" s="22" t="str">
        <f>IF(VLOOKUP($L16,OW_A_additie_laag01[],6,FALSE)="","",VLOOKUP($L16,OW_A_additie_laag01[],6,FALSE))</f>
        <v/>
      </c>
      <c r="O16" s="22" t="str">
        <f>IF(VLOOKUP($L16,OW_A_additie_laag02[],6,FALSE)="","",VLOOKUP($L16,OW_A_additie_laag02[],6,FALSE))</f>
        <v/>
      </c>
      <c r="P16" s="22" t="str">
        <f>IF(VLOOKUP($L16,OW_A_additie_laag03[],6,FALSE)="","",VLOOKUP($L16,OW_A_additie_laag03[],6,FALSE))</f>
        <v/>
      </c>
      <c r="Q16" s="22" t="str">
        <f>IF(VLOOKUP($L16,OW_A_additie_laag04[],6,FALSE)="","",VLOOKUP($L16,OW_A_additie_laag04[],6,FALSE))</f>
        <v/>
      </c>
      <c r="R16" s="22" t="str">
        <f>IF(VLOOKUP($L16,OW_A_additie_laag05[],6,FALSE)="","",VLOOKUP($L16,OW_A_additie_laag05[],6,FALSE))</f>
        <v/>
      </c>
      <c r="S16" s="22" t="str">
        <f>IF(VLOOKUP($L16,OW_A_additie_laag06[],6,FALSE)="","",VLOOKUP($L16,OW_A_additie_laag06[],6,FALSE))</f>
        <v/>
      </c>
      <c r="T16" s="22" t="str">
        <f>IF(VLOOKUP($L16,OW_A_additie_laag07[],6,FALSE)="","",VLOOKUP($L16,OW_A_additie_laag07[],6,FALSE))</f>
        <v/>
      </c>
      <c r="U16" s="22" t="str">
        <f>IF(VLOOKUP($L16,OW_A_additie_laag08[],6,FALSE)="","",VLOOKUP($L16,OW_A_additie_laag08[],6,FALSE))</f>
        <v/>
      </c>
      <c r="V16" s="28">
        <f t="shared" si="1"/>
        <v>0</v>
      </c>
      <c r="W16" s="22" t="str">
        <f t="shared" si="2"/>
        <v/>
      </c>
      <c r="X16" s="40" t="str">
        <f t="shared" si="3"/>
        <v/>
      </c>
      <c r="Y16" s="38" cm="1">
        <f t="array" ref="Y16">_xlfn.IFS(AND(X16&gt;='Punten verdeling'!$C$8,X16&lt;='Punten verdeling'!$D$8),AG_U,AND(X16&gt;'Punten verdeling'!C$9,X16&lt;='Punten verdeling'!D$9),AG_G,AND(X16&gt;'Punten verdeling'!C$10,X16&lt;='Punten verdeling'!D$10),AG_V,X16&gt;'Punten verdeling'!C$11,AG_O)</f>
        <v>0</v>
      </c>
    </row>
    <row r="17" spans="2:28" x14ac:dyDescent="0.2">
      <c r="B17" s="12" t="s">
        <v>17</v>
      </c>
      <c r="C17" s="28" t="s">
        <v>9</v>
      </c>
      <c r="D17" s="46"/>
      <c r="E17" s="48"/>
      <c r="F17" s="48"/>
      <c r="G17" s="45"/>
      <c r="H17" s="40" t="s">
        <v>10</v>
      </c>
      <c r="I17" s="32" t="str">
        <f t="shared" si="0"/>
        <v/>
      </c>
      <c r="L17" s="19" t="str">
        <f>Kalibratie0[[#This Row],[Component]]</f>
        <v>Fipronil</v>
      </c>
      <c r="M17" s="40">
        <f>IF(VLOOKUP($L17,OW_A_additie_laag01[],2,FALSE)="","",VLOOKUP($L17,OW_A_additie_laag01[],2,FALSE))</f>
        <v>12.015599999999997</v>
      </c>
      <c r="N17" s="22" t="str">
        <f>IF(VLOOKUP($L17,OW_A_additie_laag01[],6,FALSE)="","",VLOOKUP($L17,OW_A_additie_laag01[],6,FALSE))</f>
        <v/>
      </c>
      <c r="O17" s="22" t="str">
        <f>IF(VLOOKUP($L17,OW_A_additie_laag02[],6,FALSE)="","",VLOOKUP($L17,OW_A_additie_laag02[],6,FALSE))</f>
        <v/>
      </c>
      <c r="P17" s="22" t="str">
        <f>IF(VLOOKUP($L17,OW_A_additie_laag03[],6,FALSE)="","",VLOOKUP($L17,OW_A_additie_laag03[],6,FALSE))</f>
        <v/>
      </c>
      <c r="Q17" s="22" t="str">
        <f>IF(VLOOKUP($L17,OW_A_additie_laag04[],6,FALSE)="","",VLOOKUP($L17,OW_A_additie_laag04[],6,FALSE))</f>
        <v/>
      </c>
      <c r="R17" s="22" t="str">
        <f>IF(VLOOKUP($L17,OW_A_additie_laag05[],6,FALSE)="","",VLOOKUP($L17,OW_A_additie_laag05[],6,FALSE))</f>
        <v/>
      </c>
      <c r="S17" s="22" t="str">
        <f>IF(VLOOKUP($L17,OW_A_additie_laag06[],6,FALSE)="","",VLOOKUP($L17,OW_A_additie_laag06[],6,FALSE))</f>
        <v/>
      </c>
      <c r="T17" s="22" t="str">
        <f>IF(VLOOKUP($L17,OW_A_additie_laag07[],6,FALSE)="","",VLOOKUP($L17,OW_A_additie_laag07[],6,FALSE))</f>
        <v/>
      </c>
      <c r="U17" s="22" t="str">
        <f>IF(VLOOKUP($L17,OW_A_additie_laag08[],6,FALSE)="","",VLOOKUP($L17,OW_A_additie_laag08[],6,FALSE))</f>
        <v/>
      </c>
      <c r="V17" s="28">
        <f t="shared" si="1"/>
        <v>0</v>
      </c>
      <c r="W17" s="22" t="str">
        <f t="shared" si="2"/>
        <v/>
      </c>
      <c r="X17" s="40" t="str">
        <f t="shared" si="3"/>
        <v/>
      </c>
      <c r="Y17" s="38" cm="1">
        <f t="array" ref="Y17">_xlfn.IFS(AND(X17&gt;='Punten verdeling'!$C$8,X17&lt;='Punten verdeling'!$D$8),AG_U,AND(X17&gt;'Punten verdeling'!C$9,X17&lt;='Punten verdeling'!D$9),AG_G,AND(X17&gt;'Punten verdeling'!C$10,X17&lt;='Punten verdeling'!D$10),AG_V,X17&gt;'Punten verdeling'!C$11,AG_O)</f>
        <v>0</v>
      </c>
    </row>
    <row r="18" spans="2:28" x14ac:dyDescent="0.2">
      <c r="B18" s="12" t="s">
        <v>18</v>
      </c>
      <c r="C18" s="28" t="s">
        <v>9</v>
      </c>
      <c r="D18" s="46"/>
      <c r="E18" s="48"/>
      <c r="F18" s="48"/>
      <c r="G18" s="45"/>
      <c r="H18" s="40" t="s">
        <v>10</v>
      </c>
      <c r="I18" s="32" t="str">
        <f t="shared" si="0"/>
        <v/>
      </c>
      <c r="L18" s="19" t="str">
        <f>Kalibratie0[[#This Row],[Component]]</f>
        <v>Florasulam</v>
      </c>
      <c r="M18" s="40">
        <f>IF(VLOOKUP($L18,OW_A_additie_laag01[],2,FALSE)="","",VLOOKUP($L18,OW_A_additie_laag01[],2,FALSE))</f>
        <v>12.061200000000001</v>
      </c>
      <c r="N18" s="22" t="str">
        <f>IF(VLOOKUP($L18,OW_A_additie_laag01[],6,FALSE)="","",VLOOKUP($L18,OW_A_additie_laag01[],6,FALSE))</f>
        <v/>
      </c>
      <c r="O18" s="22" t="str">
        <f>IF(VLOOKUP($L18,OW_A_additie_laag02[],6,FALSE)="","",VLOOKUP($L18,OW_A_additie_laag02[],6,FALSE))</f>
        <v/>
      </c>
      <c r="P18" s="22" t="str">
        <f>IF(VLOOKUP($L18,OW_A_additie_laag03[],6,FALSE)="","",VLOOKUP($L18,OW_A_additie_laag03[],6,FALSE))</f>
        <v/>
      </c>
      <c r="Q18" s="22" t="str">
        <f>IF(VLOOKUP($L18,OW_A_additie_laag04[],6,FALSE)="","",VLOOKUP($L18,OW_A_additie_laag04[],6,FALSE))</f>
        <v/>
      </c>
      <c r="R18" s="22" t="str">
        <f>IF(VLOOKUP($L18,OW_A_additie_laag05[],6,FALSE)="","",VLOOKUP($L18,OW_A_additie_laag05[],6,FALSE))</f>
        <v/>
      </c>
      <c r="S18" s="22" t="str">
        <f>IF(VLOOKUP($L18,OW_A_additie_laag06[],6,FALSE)="","",VLOOKUP($L18,OW_A_additie_laag06[],6,FALSE))</f>
        <v/>
      </c>
      <c r="T18" s="22" t="str">
        <f>IF(VLOOKUP($L18,OW_A_additie_laag07[],6,FALSE)="","",VLOOKUP($L18,OW_A_additie_laag07[],6,FALSE))</f>
        <v/>
      </c>
      <c r="U18" s="22" t="str">
        <f>IF(VLOOKUP($L18,OW_A_additie_laag08[],6,FALSE)="","",VLOOKUP($L18,OW_A_additie_laag08[],6,FALSE))</f>
        <v/>
      </c>
      <c r="V18" s="28">
        <f t="shared" si="1"/>
        <v>0</v>
      </c>
      <c r="W18" s="22" t="str">
        <f t="shared" si="2"/>
        <v/>
      </c>
      <c r="X18" s="40" t="str">
        <f t="shared" si="3"/>
        <v/>
      </c>
      <c r="Y18" s="38" cm="1">
        <f t="array" ref="Y18">_xlfn.IFS(AND(X18&gt;='Punten verdeling'!$C$8,X18&lt;='Punten verdeling'!$D$8),AG_U,AND(X18&gt;'Punten verdeling'!C$9,X18&lt;='Punten verdeling'!D$9),AG_G,AND(X18&gt;'Punten verdeling'!C$10,X18&lt;='Punten verdeling'!D$10),AG_V,X18&gt;'Punten verdeling'!C$11,AG_O)</f>
        <v>0</v>
      </c>
    </row>
    <row r="19" spans="2:28" x14ac:dyDescent="0.2">
      <c r="B19" s="12" t="s">
        <v>19</v>
      </c>
      <c r="C19" s="28" t="s">
        <v>9</v>
      </c>
      <c r="D19" s="46"/>
      <c r="E19" s="48"/>
      <c r="F19" s="48"/>
      <c r="G19" s="45"/>
      <c r="H19" s="40" t="s">
        <v>10</v>
      </c>
      <c r="I19" s="32" t="str">
        <f t="shared" si="0"/>
        <v/>
      </c>
      <c r="L19" s="19" t="str">
        <f>Kalibratie0[[#This Row],[Component]]</f>
        <v>Fluazifop-P-butyl</v>
      </c>
      <c r="M19" s="40">
        <f>IF(VLOOKUP($L19,OW_A_additie_laag01[],2,FALSE)="","",VLOOKUP($L19,OW_A_additie_laag01[],2,FALSE))</f>
        <v>12.077999999999999</v>
      </c>
      <c r="N19" s="22" t="str">
        <f>IF(VLOOKUP($L19,OW_A_additie_laag01[],6,FALSE)="","",VLOOKUP($L19,OW_A_additie_laag01[],6,FALSE))</f>
        <v/>
      </c>
      <c r="O19" s="22" t="str">
        <f>IF(VLOOKUP($L19,OW_A_additie_laag02[],6,FALSE)="","",VLOOKUP($L19,OW_A_additie_laag02[],6,FALSE))</f>
        <v/>
      </c>
      <c r="P19" s="22" t="str">
        <f>IF(VLOOKUP($L19,OW_A_additie_laag03[],6,FALSE)="","",VLOOKUP($L19,OW_A_additie_laag03[],6,FALSE))</f>
        <v/>
      </c>
      <c r="Q19" s="22" t="str">
        <f>IF(VLOOKUP($L19,OW_A_additie_laag04[],6,FALSE)="","",VLOOKUP($L19,OW_A_additie_laag04[],6,FALSE))</f>
        <v/>
      </c>
      <c r="R19" s="22" t="str">
        <f>IF(VLOOKUP($L19,OW_A_additie_laag05[],6,FALSE)="","",VLOOKUP($L19,OW_A_additie_laag05[],6,FALSE))</f>
        <v/>
      </c>
      <c r="S19" s="22" t="str">
        <f>IF(VLOOKUP($L19,OW_A_additie_laag06[],6,FALSE)="","",VLOOKUP($L19,OW_A_additie_laag06[],6,FALSE))</f>
        <v/>
      </c>
      <c r="T19" s="22" t="str">
        <f>IF(VLOOKUP($L19,OW_A_additie_laag07[],6,FALSE)="","",VLOOKUP($L19,OW_A_additie_laag07[],6,FALSE))</f>
        <v/>
      </c>
      <c r="U19" s="22" t="str">
        <f>IF(VLOOKUP($L19,OW_A_additie_laag08[],6,FALSE)="","",VLOOKUP($L19,OW_A_additie_laag08[],6,FALSE))</f>
        <v/>
      </c>
      <c r="V19" s="28">
        <f t="shared" si="1"/>
        <v>0</v>
      </c>
      <c r="W19" s="22" t="str">
        <f t="shared" si="2"/>
        <v/>
      </c>
      <c r="X19" s="40" t="str">
        <f t="shared" si="3"/>
        <v/>
      </c>
      <c r="Y19" s="38" cm="1">
        <f t="array" ref="Y19">_xlfn.IFS(AND(X19&gt;='Punten verdeling'!$C$8,X19&lt;='Punten verdeling'!$D$8),AG_U,AND(X19&gt;'Punten verdeling'!C$9,X19&lt;='Punten verdeling'!D$9),AG_G,AND(X19&gt;'Punten verdeling'!C$10,X19&lt;='Punten verdeling'!D$10),AG_V,X19&gt;'Punten verdeling'!C$11,AG_O)</f>
        <v>0</v>
      </c>
    </row>
    <row r="20" spans="2:28" x14ac:dyDescent="0.2">
      <c r="B20" s="12" t="s">
        <v>20</v>
      </c>
      <c r="C20" s="28" t="s">
        <v>9</v>
      </c>
      <c r="D20" s="46"/>
      <c r="E20" s="48"/>
      <c r="F20" s="48"/>
      <c r="G20" s="45"/>
      <c r="H20" s="40" t="s">
        <v>10</v>
      </c>
      <c r="I20" s="32" t="str">
        <f t="shared" si="0"/>
        <v/>
      </c>
      <c r="L20" s="19" t="str">
        <f>Kalibratie0[[#This Row],[Component]]</f>
        <v>Fluazinam</v>
      </c>
      <c r="M20" s="40">
        <f>IF(VLOOKUP($L20,OW_A_additie_laag01[],2,FALSE)="","",VLOOKUP($L20,OW_A_additie_laag01[],2,FALSE))</f>
        <v>12.115199999999998</v>
      </c>
      <c r="N20" s="22" t="str">
        <f>IF(VLOOKUP($L20,OW_A_additie_laag01[],6,FALSE)="","",VLOOKUP($L20,OW_A_additie_laag01[],6,FALSE))</f>
        <v/>
      </c>
      <c r="O20" s="22" t="str">
        <f>IF(VLOOKUP($L20,OW_A_additie_laag02[],6,FALSE)="","",VLOOKUP($L20,OW_A_additie_laag02[],6,FALSE))</f>
        <v/>
      </c>
      <c r="P20" s="22" t="str">
        <f>IF(VLOOKUP($L20,OW_A_additie_laag03[],6,FALSE)="","",VLOOKUP($L20,OW_A_additie_laag03[],6,FALSE))</f>
        <v/>
      </c>
      <c r="Q20" s="22" t="str">
        <f>IF(VLOOKUP($L20,OW_A_additie_laag04[],6,FALSE)="","",VLOOKUP($L20,OW_A_additie_laag04[],6,FALSE))</f>
        <v/>
      </c>
      <c r="R20" s="22" t="str">
        <f>IF(VLOOKUP($L20,OW_A_additie_laag05[],6,FALSE)="","",VLOOKUP($L20,OW_A_additie_laag05[],6,FALSE))</f>
        <v/>
      </c>
      <c r="S20" s="22" t="str">
        <f>IF(VLOOKUP($L20,OW_A_additie_laag06[],6,FALSE)="","",VLOOKUP($L20,OW_A_additie_laag06[],6,FALSE))</f>
        <v/>
      </c>
      <c r="T20" s="22" t="str">
        <f>IF(VLOOKUP($L20,OW_A_additie_laag07[],6,FALSE)="","",VLOOKUP($L20,OW_A_additie_laag07[],6,FALSE))</f>
        <v/>
      </c>
      <c r="U20" s="22" t="str">
        <f>IF(VLOOKUP($L20,OW_A_additie_laag08[],6,FALSE)="","",VLOOKUP($L20,OW_A_additie_laag08[],6,FALSE))</f>
        <v/>
      </c>
      <c r="V20" s="28">
        <f t="shared" si="1"/>
        <v>0</v>
      </c>
      <c r="W20" s="22" t="str">
        <f t="shared" si="2"/>
        <v/>
      </c>
      <c r="X20" s="40" t="str">
        <f t="shared" si="3"/>
        <v/>
      </c>
      <c r="Y20" s="38" cm="1">
        <f t="array" ref="Y20">_xlfn.IFS(AND(X20&gt;='Punten verdeling'!$C$8,X20&lt;='Punten verdeling'!$D$8),AG_U,AND(X20&gt;'Punten verdeling'!C$9,X20&lt;='Punten verdeling'!D$9),AG_G,AND(X20&gt;'Punten verdeling'!C$10,X20&lt;='Punten verdeling'!D$10),AG_V,X20&gt;'Punten verdeling'!C$11,AG_O)</f>
        <v>0</v>
      </c>
    </row>
    <row r="21" spans="2:28" x14ac:dyDescent="0.2">
      <c r="B21" s="12" t="s">
        <v>21</v>
      </c>
      <c r="C21" s="28" t="s">
        <v>9</v>
      </c>
      <c r="D21" s="46"/>
      <c r="E21" s="48"/>
      <c r="F21" s="48"/>
      <c r="G21" s="45"/>
      <c r="H21" s="40" t="s">
        <v>10</v>
      </c>
      <c r="I21" s="32" t="str">
        <f t="shared" si="0"/>
        <v/>
      </c>
      <c r="L21" s="19" t="str">
        <f>Kalibratie0[[#This Row],[Component]]</f>
        <v>Fludioxonil</v>
      </c>
      <c r="M21" s="40">
        <f>IF(VLOOKUP($L21,OW_A_additie_laag01[],2,FALSE)="","",VLOOKUP($L21,OW_A_additie_laag01[],2,FALSE))</f>
        <v>12.03</v>
      </c>
      <c r="N21" s="22" t="str">
        <f>IF(VLOOKUP($L21,OW_A_additie_laag01[],6,FALSE)="","",VLOOKUP($L21,OW_A_additie_laag01[],6,FALSE))</f>
        <v/>
      </c>
      <c r="O21" s="22" t="str">
        <f>IF(VLOOKUP($L21,OW_A_additie_laag02[],6,FALSE)="","",VLOOKUP($L21,OW_A_additie_laag02[],6,FALSE))</f>
        <v/>
      </c>
      <c r="P21" s="22" t="str">
        <f>IF(VLOOKUP($L21,OW_A_additie_laag03[],6,FALSE)="","",VLOOKUP($L21,OW_A_additie_laag03[],6,FALSE))</f>
        <v/>
      </c>
      <c r="Q21" s="22" t="str">
        <f>IF(VLOOKUP($L21,OW_A_additie_laag04[],6,FALSE)="","",VLOOKUP($L21,OW_A_additie_laag04[],6,FALSE))</f>
        <v/>
      </c>
      <c r="R21" s="22" t="str">
        <f>IF(VLOOKUP($L21,OW_A_additie_laag05[],6,FALSE)="","",VLOOKUP($L21,OW_A_additie_laag05[],6,FALSE))</f>
        <v/>
      </c>
      <c r="S21" s="22" t="str">
        <f>IF(VLOOKUP($L21,OW_A_additie_laag06[],6,FALSE)="","",VLOOKUP($L21,OW_A_additie_laag06[],6,FALSE))</f>
        <v/>
      </c>
      <c r="T21" s="22" t="str">
        <f>IF(VLOOKUP($L21,OW_A_additie_laag07[],6,FALSE)="","",VLOOKUP($L21,OW_A_additie_laag07[],6,FALSE))</f>
        <v/>
      </c>
      <c r="U21" s="22" t="str">
        <f>IF(VLOOKUP($L21,OW_A_additie_laag08[],6,FALSE)="","",VLOOKUP($L21,OW_A_additie_laag08[],6,FALSE))</f>
        <v/>
      </c>
      <c r="V21" s="28">
        <f t="shared" si="1"/>
        <v>0</v>
      </c>
      <c r="W21" s="22" t="str">
        <f t="shared" si="2"/>
        <v/>
      </c>
      <c r="X21" s="40" t="str">
        <f t="shared" si="3"/>
        <v/>
      </c>
      <c r="Y21" s="38" cm="1">
        <f t="array" ref="Y21">_xlfn.IFS(AND(X21&gt;='Punten verdeling'!$C$8,X21&lt;='Punten verdeling'!$D$8),AG_U,AND(X21&gt;'Punten verdeling'!C$9,X21&lt;='Punten verdeling'!D$9),AG_G,AND(X21&gt;'Punten verdeling'!C$10,X21&lt;='Punten verdeling'!D$10),AG_V,X21&gt;'Punten verdeling'!C$11,AG_O)</f>
        <v>0</v>
      </c>
    </row>
    <row r="22" spans="2:28" x14ac:dyDescent="0.2">
      <c r="B22" s="12" t="s">
        <v>22</v>
      </c>
      <c r="C22" s="28" t="s">
        <v>9</v>
      </c>
      <c r="D22" s="46"/>
      <c r="E22" s="48"/>
      <c r="F22" s="48"/>
      <c r="G22" s="45"/>
      <c r="H22" s="40" t="s">
        <v>10</v>
      </c>
      <c r="I22" s="32" t="str">
        <f t="shared" si="0"/>
        <v/>
      </c>
      <c r="L22" s="19" t="str">
        <f>Kalibratie0[[#This Row],[Component]]</f>
        <v>Mesotrione</v>
      </c>
      <c r="M22" s="40">
        <f>IF(VLOOKUP($L22,OW_A_additie_laag01[],2,FALSE)="","",VLOOKUP($L22,OW_A_additie_laag01[],2,FALSE))</f>
        <v>12.079199999999998</v>
      </c>
      <c r="N22" s="22" t="str">
        <f>IF(VLOOKUP($L22,OW_A_additie_laag01[],6,FALSE)="","",VLOOKUP($L22,OW_A_additie_laag01[],6,FALSE))</f>
        <v/>
      </c>
      <c r="O22" s="22" t="str">
        <f>IF(VLOOKUP($L22,OW_A_additie_laag02[],6,FALSE)="","",VLOOKUP($L22,OW_A_additie_laag02[],6,FALSE))</f>
        <v/>
      </c>
      <c r="P22" s="22" t="str">
        <f>IF(VLOOKUP($L22,OW_A_additie_laag03[],6,FALSE)="","",VLOOKUP($L22,OW_A_additie_laag03[],6,FALSE))</f>
        <v/>
      </c>
      <c r="Q22" s="22" t="str">
        <f>IF(VLOOKUP($L22,OW_A_additie_laag04[],6,FALSE)="","",VLOOKUP($L22,OW_A_additie_laag04[],6,FALSE))</f>
        <v/>
      </c>
      <c r="R22" s="22" t="str">
        <f>IF(VLOOKUP($L22,OW_A_additie_laag05[],6,FALSE)="","",VLOOKUP($L22,OW_A_additie_laag05[],6,FALSE))</f>
        <v/>
      </c>
      <c r="S22" s="22" t="str">
        <f>IF(VLOOKUP($L22,OW_A_additie_laag06[],6,FALSE)="","",VLOOKUP($L22,OW_A_additie_laag06[],6,FALSE))</f>
        <v/>
      </c>
      <c r="T22" s="22" t="str">
        <f>IF(VLOOKUP($L22,OW_A_additie_laag07[],6,FALSE)="","",VLOOKUP($L22,OW_A_additie_laag07[],6,FALSE))</f>
        <v/>
      </c>
      <c r="U22" s="22" t="str">
        <f>IF(VLOOKUP($L22,OW_A_additie_laag08[],6,FALSE)="","",VLOOKUP($L22,OW_A_additie_laag08[],6,FALSE))</f>
        <v/>
      </c>
      <c r="V22" s="28">
        <f t="shared" si="1"/>
        <v>0</v>
      </c>
      <c r="W22" s="22" t="str">
        <f t="shared" si="2"/>
        <v/>
      </c>
      <c r="X22" s="40" t="str">
        <f t="shared" si="3"/>
        <v/>
      </c>
      <c r="Y22" s="38" cm="1">
        <f t="array" ref="Y22">_xlfn.IFS(AND(X22&gt;='Punten verdeling'!$C$8,X22&lt;='Punten verdeling'!$D$8),AG_U,AND(X22&gt;'Punten verdeling'!C$9,X22&lt;='Punten verdeling'!D$9),AG_G,AND(X22&gt;'Punten verdeling'!C$10,X22&lt;='Punten verdeling'!D$10),AG_V,X22&gt;'Punten verdeling'!C$11,AG_O)</f>
        <v>0</v>
      </c>
    </row>
    <row r="23" spans="2:28" x14ac:dyDescent="0.2">
      <c r="B23" s="12" t="s">
        <v>23</v>
      </c>
      <c r="C23" s="28" t="s">
        <v>9</v>
      </c>
      <c r="D23" s="46"/>
      <c r="E23" s="48"/>
      <c r="F23" s="48"/>
      <c r="G23" s="45"/>
      <c r="H23" s="40" t="s">
        <v>10</v>
      </c>
      <c r="I23" s="32" t="str">
        <f t="shared" si="0"/>
        <v/>
      </c>
      <c r="L23" s="19" t="str">
        <f>Kalibratie0[[#This Row],[Component]]</f>
        <v>Methoxyfenozide</v>
      </c>
      <c r="M23" s="40">
        <f>IF(VLOOKUP($L23,OW_A_additie_laag01[],2,FALSE)="","",VLOOKUP($L23,OW_A_additie_laag01[],2,FALSE))</f>
        <v>12.070799999999998</v>
      </c>
      <c r="N23" s="22" t="str">
        <f>IF(VLOOKUP($L23,OW_A_additie_laag01[],6,FALSE)="","",VLOOKUP($L23,OW_A_additie_laag01[],6,FALSE))</f>
        <v/>
      </c>
      <c r="O23" s="22" t="str">
        <f>IF(VLOOKUP($L23,OW_A_additie_laag02[],6,FALSE)="","",VLOOKUP($L23,OW_A_additie_laag02[],6,FALSE))</f>
        <v/>
      </c>
      <c r="P23" s="22" t="str">
        <f>IF(VLOOKUP($L23,OW_A_additie_laag03[],6,FALSE)="","",VLOOKUP($L23,OW_A_additie_laag03[],6,FALSE))</f>
        <v/>
      </c>
      <c r="Q23" s="22" t="str">
        <f>IF(VLOOKUP($L23,OW_A_additie_laag04[],6,FALSE)="","",VLOOKUP($L23,OW_A_additie_laag04[],6,FALSE))</f>
        <v/>
      </c>
      <c r="R23" s="22" t="str">
        <f>IF(VLOOKUP($L23,OW_A_additie_laag05[],6,FALSE)="","",VLOOKUP($L23,OW_A_additie_laag05[],6,FALSE))</f>
        <v/>
      </c>
      <c r="S23" s="22" t="str">
        <f>IF(VLOOKUP($L23,OW_A_additie_laag06[],6,FALSE)="","",VLOOKUP($L23,OW_A_additie_laag06[],6,FALSE))</f>
        <v/>
      </c>
      <c r="T23" s="22" t="str">
        <f>IF(VLOOKUP($L23,OW_A_additie_laag07[],6,FALSE)="","",VLOOKUP($L23,OW_A_additie_laag07[],6,FALSE))</f>
        <v/>
      </c>
      <c r="U23" s="22" t="str">
        <f>IF(VLOOKUP($L23,OW_A_additie_laag08[],6,FALSE)="","",VLOOKUP($L23,OW_A_additie_laag08[],6,FALSE))</f>
        <v/>
      </c>
      <c r="V23" s="28">
        <f t="shared" si="1"/>
        <v>0</v>
      </c>
      <c r="W23" s="22" t="str">
        <f t="shared" si="2"/>
        <v/>
      </c>
      <c r="X23" s="40" t="str">
        <f t="shared" si="3"/>
        <v/>
      </c>
      <c r="Y23" s="38" cm="1">
        <f t="array" ref="Y23">_xlfn.IFS(AND(X23&gt;='Punten verdeling'!$C$8,X23&lt;='Punten verdeling'!$D$8),AG_U,AND(X23&gt;'Punten verdeling'!C$9,X23&lt;='Punten verdeling'!D$9),AG_G,AND(X23&gt;'Punten verdeling'!C$10,X23&lt;='Punten verdeling'!D$10),AG_V,X23&gt;'Punten verdeling'!C$11,AG_O)</f>
        <v>0</v>
      </c>
    </row>
    <row r="24" spans="2:28" x14ac:dyDescent="0.2">
      <c r="B24" s="12" t="s">
        <v>24</v>
      </c>
      <c r="C24" s="28" t="s">
        <v>9</v>
      </c>
      <c r="D24" s="46"/>
      <c r="E24" s="48"/>
      <c r="F24" s="48"/>
      <c r="G24" s="45"/>
      <c r="H24" s="40" t="s">
        <v>10</v>
      </c>
      <c r="I24" s="32" t="str">
        <f t="shared" si="0"/>
        <v/>
      </c>
      <c r="L24" s="19" t="str">
        <f>Kalibratie0[[#This Row],[Component]]</f>
        <v>Oxamyl</v>
      </c>
      <c r="M24" s="40">
        <f>IF(VLOOKUP($L24,OW_A_additie_laag01[],2,FALSE)="","",VLOOKUP($L24,OW_A_additie_laag01[],2,FALSE))</f>
        <v>12.124800000000002</v>
      </c>
      <c r="N24" s="22" t="str">
        <f>IF(VLOOKUP($L24,OW_A_additie_laag01[],6,FALSE)="","",VLOOKUP($L24,OW_A_additie_laag01[],6,FALSE))</f>
        <v/>
      </c>
      <c r="O24" s="22" t="str">
        <f>IF(VLOOKUP($L24,OW_A_additie_laag02[],6,FALSE)="","",VLOOKUP($L24,OW_A_additie_laag02[],6,FALSE))</f>
        <v/>
      </c>
      <c r="P24" s="22" t="str">
        <f>IF(VLOOKUP($L24,OW_A_additie_laag03[],6,FALSE)="","",VLOOKUP($L24,OW_A_additie_laag03[],6,FALSE))</f>
        <v/>
      </c>
      <c r="Q24" s="22" t="str">
        <f>IF(VLOOKUP($L24,OW_A_additie_laag04[],6,FALSE)="","",VLOOKUP($L24,OW_A_additie_laag04[],6,FALSE))</f>
        <v/>
      </c>
      <c r="R24" s="22" t="str">
        <f>IF(VLOOKUP($L24,OW_A_additie_laag05[],6,FALSE)="","",VLOOKUP($L24,OW_A_additie_laag05[],6,FALSE))</f>
        <v/>
      </c>
      <c r="S24" s="22" t="str">
        <f>IF(VLOOKUP($L24,OW_A_additie_laag06[],6,FALSE)="","",VLOOKUP($L24,OW_A_additie_laag06[],6,FALSE))</f>
        <v/>
      </c>
      <c r="T24" s="22" t="str">
        <f>IF(VLOOKUP($L24,OW_A_additie_laag07[],6,FALSE)="","",VLOOKUP($L24,OW_A_additie_laag07[],6,FALSE))</f>
        <v/>
      </c>
      <c r="U24" s="22" t="str">
        <f>IF(VLOOKUP($L24,OW_A_additie_laag08[],6,FALSE)="","",VLOOKUP($L24,OW_A_additie_laag08[],6,FALSE))</f>
        <v/>
      </c>
      <c r="V24" s="28">
        <f t="shared" si="1"/>
        <v>0</v>
      </c>
      <c r="W24" s="22" t="str">
        <f t="shared" si="2"/>
        <v/>
      </c>
      <c r="X24" s="40" t="str">
        <f t="shared" si="3"/>
        <v/>
      </c>
      <c r="Y24" s="38" cm="1">
        <f t="array" ref="Y24">_xlfn.IFS(AND(X24&gt;='Punten verdeling'!$C$8,X24&lt;='Punten verdeling'!$D$8),AG_U,AND(X24&gt;'Punten verdeling'!C$9,X24&lt;='Punten verdeling'!D$9),AG_G,AND(X24&gt;'Punten verdeling'!C$10,X24&lt;='Punten verdeling'!D$10),AG_V,X24&gt;'Punten verdeling'!C$11,AG_O)</f>
        <v>0</v>
      </c>
    </row>
    <row r="25" spans="2:28" x14ac:dyDescent="0.2">
      <c r="B25" s="13" t="s">
        <v>25</v>
      </c>
      <c r="C25" s="33" t="s">
        <v>9</v>
      </c>
      <c r="D25" s="46"/>
      <c r="E25" s="48"/>
      <c r="F25" s="48"/>
      <c r="G25" s="45"/>
      <c r="H25" s="41" t="s">
        <v>10</v>
      </c>
      <c r="I25" s="32" t="str">
        <f t="shared" si="0"/>
        <v/>
      </c>
      <c r="L25" s="19" t="str">
        <f>Kalibratie0[[#This Row],[Component]]</f>
        <v>Triallaat</v>
      </c>
      <c r="M25" s="40">
        <f>IF(VLOOKUP($L25,OW_A_additie_laag01[],2,FALSE)="","",VLOOKUP($L25,OW_A_additie_laag01[],2,FALSE))</f>
        <v>11.978400000000001</v>
      </c>
      <c r="N25" s="22" t="str">
        <f>IF(VLOOKUP($L25,OW_A_additie_laag01[],6,FALSE)="","",VLOOKUP($L25,OW_A_additie_laag01[],6,FALSE))</f>
        <v/>
      </c>
      <c r="O25" s="22" t="str">
        <f>IF(VLOOKUP($L25,OW_A_additie_laag02[],6,FALSE)="","",VLOOKUP($L25,OW_A_additie_laag02[],6,FALSE))</f>
        <v/>
      </c>
      <c r="P25" s="22" t="str">
        <f>IF(VLOOKUP($L25,OW_A_additie_laag03[],6,FALSE)="","",VLOOKUP($L25,OW_A_additie_laag03[],6,FALSE))</f>
        <v/>
      </c>
      <c r="Q25" s="22" t="str">
        <f>IF(VLOOKUP($L25,OW_A_additie_laag04[],6,FALSE)="","",VLOOKUP($L25,OW_A_additie_laag04[],6,FALSE))</f>
        <v/>
      </c>
      <c r="R25" s="22" t="str">
        <f>IF(VLOOKUP($L25,OW_A_additie_laag05[],6,FALSE)="","",VLOOKUP($L25,OW_A_additie_laag05[],6,FALSE))</f>
        <v/>
      </c>
      <c r="S25" s="22" t="str">
        <f>IF(VLOOKUP($L25,OW_A_additie_laag06[],6,FALSE)="","",VLOOKUP($L25,OW_A_additie_laag06[],6,FALSE))</f>
        <v/>
      </c>
      <c r="T25" s="22" t="str">
        <f>IF(VLOOKUP($L25,OW_A_additie_laag07[],6,FALSE)="","",VLOOKUP($L25,OW_A_additie_laag07[],6,FALSE))</f>
        <v/>
      </c>
      <c r="U25" s="22" t="str">
        <f>IF(VLOOKUP($L25,OW_A_additie_laag08[],6,FALSE)="","",VLOOKUP($L25,OW_A_additie_laag08[],6,FALSE))</f>
        <v/>
      </c>
      <c r="V25" s="28">
        <f t="shared" si="1"/>
        <v>0</v>
      </c>
      <c r="W25" s="22" t="str">
        <f t="shared" si="2"/>
        <v/>
      </c>
      <c r="X25" s="40" t="str">
        <f t="shared" si="3"/>
        <v/>
      </c>
      <c r="Y25" s="38" cm="1">
        <f t="array" ref="Y25">_xlfn.IFS(AND(X25&gt;='Punten verdeling'!$C$8,X25&lt;='Punten verdeling'!$D$8),AG_U,AND(X25&gt;'Punten verdeling'!C$9,X25&lt;='Punten verdeling'!D$9),AG_G,AND(X25&gt;'Punten verdeling'!C$10,X25&lt;='Punten verdeling'!D$10),AG_V,X25&gt;'Punten verdeling'!C$11,AG_O)</f>
        <v>0</v>
      </c>
    </row>
    <row r="26" spans="2:28" x14ac:dyDescent="0.2">
      <c r="N26" s="7"/>
      <c r="O26" s="7"/>
      <c r="X26" s="10" t="s">
        <v>107</v>
      </c>
      <c r="Y26" s="39">
        <f>SUM(Y10:Y25)</f>
        <v>0</v>
      </c>
    </row>
    <row r="27" spans="2:28" ht="20.25" x14ac:dyDescent="0.3">
      <c r="B27" s="8" t="s">
        <v>26</v>
      </c>
      <c r="L27" s="4" t="s">
        <v>90</v>
      </c>
      <c r="O27" s="4"/>
    </row>
    <row r="28" spans="2:28" ht="39" thickBot="1" x14ac:dyDescent="0.25">
      <c r="B28" s="15" t="s">
        <v>2</v>
      </c>
      <c r="C28" s="16" t="s">
        <v>3</v>
      </c>
      <c r="D28" s="16" t="s">
        <v>4</v>
      </c>
      <c r="E28" s="16" t="s">
        <v>161</v>
      </c>
      <c r="F28" s="16" t="s">
        <v>162</v>
      </c>
      <c r="G28" s="16" t="s">
        <v>5</v>
      </c>
      <c r="H28" s="43" t="s">
        <v>6</v>
      </c>
      <c r="I28" s="17" t="s">
        <v>7</v>
      </c>
      <c r="L28" s="25" t="s">
        <v>2</v>
      </c>
      <c r="M28" s="24" t="s">
        <v>82</v>
      </c>
      <c r="N28" s="68" t="s">
        <v>89</v>
      </c>
      <c r="O28" s="24" t="s">
        <v>42</v>
      </c>
      <c r="P28" s="24" t="s">
        <v>43</v>
      </c>
      <c r="Q28" s="24" t="s">
        <v>44</v>
      </c>
      <c r="R28" s="24" t="s">
        <v>45</v>
      </c>
      <c r="S28" s="24" t="s">
        <v>46</v>
      </c>
      <c r="T28" s="24" t="s">
        <v>47</v>
      </c>
      <c r="U28" s="24" t="s">
        <v>48</v>
      </c>
      <c r="V28" s="24" t="s">
        <v>49</v>
      </c>
      <c r="W28" s="24" t="s">
        <v>91</v>
      </c>
      <c r="X28" s="24" t="s">
        <v>95</v>
      </c>
      <c r="Y28" s="24" t="s">
        <v>93</v>
      </c>
      <c r="Z28" s="24" t="s">
        <v>81</v>
      </c>
      <c r="AA28" s="24" t="s">
        <v>124</v>
      </c>
      <c r="AB28" s="24" t="s">
        <v>125</v>
      </c>
    </row>
    <row r="29" spans="2:28" ht="13.5" thickTop="1" x14ac:dyDescent="0.2">
      <c r="B29" s="14" t="str">
        <f>$B$10</f>
        <v>Amisulbrom</v>
      </c>
      <c r="C29" s="22">
        <v>8.0351999999999997</v>
      </c>
      <c r="D29" s="45"/>
      <c r="E29" s="47"/>
      <c r="F29" s="47"/>
      <c r="G29" s="45"/>
      <c r="H29" s="22" t="str">
        <f t="shared" ref="H29:H44" si="4">IF(G29="","",100*G29/C29)</f>
        <v/>
      </c>
      <c r="I29" s="32" t="str">
        <f t="shared" ref="I29:I44" si="5">IFERROR(MIN(E29,F29)/MAX(E29,F29)*100,"")</f>
        <v/>
      </c>
      <c r="L29" s="20" t="str">
        <f t="shared" ref="L29:L44" si="6">L10</f>
        <v>Amisulbrom</v>
      </c>
      <c r="M29" s="22">
        <f>IF(VLOOKUP($L29,OW_B_additie_hoog01[],2,FALSE)="","",VLOOKUP($L29,OW_B_additie_hoog01[],2,FALSE))</f>
        <v>144.6336</v>
      </c>
      <c r="N29" s="70">
        <f>AVERAGE(VLOOKUP($L29,OW_B01[],6,FALSE),VLOOKUP($L29,OW_B02[],6,FALSE))</f>
        <v>0</v>
      </c>
      <c r="O29" s="21" t="str">
        <f>IF(VLOOKUP($L29,OW_B_additie_hoog01[],6,FALSE)="","",VLOOKUP($L29,OW_B_additie_hoog01[],6,FALSE)-$N29)</f>
        <v/>
      </c>
      <c r="P29" s="21" t="str">
        <f>IF(VLOOKUP($L29,OW_B_additie_hoog02[],6,FALSE)="","",VLOOKUP($L29,OW_B_additie_hoog02[],6,FALSE-$N29))</f>
        <v/>
      </c>
      <c r="Q29" s="21" t="str">
        <f>IF(VLOOKUP($L29,OW_B_additie_hoog03[],6,FALSE)="","",VLOOKUP($L29,OW_B_additie_hoog03[],6,FALSE)-$N29)</f>
        <v/>
      </c>
      <c r="R29" s="21" t="str">
        <f>IF(VLOOKUP($L29,OW_B_additie_hoog04[],6,FALSE)="","",VLOOKUP($L29,OW_B_additie_hoog04[],6,FALSE)-$N29)</f>
        <v/>
      </c>
      <c r="S29" s="21" t="str">
        <f>IF(VLOOKUP($L29,OW_B_additie_hoog05[],6,FALSE)="","",VLOOKUP($L29,OW_B_additie_hoog05[],6,FALSE)-$N29)</f>
        <v/>
      </c>
      <c r="T29" s="21" t="str">
        <f>IF(VLOOKUP($L29,OW_B_additie_hoog06[],6,FALSE)="","",VLOOKUP($L29,OW_B_additie_hoog06[],6,FALSE)-$N29)</f>
        <v/>
      </c>
      <c r="U29" s="21" t="str">
        <f>IF(VLOOKUP($L29,OW_B_additie_hoog07[],6,FALSE)="","",VLOOKUP($L29,OW_B_additie_hoog07[],6,FALSE)-$N29)</f>
        <v/>
      </c>
      <c r="V29" s="21" t="str">
        <f>IF(VLOOKUP($L29,OW_B_additie_hoog08[],6,FALSE)="","",VLOOKUP($L29,OW_B_additie_hoog08[],6,FALSE)-$N29)</f>
        <v/>
      </c>
      <c r="W29" s="31">
        <f>COUNT(O29:V29)</f>
        <v>0</v>
      </c>
      <c r="X29" s="21" t="str">
        <f>IF(W29=0,"",AVERAGE(O29:V29))</f>
        <v/>
      </c>
      <c r="Y29" s="21" t="str">
        <f>IF(W29&lt;&gt;8,"",STDEV(O29:V29)*100/X29)</f>
        <v/>
      </c>
      <c r="Z29" s="21" t="str">
        <f>IF(W29&lt;&gt;8,"",IF(M29="","",AVERAGE(O29:V29)*100/M29))</f>
        <v/>
      </c>
      <c r="AA29" s="38" cm="1">
        <f t="array" ref="AA29">_xlfn.IFS(AND(ABS(IF(Z29="",0,Z29)-100)&gt;='Punten verdeling'!$C$16,ABS(IF(Z29="",0,Z29)-100)&lt;='Punten verdeling'!$D$16),TV_U,AND(ABS(IF(Z29="",0,Z29)-100)&gt;'Punten verdeling'!C$17,ABS(IF(Z29="",0,Z29)-100)&lt;='Punten verdeling'!D$17),TV_G,AND(ABS(IF(Z29="",0,Z29)-100)&gt;'Punten verdeling'!C$18,ABS(IF(Z29="",0,Z29)-100)&lt;='Punten verdeling'!D$18),TV_V,ABS(IF(Z29="",0,Z29)-100)&gt;'Punten verdeling'!C$19,TV_O)</f>
        <v>0</v>
      </c>
      <c r="AB29" s="38" cm="1">
        <f t="array" ref="AB29">_xlfn.IFS(AND(Y29&gt;='Punten verdeling'!$C$20,Y29&lt;='Punten verdeling'!$D$20),HH_U,AND(Y29&gt;'Punten verdeling'!C$21,Y29&lt;='Punten verdeling'!D$21),HH_G,AND(Y29&gt;'Punten verdeling'!C$22,Y29&lt;='Punten verdeling'!D$22),HH_V,Y29&gt;'Punten verdeling'!C$23,HH_O)</f>
        <v>0</v>
      </c>
    </row>
    <row r="30" spans="2:28" x14ac:dyDescent="0.2">
      <c r="B30" s="12" t="str">
        <f>$B$11</f>
        <v>Clothianidine</v>
      </c>
      <c r="C30" s="40">
        <v>7.9535999999999998</v>
      </c>
      <c r="D30" s="46"/>
      <c r="E30" s="48"/>
      <c r="F30" s="48"/>
      <c r="G30" s="45"/>
      <c r="H30" s="40" t="str">
        <f t="shared" si="4"/>
        <v/>
      </c>
      <c r="I30" s="32" t="str">
        <f t="shared" si="5"/>
        <v/>
      </c>
      <c r="L30" s="19" t="str">
        <f t="shared" si="6"/>
        <v>Clothianidine</v>
      </c>
      <c r="M30" s="40">
        <f>IF(VLOOKUP($L30,OW_B_additie_hoog01[],2,FALSE)="","",VLOOKUP($L30,OW_B_additie_hoog01[],2,FALSE))</f>
        <v>143.16479999999999</v>
      </c>
      <c r="N30" s="70">
        <f>AVERAGE(VLOOKUP($L30,OW_B01[],6,FALSE),VLOOKUP($L30,OW_B02[],6,FALSE))</f>
        <v>0</v>
      </c>
      <c r="O30" s="21" t="str">
        <f>IF(VLOOKUP($L30,OW_B_additie_hoog01[],6,FALSE)="","",VLOOKUP($L30,OW_B_additie_hoog01[],6,FALSE)-$N30)</f>
        <v/>
      </c>
      <c r="P30" s="21" t="str">
        <f>IF(VLOOKUP($L30,OW_B_additie_hoog02[],6,FALSE)="","",VLOOKUP($L30,OW_B_additie_hoog02[],6,FALSE-$N30))</f>
        <v/>
      </c>
      <c r="Q30" s="21" t="str">
        <f>IF(VLOOKUP($L30,OW_B_additie_hoog03[],6,FALSE)="","",VLOOKUP($L30,OW_B_additie_hoog03[],6,FALSE)-$N30)</f>
        <v/>
      </c>
      <c r="R30" s="21" t="str">
        <f>IF(VLOOKUP($L30,OW_B_additie_hoog04[],6,FALSE)="","",VLOOKUP($L30,OW_B_additie_hoog04[],6,FALSE)-$N30)</f>
        <v/>
      </c>
      <c r="S30" s="21" t="str">
        <f>IF(VLOOKUP($L30,OW_B_additie_hoog05[],6,FALSE)="","",VLOOKUP($L30,OW_B_additie_hoog05[],6,FALSE)-$N30)</f>
        <v/>
      </c>
      <c r="T30" s="21" t="str">
        <f>IF(VLOOKUP($L30,OW_B_additie_hoog06[],6,FALSE)="","",VLOOKUP($L30,OW_B_additie_hoog06[],6,FALSE)-$N30)</f>
        <v/>
      </c>
      <c r="U30" s="21" t="str">
        <f>IF(VLOOKUP($L30,OW_B_additie_hoog07[],6,FALSE)="","",VLOOKUP($L30,OW_B_additie_hoog07[],6,FALSE)-$N30)</f>
        <v/>
      </c>
      <c r="V30" s="21" t="str">
        <f>IF(VLOOKUP($L30,OW_B_additie_hoog08[],6,FALSE)="","",VLOOKUP($L30,OW_B_additie_hoog08[],6,FALSE)-$N30)</f>
        <v/>
      </c>
      <c r="W30" s="31">
        <f t="shared" ref="W30:W44" si="7">COUNT(O30:V30)</f>
        <v>0</v>
      </c>
      <c r="X30" s="21" t="str">
        <f t="shared" ref="X30:X44" si="8">IF(W30=0,"",AVERAGE(O30:V30))</f>
        <v/>
      </c>
      <c r="Y30" s="21" t="str">
        <f t="shared" ref="Y30:Y44" si="9">IF(W30&lt;&gt;8,"",STDEV(O30:V30)*100/X30)</f>
        <v/>
      </c>
      <c r="Z30" s="21" t="str">
        <f t="shared" ref="Z30:Z44" si="10">IF(W30&lt;&gt;8,"",IF(M30="","",AVERAGE(O30:V30)*100/M30))</f>
        <v/>
      </c>
      <c r="AA30" s="38" cm="1">
        <f t="array" ref="AA30">_xlfn.IFS(AND(ABS(IF(Z30="",0,Z30)-100)&gt;='Punten verdeling'!$C$16,ABS(IF(Z30="",0,Z30)-100)&lt;='Punten verdeling'!$D$16),TV_U,AND(ABS(IF(Z30="",0,Z30)-100)&gt;'Punten verdeling'!C$17,ABS(IF(Z30="",0,Z30)-100)&lt;='Punten verdeling'!D$17),TV_G,AND(ABS(IF(Z30="",0,Z30)-100)&gt;'Punten verdeling'!C$18,ABS(IF(Z30="",0,Z30)-100)&lt;='Punten verdeling'!D$18),TV_V,ABS(IF(Z30="",0,Z30)-100)&gt;'Punten verdeling'!C$19,TV_O)</f>
        <v>0</v>
      </c>
      <c r="AB30" s="38" cm="1">
        <f t="array" ref="AB30">_xlfn.IFS(AND(Y30&gt;='Punten verdeling'!$C$20,Y30&lt;='Punten verdeling'!$D$20),HH_U,AND(Y30&gt;'Punten verdeling'!C$21,Y30&lt;='Punten verdeling'!D$21),HH_G,AND(Y30&gt;'Punten verdeling'!C$22,Y30&lt;='Punten verdeling'!D$22),HH_V,Y30&gt;'Punten verdeling'!C$23,HH_O)</f>
        <v>0</v>
      </c>
    </row>
    <row r="31" spans="2:28" x14ac:dyDescent="0.2">
      <c r="B31" s="12" t="str">
        <f>$B$12</f>
        <v>Cyazofamide</v>
      </c>
      <c r="C31" s="40">
        <v>8.0031999999999996</v>
      </c>
      <c r="D31" s="46"/>
      <c r="E31" s="48"/>
      <c r="F31" s="48"/>
      <c r="G31" s="45"/>
      <c r="H31" s="40" t="str">
        <f t="shared" si="4"/>
        <v/>
      </c>
      <c r="I31" s="32" t="str">
        <f t="shared" si="5"/>
        <v/>
      </c>
      <c r="L31" s="19" t="str">
        <f t="shared" si="6"/>
        <v>Cyazofamide</v>
      </c>
      <c r="M31" s="40">
        <f>IF(VLOOKUP($L31,OW_B_additie_hoog01[],2,FALSE)="","",VLOOKUP($L31,OW_B_additie_hoog01[],2,FALSE))</f>
        <v>144.05760000000001</v>
      </c>
      <c r="N31" s="70">
        <f>AVERAGE(VLOOKUP($L31,OW_B01[],6,FALSE),VLOOKUP($L31,OW_B02[],6,FALSE))</f>
        <v>0</v>
      </c>
      <c r="O31" s="21" t="str">
        <f>IF(VLOOKUP($L31,OW_B_additie_hoog01[],6,FALSE)="","",VLOOKUP($L31,OW_B_additie_hoog01[],6,FALSE)-$N31)</f>
        <v/>
      </c>
      <c r="P31" s="21" t="str">
        <f>IF(VLOOKUP($L31,OW_B_additie_hoog02[],6,FALSE)="","",VLOOKUP($L31,OW_B_additie_hoog02[],6,FALSE-$N31))</f>
        <v/>
      </c>
      <c r="Q31" s="21" t="str">
        <f>IF(VLOOKUP($L31,OW_B_additie_hoog03[],6,FALSE)="","",VLOOKUP($L31,OW_B_additie_hoog03[],6,FALSE)-$N31)</f>
        <v/>
      </c>
      <c r="R31" s="21" t="str">
        <f>IF(VLOOKUP($L31,OW_B_additie_hoog04[],6,FALSE)="","",VLOOKUP($L31,OW_B_additie_hoog04[],6,FALSE)-$N31)</f>
        <v/>
      </c>
      <c r="S31" s="21" t="str">
        <f>IF(VLOOKUP($L31,OW_B_additie_hoog05[],6,FALSE)="","",VLOOKUP($L31,OW_B_additie_hoog05[],6,FALSE)-$N31)</f>
        <v/>
      </c>
      <c r="T31" s="21" t="str">
        <f>IF(VLOOKUP($L31,OW_B_additie_hoog06[],6,FALSE)="","",VLOOKUP($L31,OW_B_additie_hoog06[],6,FALSE)-$N31)</f>
        <v/>
      </c>
      <c r="U31" s="21" t="str">
        <f>IF(VLOOKUP($L31,OW_B_additie_hoog07[],6,FALSE)="","",VLOOKUP($L31,OW_B_additie_hoog07[],6,FALSE)-$N31)</f>
        <v/>
      </c>
      <c r="V31" s="21" t="str">
        <f>IF(VLOOKUP($L31,OW_B_additie_hoog08[],6,FALSE)="","",VLOOKUP($L31,OW_B_additie_hoog08[],6,FALSE)-$N31)</f>
        <v/>
      </c>
      <c r="W31" s="31">
        <f t="shared" si="7"/>
        <v>0</v>
      </c>
      <c r="X31" s="21" t="str">
        <f t="shared" si="8"/>
        <v/>
      </c>
      <c r="Y31" s="21" t="str">
        <f t="shared" si="9"/>
        <v/>
      </c>
      <c r="Z31" s="21" t="str">
        <f t="shared" si="10"/>
        <v/>
      </c>
      <c r="AA31" s="38" cm="1">
        <f t="array" ref="AA31">_xlfn.IFS(AND(ABS(IF(Z31="",0,Z31)-100)&gt;='Punten verdeling'!$C$16,ABS(IF(Z31="",0,Z31)-100)&lt;='Punten verdeling'!$D$16),TV_U,AND(ABS(IF(Z31="",0,Z31)-100)&gt;'Punten verdeling'!C$17,ABS(IF(Z31="",0,Z31)-100)&lt;='Punten verdeling'!D$17),TV_G,AND(ABS(IF(Z31="",0,Z31)-100)&gt;'Punten verdeling'!C$18,ABS(IF(Z31="",0,Z31)-100)&lt;='Punten verdeling'!D$18),TV_V,ABS(IF(Z31="",0,Z31)-100)&gt;'Punten verdeling'!C$19,TV_O)</f>
        <v>0</v>
      </c>
      <c r="AB31" s="38" cm="1">
        <f t="array" ref="AB31">_xlfn.IFS(AND(Y31&gt;='Punten verdeling'!$C$20,Y31&lt;='Punten verdeling'!$D$20),HH_U,AND(Y31&gt;'Punten verdeling'!C$21,Y31&lt;='Punten verdeling'!D$21),HH_G,AND(Y31&gt;'Punten verdeling'!C$22,Y31&lt;='Punten verdeling'!D$22),HH_V,Y31&gt;'Punten verdeling'!C$23,HH_O)</f>
        <v>0</v>
      </c>
    </row>
    <row r="32" spans="2:28" x14ac:dyDescent="0.2">
      <c r="B32" s="12" t="str">
        <f>$B$13</f>
        <v>Cymoxanil</v>
      </c>
      <c r="C32" s="40">
        <v>7.983200000000001</v>
      </c>
      <c r="D32" s="46"/>
      <c r="E32" s="48"/>
      <c r="F32" s="48"/>
      <c r="G32" s="45"/>
      <c r="H32" s="40" t="str">
        <f t="shared" si="4"/>
        <v/>
      </c>
      <c r="I32" s="32" t="str">
        <f t="shared" si="5"/>
        <v/>
      </c>
      <c r="L32" s="19" t="str">
        <f t="shared" si="6"/>
        <v>Cymoxanil</v>
      </c>
      <c r="M32" s="40">
        <f>IF(VLOOKUP($L32,OW_B_additie_hoog01[],2,FALSE)="","",VLOOKUP($L32,OW_B_additie_hoog01[],2,FALSE))</f>
        <v>143.69760000000002</v>
      </c>
      <c r="N32" s="70">
        <f>AVERAGE(VLOOKUP($L32,OW_B01[],6,FALSE),VLOOKUP($L32,OW_B02[],6,FALSE))</f>
        <v>0</v>
      </c>
      <c r="O32" s="21" t="str">
        <f>IF(VLOOKUP($L32,OW_B_additie_hoog01[],6,FALSE)="","",VLOOKUP($L32,OW_B_additie_hoog01[],6,FALSE)-$N32)</f>
        <v/>
      </c>
      <c r="P32" s="21" t="str">
        <f>IF(VLOOKUP($L32,OW_B_additie_hoog02[],6,FALSE)="","",VLOOKUP($L32,OW_B_additie_hoog02[],6,FALSE-$N32))</f>
        <v/>
      </c>
      <c r="Q32" s="21" t="str">
        <f>IF(VLOOKUP($L32,OW_B_additie_hoog03[],6,FALSE)="","",VLOOKUP($L32,OW_B_additie_hoog03[],6,FALSE)-$N32)</f>
        <v/>
      </c>
      <c r="R32" s="21" t="str">
        <f>IF(VLOOKUP($L32,OW_B_additie_hoog04[],6,FALSE)="","",VLOOKUP($L32,OW_B_additie_hoog04[],6,FALSE)-$N32)</f>
        <v/>
      </c>
      <c r="S32" s="21" t="str">
        <f>IF(VLOOKUP($L32,OW_B_additie_hoog05[],6,FALSE)="","",VLOOKUP($L32,OW_B_additie_hoog05[],6,FALSE)-$N32)</f>
        <v/>
      </c>
      <c r="T32" s="21" t="str">
        <f>IF(VLOOKUP($L32,OW_B_additie_hoog06[],6,FALSE)="","",VLOOKUP($L32,OW_B_additie_hoog06[],6,FALSE)-$N32)</f>
        <v/>
      </c>
      <c r="U32" s="21" t="str">
        <f>IF(VLOOKUP($L32,OW_B_additie_hoog07[],6,FALSE)="","",VLOOKUP($L32,OW_B_additie_hoog07[],6,FALSE)-$N32)</f>
        <v/>
      </c>
      <c r="V32" s="21" t="str">
        <f>IF(VLOOKUP($L32,OW_B_additie_hoog08[],6,FALSE)="","",VLOOKUP($L32,OW_B_additie_hoog08[],6,FALSE)-$N32)</f>
        <v/>
      </c>
      <c r="W32" s="31">
        <f t="shared" si="7"/>
        <v>0</v>
      </c>
      <c r="X32" s="21" t="str">
        <f t="shared" si="8"/>
        <v/>
      </c>
      <c r="Y32" s="21" t="str">
        <f t="shared" si="9"/>
        <v/>
      </c>
      <c r="Z32" s="21" t="str">
        <f t="shared" si="10"/>
        <v/>
      </c>
      <c r="AA32" s="38" cm="1">
        <f t="array" ref="AA32">_xlfn.IFS(AND(ABS(IF(Z32="",0,Z32)-100)&gt;='Punten verdeling'!$C$16,ABS(IF(Z32="",0,Z32)-100)&lt;='Punten verdeling'!$D$16),TV_U,AND(ABS(IF(Z32="",0,Z32)-100)&gt;'Punten verdeling'!C$17,ABS(IF(Z32="",0,Z32)-100)&lt;='Punten verdeling'!D$17),TV_G,AND(ABS(IF(Z32="",0,Z32)-100)&gt;'Punten verdeling'!C$18,ABS(IF(Z32="",0,Z32)-100)&lt;='Punten verdeling'!D$18),TV_V,ABS(IF(Z32="",0,Z32)-100)&gt;'Punten verdeling'!C$19,TV_O)</f>
        <v>0</v>
      </c>
      <c r="AB32" s="38" cm="1">
        <f t="array" ref="AB32">_xlfn.IFS(AND(Y32&gt;='Punten verdeling'!$C$20,Y32&lt;='Punten verdeling'!$D$20),HH_U,AND(Y32&gt;'Punten verdeling'!C$21,Y32&lt;='Punten verdeling'!D$21),HH_G,AND(Y32&gt;'Punten verdeling'!C$22,Y32&lt;='Punten verdeling'!D$22),HH_V,Y32&gt;'Punten verdeling'!C$23,HH_O)</f>
        <v>0</v>
      </c>
    </row>
    <row r="33" spans="2:45" x14ac:dyDescent="0.2">
      <c r="B33" s="12" t="str">
        <f>$B$14</f>
        <v>Desmedifam</v>
      </c>
      <c r="C33" s="40">
        <v>8.0208000000000013</v>
      </c>
      <c r="D33" s="46"/>
      <c r="E33" s="48"/>
      <c r="F33" s="48"/>
      <c r="G33" s="45"/>
      <c r="H33" s="40" t="str">
        <f t="shared" si="4"/>
        <v/>
      </c>
      <c r="I33" s="32" t="str">
        <f t="shared" si="5"/>
        <v/>
      </c>
      <c r="L33" s="19" t="str">
        <f t="shared" si="6"/>
        <v>Desmedifam</v>
      </c>
      <c r="M33" s="40">
        <f>IF(VLOOKUP($L33,OW_B_additie_hoog01[],2,FALSE)="","",VLOOKUP($L33,OW_B_additie_hoog01[],2,FALSE))</f>
        <v>144.37440000000004</v>
      </c>
      <c r="N33" s="70">
        <f>AVERAGE(VLOOKUP($L33,OW_B01[],6,FALSE),VLOOKUP($L33,OW_B02[],6,FALSE))</f>
        <v>0</v>
      </c>
      <c r="O33" s="21" t="str">
        <f>IF(VLOOKUP($L33,OW_B_additie_hoog01[],6,FALSE)="","",VLOOKUP($L33,OW_B_additie_hoog01[],6,FALSE)-$N33)</f>
        <v/>
      </c>
      <c r="P33" s="21" t="str">
        <f>IF(VLOOKUP($L33,OW_B_additie_hoog02[],6,FALSE)="","",VLOOKUP($L33,OW_B_additie_hoog02[],6,FALSE-$N33))</f>
        <v/>
      </c>
      <c r="Q33" s="21" t="str">
        <f>IF(VLOOKUP($L33,OW_B_additie_hoog03[],6,FALSE)="","",VLOOKUP($L33,OW_B_additie_hoog03[],6,FALSE)-$N33)</f>
        <v/>
      </c>
      <c r="R33" s="21" t="str">
        <f>IF(VLOOKUP($L33,OW_B_additie_hoog04[],6,FALSE)="","",VLOOKUP($L33,OW_B_additie_hoog04[],6,FALSE)-$N33)</f>
        <v/>
      </c>
      <c r="S33" s="21" t="str">
        <f>IF(VLOOKUP($L33,OW_B_additie_hoog05[],6,FALSE)="","",VLOOKUP($L33,OW_B_additie_hoog05[],6,FALSE)-$N33)</f>
        <v/>
      </c>
      <c r="T33" s="21" t="str">
        <f>IF(VLOOKUP($L33,OW_B_additie_hoog06[],6,FALSE)="","",VLOOKUP($L33,OW_B_additie_hoog06[],6,FALSE)-$N33)</f>
        <v/>
      </c>
      <c r="U33" s="21" t="str">
        <f>IF(VLOOKUP($L33,OW_B_additie_hoog07[],6,FALSE)="","",VLOOKUP($L33,OW_B_additie_hoog07[],6,FALSE)-$N33)</f>
        <v/>
      </c>
      <c r="V33" s="21" t="str">
        <f>IF(VLOOKUP($L33,OW_B_additie_hoog08[],6,FALSE)="","",VLOOKUP($L33,OW_B_additie_hoog08[],6,FALSE)-$N33)</f>
        <v/>
      </c>
      <c r="W33" s="31">
        <f t="shared" si="7"/>
        <v>0</v>
      </c>
      <c r="X33" s="21" t="str">
        <f t="shared" si="8"/>
        <v/>
      </c>
      <c r="Y33" s="21" t="str">
        <f t="shared" si="9"/>
        <v/>
      </c>
      <c r="Z33" s="21" t="str">
        <f t="shared" si="10"/>
        <v/>
      </c>
      <c r="AA33" s="38" cm="1">
        <f t="array" ref="AA33">_xlfn.IFS(AND(ABS(IF(Z33="",0,Z33)-100)&gt;='Punten verdeling'!$C$16,ABS(IF(Z33="",0,Z33)-100)&lt;='Punten verdeling'!$D$16),TV_U,AND(ABS(IF(Z33="",0,Z33)-100)&gt;'Punten verdeling'!C$17,ABS(IF(Z33="",0,Z33)-100)&lt;='Punten verdeling'!D$17),TV_G,AND(ABS(IF(Z33="",0,Z33)-100)&gt;'Punten verdeling'!C$18,ABS(IF(Z33="",0,Z33)-100)&lt;='Punten verdeling'!D$18),TV_V,ABS(IF(Z33="",0,Z33)-100)&gt;'Punten verdeling'!C$19,TV_O)</f>
        <v>0</v>
      </c>
      <c r="AB33" s="38" cm="1">
        <f t="array" ref="AB33">_xlfn.IFS(AND(Y33&gt;='Punten verdeling'!$C$20,Y33&lt;='Punten verdeling'!$D$20),HH_U,AND(Y33&gt;'Punten verdeling'!C$21,Y33&lt;='Punten verdeling'!D$21),HH_G,AND(Y33&gt;'Punten verdeling'!C$22,Y33&lt;='Punten verdeling'!D$22),HH_V,Y33&gt;'Punten verdeling'!C$23,HH_O)</f>
        <v>0</v>
      </c>
    </row>
    <row r="34" spans="2:45" x14ac:dyDescent="0.2">
      <c r="B34" s="12" t="str">
        <f>$B$15</f>
        <v>Fenmedifam</v>
      </c>
      <c r="C34" s="40">
        <v>7.9936000000000016</v>
      </c>
      <c r="D34" s="46"/>
      <c r="E34" s="48"/>
      <c r="F34" s="48"/>
      <c r="G34" s="45"/>
      <c r="H34" s="40" t="str">
        <f t="shared" si="4"/>
        <v/>
      </c>
      <c r="I34" s="32" t="str">
        <f t="shared" si="5"/>
        <v/>
      </c>
      <c r="L34" s="19" t="str">
        <f t="shared" si="6"/>
        <v>Fenmedifam</v>
      </c>
      <c r="M34" s="40">
        <f>IF(VLOOKUP($L34,OW_B_additie_hoog01[],2,FALSE)="","",VLOOKUP($L34,OW_B_additie_hoog01[],2,FALSE))</f>
        <v>143.88479999999998</v>
      </c>
      <c r="N34" s="70">
        <f>AVERAGE(VLOOKUP($L34,OW_B01[],6,FALSE),VLOOKUP($L34,OW_B02[],6,FALSE))</f>
        <v>0</v>
      </c>
      <c r="O34" s="21" t="str">
        <f>IF(VLOOKUP($L34,OW_B_additie_hoog01[],6,FALSE)="","",VLOOKUP($L34,OW_B_additie_hoog01[],6,FALSE)-$N34)</f>
        <v/>
      </c>
      <c r="P34" s="21" t="str">
        <f>IF(VLOOKUP($L34,OW_B_additie_hoog02[],6,FALSE)="","",VLOOKUP($L34,OW_B_additie_hoog02[],6,FALSE-$N34))</f>
        <v/>
      </c>
      <c r="Q34" s="21" t="str">
        <f>IF(VLOOKUP($L34,OW_B_additie_hoog03[],6,FALSE)="","",VLOOKUP($L34,OW_B_additie_hoog03[],6,FALSE)-$N34)</f>
        <v/>
      </c>
      <c r="R34" s="21" t="str">
        <f>IF(VLOOKUP($L34,OW_B_additie_hoog04[],6,FALSE)="","",VLOOKUP($L34,OW_B_additie_hoog04[],6,FALSE)-$N34)</f>
        <v/>
      </c>
      <c r="S34" s="21" t="str">
        <f>IF(VLOOKUP($L34,OW_B_additie_hoog05[],6,FALSE)="","",VLOOKUP($L34,OW_B_additie_hoog05[],6,FALSE)-$N34)</f>
        <v/>
      </c>
      <c r="T34" s="21" t="str">
        <f>IF(VLOOKUP($L34,OW_B_additie_hoog06[],6,FALSE)="","",VLOOKUP($L34,OW_B_additie_hoog06[],6,FALSE)-$N34)</f>
        <v/>
      </c>
      <c r="U34" s="21" t="str">
        <f>IF(VLOOKUP($L34,OW_B_additie_hoog07[],6,FALSE)="","",VLOOKUP($L34,OW_B_additie_hoog07[],6,FALSE)-$N34)</f>
        <v/>
      </c>
      <c r="V34" s="21" t="str">
        <f>IF(VLOOKUP($L34,OW_B_additie_hoog08[],6,FALSE)="","",VLOOKUP($L34,OW_B_additie_hoog08[],6,FALSE)-$N34)</f>
        <v/>
      </c>
      <c r="W34" s="31">
        <f t="shared" si="7"/>
        <v>0</v>
      </c>
      <c r="X34" s="21" t="str">
        <f t="shared" si="8"/>
        <v/>
      </c>
      <c r="Y34" s="21" t="str">
        <f t="shared" si="9"/>
        <v/>
      </c>
      <c r="Z34" s="21" t="str">
        <f t="shared" si="10"/>
        <v/>
      </c>
      <c r="AA34" s="38" cm="1">
        <f t="array" ref="AA34">_xlfn.IFS(AND(ABS(IF(Z34="",0,Z34)-100)&gt;='Punten verdeling'!$C$16,ABS(IF(Z34="",0,Z34)-100)&lt;='Punten verdeling'!$D$16),TV_U,AND(ABS(IF(Z34="",0,Z34)-100)&gt;'Punten verdeling'!C$17,ABS(IF(Z34="",0,Z34)-100)&lt;='Punten verdeling'!D$17),TV_G,AND(ABS(IF(Z34="",0,Z34)-100)&gt;'Punten verdeling'!C$18,ABS(IF(Z34="",0,Z34)-100)&lt;='Punten verdeling'!D$18),TV_V,ABS(IF(Z34="",0,Z34)-100)&gt;'Punten verdeling'!C$19,TV_O)</f>
        <v>0</v>
      </c>
      <c r="AB34" s="38" cm="1">
        <f t="array" ref="AB34">_xlfn.IFS(AND(Y34&gt;='Punten verdeling'!$C$20,Y34&lt;='Punten verdeling'!$D$20),HH_U,AND(Y34&gt;'Punten verdeling'!C$21,Y34&lt;='Punten verdeling'!D$21),HH_G,AND(Y34&gt;'Punten verdeling'!C$22,Y34&lt;='Punten verdeling'!D$22),HH_V,Y34&gt;'Punten verdeling'!C$23,HH_O)</f>
        <v>0</v>
      </c>
    </row>
    <row r="35" spans="2:45" x14ac:dyDescent="0.2">
      <c r="B35" s="12" t="str">
        <f>$B$16</f>
        <v>Fenoxycarb</v>
      </c>
      <c r="C35" s="40">
        <v>8.1631999999999998</v>
      </c>
      <c r="D35" s="46"/>
      <c r="E35" s="48"/>
      <c r="F35" s="48"/>
      <c r="G35" s="45"/>
      <c r="H35" s="40" t="str">
        <f t="shared" si="4"/>
        <v/>
      </c>
      <c r="I35" s="32" t="str">
        <f t="shared" si="5"/>
        <v/>
      </c>
      <c r="L35" s="19" t="str">
        <f t="shared" si="6"/>
        <v>Fenoxycarb</v>
      </c>
      <c r="M35" s="40">
        <f>IF(VLOOKUP($L35,OW_B_additie_hoog01[],2,FALSE)="","",VLOOKUP($L35,OW_B_additie_hoog01[],2,FALSE))</f>
        <v>146.9376</v>
      </c>
      <c r="N35" s="70">
        <f>AVERAGE(VLOOKUP($L35,OW_B01[],6,FALSE),VLOOKUP($L35,OW_B02[],6,FALSE))</f>
        <v>0</v>
      </c>
      <c r="O35" s="21" t="str">
        <f>IF(VLOOKUP($L35,OW_B_additie_hoog01[],6,FALSE)="","",VLOOKUP($L35,OW_B_additie_hoog01[],6,FALSE)-$N35)</f>
        <v/>
      </c>
      <c r="P35" s="21" t="str">
        <f>IF(VLOOKUP($L35,OW_B_additie_hoog02[],6,FALSE)="","",VLOOKUP($L35,OW_B_additie_hoog02[],6,FALSE-$N35))</f>
        <v/>
      </c>
      <c r="Q35" s="21" t="str">
        <f>IF(VLOOKUP($L35,OW_B_additie_hoog03[],6,FALSE)="","",VLOOKUP($L35,OW_B_additie_hoog03[],6,FALSE)-$N35)</f>
        <v/>
      </c>
      <c r="R35" s="21" t="str">
        <f>IF(VLOOKUP($L35,OW_B_additie_hoog04[],6,FALSE)="","",VLOOKUP($L35,OW_B_additie_hoog04[],6,FALSE)-$N35)</f>
        <v/>
      </c>
      <c r="S35" s="21" t="str">
        <f>IF(VLOOKUP($L35,OW_B_additie_hoog05[],6,FALSE)="","",VLOOKUP($L35,OW_B_additie_hoog05[],6,FALSE)-$N35)</f>
        <v/>
      </c>
      <c r="T35" s="21" t="str">
        <f>IF(VLOOKUP($L35,OW_B_additie_hoog06[],6,FALSE)="","",VLOOKUP($L35,OW_B_additie_hoog06[],6,FALSE)-$N35)</f>
        <v/>
      </c>
      <c r="U35" s="21" t="str">
        <f>IF(VLOOKUP($L35,OW_B_additie_hoog07[],6,FALSE)="","",VLOOKUP($L35,OW_B_additie_hoog07[],6,FALSE)-$N35)</f>
        <v/>
      </c>
      <c r="V35" s="21" t="str">
        <f>IF(VLOOKUP($L35,OW_B_additie_hoog08[],6,FALSE)="","",VLOOKUP($L35,OW_B_additie_hoog08[],6,FALSE)-$N35)</f>
        <v/>
      </c>
      <c r="W35" s="31">
        <f t="shared" si="7"/>
        <v>0</v>
      </c>
      <c r="X35" s="21" t="str">
        <f t="shared" si="8"/>
        <v/>
      </c>
      <c r="Y35" s="21" t="str">
        <f t="shared" si="9"/>
        <v/>
      </c>
      <c r="Z35" s="21" t="str">
        <f t="shared" si="10"/>
        <v/>
      </c>
      <c r="AA35" s="38" cm="1">
        <f t="array" ref="AA35">_xlfn.IFS(AND(ABS(IF(Z35="",0,Z35)-100)&gt;='Punten verdeling'!$C$16,ABS(IF(Z35="",0,Z35)-100)&lt;='Punten verdeling'!$D$16),TV_U,AND(ABS(IF(Z35="",0,Z35)-100)&gt;'Punten verdeling'!C$17,ABS(IF(Z35="",0,Z35)-100)&lt;='Punten verdeling'!D$17),TV_G,AND(ABS(IF(Z35="",0,Z35)-100)&gt;'Punten verdeling'!C$18,ABS(IF(Z35="",0,Z35)-100)&lt;='Punten verdeling'!D$18),TV_V,ABS(IF(Z35="",0,Z35)-100)&gt;'Punten verdeling'!C$19,TV_O)</f>
        <v>0</v>
      </c>
      <c r="AB35" s="38" cm="1">
        <f t="array" ref="AB35">_xlfn.IFS(AND(Y35&gt;='Punten verdeling'!$C$20,Y35&lt;='Punten verdeling'!$D$20),HH_U,AND(Y35&gt;'Punten verdeling'!C$21,Y35&lt;='Punten verdeling'!D$21),HH_G,AND(Y35&gt;'Punten verdeling'!C$22,Y35&lt;='Punten verdeling'!D$22),HH_V,Y35&gt;'Punten verdeling'!C$23,HH_O)</f>
        <v>0</v>
      </c>
    </row>
    <row r="36" spans="2:45" x14ac:dyDescent="0.2">
      <c r="B36" s="12" t="str">
        <f>$B$17</f>
        <v>Fipronil</v>
      </c>
      <c r="C36" s="40">
        <v>8.0103999999999989</v>
      </c>
      <c r="D36" s="46"/>
      <c r="E36" s="48"/>
      <c r="F36" s="48"/>
      <c r="G36" s="45"/>
      <c r="H36" s="40" t="str">
        <f t="shared" si="4"/>
        <v/>
      </c>
      <c r="I36" s="32" t="str">
        <f t="shared" si="5"/>
        <v/>
      </c>
      <c r="L36" s="19" t="str">
        <f t="shared" si="6"/>
        <v>Fipronil</v>
      </c>
      <c r="M36" s="40">
        <f>IF(VLOOKUP($L36,OW_B_additie_hoog01[],2,FALSE)="","",VLOOKUP($L36,OW_B_additie_hoog01[],2,FALSE))</f>
        <v>144.18719999999999</v>
      </c>
      <c r="N36" s="70">
        <f>AVERAGE(VLOOKUP($L36,OW_B01[],6,FALSE),VLOOKUP($L36,OW_B02[],6,FALSE))</f>
        <v>0</v>
      </c>
      <c r="O36" s="21" t="str">
        <f>IF(VLOOKUP($L36,OW_B_additie_hoog01[],6,FALSE)="","",VLOOKUP($L36,OW_B_additie_hoog01[],6,FALSE)-$N36)</f>
        <v/>
      </c>
      <c r="P36" s="21" t="str">
        <f>IF(VLOOKUP($L36,OW_B_additie_hoog02[],6,FALSE)="","",VLOOKUP($L36,OW_B_additie_hoog02[],6,FALSE-$N36))</f>
        <v/>
      </c>
      <c r="Q36" s="21" t="str">
        <f>IF(VLOOKUP($L36,OW_B_additie_hoog03[],6,FALSE)="","",VLOOKUP($L36,OW_B_additie_hoog03[],6,FALSE)-$N36)</f>
        <v/>
      </c>
      <c r="R36" s="21" t="str">
        <f>IF(VLOOKUP($L36,OW_B_additie_hoog04[],6,FALSE)="","",VLOOKUP($L36,OW_B_additie_hoog04[],6,FALSE)-$N36)</f>
        <v/>
      </c>
      <c r="S36" s="21" t="str">
        <f>IF(VLOOKUP($L36,OW_B_additie_hoog05[],6,FALSE)="","",VLOOKUP($L36,OW_B_additie_hoog05[],6,FALSE)-$N36)</f>
        <v/>
      </c>
      <c r="T36" s="21" t="str">
        <f>IF(VLOOKUP($L36,OW_B_additie_hoog06[],6,FALSE)="","",VLOOKUP($L36,OW_B_additie_hoog06[],6,FALSE)-$N36)</f>
        <v/>
      </c>
      <c r="U36" s="21" t="str">
        <f>IF(VLOOKUP($L36,OW_B_additie_hoog07[],6,FALSE)="","",VLOOKUP($L36,OW_B_additie_hoog07[],6,FALSE)-$N36)</f>
        <v/>
      </c>
      <c r="V36" s="21" t="str">
        <f>IF(VLOOKUP($L36,OW_B_additie_hoog08[],6,FALSE)="","",VLOOKUP($L36,OW_B_additie_hoog08[],6,FALSE)-$N36)</f>
        <v/>
      </c>
      <c r="W36" s="31">
        <f t="shared" si="7"/>
        <v>0</v>
      </c>
      <c r="X36" s="21" t="str">
        <f t="shared" si="8"/>
        <v/>
      </c>
      <c r="Y36" s="21" t="str">
        <f t="shared" si="9"/>
        <v/>
      </c>
      <c r="Z36" s="21" t="str">
        <f t="shared" si="10"/>
        <v/>
      </c>
      <c r="AA36" s="38" cm="1">
        <f t="array" ref="AA36">_xlfn.IFS(AND(ABS(IF(Z36="",0,Z36)-100)&gt;='Punten verdeling'!$C$16,ABS(IF(Z36="",0,Z36)-100)&lt;='Punten verdeling'!$D$16),TV_U,AND(ABS(IF(Z36="",0,Z36)-100)&gt;'Punten verdeling'!C$17,ABS(IF(Z36="",0,Z36)-100)&lt;='Punten verdeling'!D$17),TV_G,AND(ABS(IF(Z36="",0,Z36)-100)&gt;'Punten verdeling'!C$18,ABS(IF(Z36="",0,Z36)-100)&lt;='Punten verdeling'!D$18),TV_V,ABS(IF(Z36="",0,Z36)-100)&gt;'Punten verdeling'!C$19,TV_O)</f>
        <v>0</v>
      </c>
      <c r="AB36" s="38" cm="1">
        <f t="array" ref="AB36">_xlfn.IFS(AND(Y36&gt;='Punten verdeling'!$C$20,Y36&lt;='Punten verdeling'!$D$20),HH_U,AND(Y36&gt;'Punten verdeling'!C$21,Y36&lt;='Punten verdeling'!D$21),HH_G,AND(Y36&gt;'Punten verdeling'!C$22,Y36&lt;='Punten verdeling'!D$22),HH_V,Y36&gt;'Punten verdeling'!C$23,HH_O)</f>
        <v>0</v>
      </c>
    </row>
    <row r="37" spans="2:45" x14ac:dyDescent="0.2">
      <c r="B37" s="12" t="str">
        <f>$B$18</f>
        <v>Florasulam</v>
      </c>
      <c r="C37" s="40">
        <v>8.0408000000000008</v>
      </c>
      <c r="D37" s="46"/>
      <c r="E37" s="48"/>
      <c r="F37" s="48"/>
      <c r="G37" s="45"/>
      <c r="H37" s="40" t="str">
        <f t="shared" si="4"/>
        <v/>
      </c>
      <c r="I37" s="32" t="str">
        <f t="shared" si="5"/>
        <v/>
      </c>
      <c r="L37" s="19" t="str">
        <f t="shared" si="6"/>
        <v>Florasulam</v>
      </c>
      <c r="M37" s="40">
        <f>IF(VLOOKUP($L37,OW_B_additie_hoog01[],2,FALSE)="","",VLOOKUP($L37,OW_B_additie_hoog01[],2,FALSE))</f>
        <v>144.73440000000005</v>
      </c>
      <c r="N37" s="70">
        <f>AVERAGE(VLOOKUP($L37,OW_B01[],6,FALSE),VLOOKUP($L37,OW_B02[],6,FALSE))</f>
        <v>0</v>
      </c>
      <c r="O37" s="21" t="str">
        <f>IF(VLOOKUP($L37,OW_B_additie_hoog01[],6,FALSE)="","",VLOOKUP($L37,OW_B_additie_hoog01[],6,FALSE)-$N37)</f>
        <v/>
      </c>
      <c r="P37" s="21" t="str">
        <f>IF(VLOOKUP($L37,OW_B_additie_hoog02[],6,FALSE)="","",VLOOKUP($L37,OW_B_additie_hoog02[],6,FALSE-$N37))</f>
        <v/>
      </c>
      <c r="Q37" s="21" t="str">
        <f>IF(VLOOKUP($L37,OW_B_additie_hoog03[],6,FALSE)="","",VLOOKUP($L37,OW_B_additie_hoog03[],6,FALSE)-$N37)</f>
        <v/>
      </c>
      <c r="R37" s="21" t="str">
        <f>IF(VLOOKUP($L37,OW_B_additie_hoog04[],6,FALSE)="","",VLOOKUP($L37,OW_B_additie_hoog04[],6,FALSE)-$N37)</f>
        <v/>
      </c>
      <c r="S37" s="21" t="str">
        <f>IF(VLOOKUP($L37,OW_B_additie_hoog05[],6,FALSE)="","",VLOOKUP($L37,OW_B_additie_hoog05[],6,FALSE)-$N37)</f>
        <v/>
      </c>
      <c r="T37" s="21" t="str">
        <f>IF(VLOOKUP($L37,OW_B_additie_hoog06[],6,FALSE)="","",VLOOKUP($L37,OW_B_additie_hoog06[],6,FALSE)-$N37)</f>
        <v/>
      </c>
      <c r="U37" s="21" t="str">
        <f>IF(VLOOKUP($L37,OW_B_additie_hoog07[],6,FALSE)="","",VLOOKUP($L37,OW_B_additie_hoog07[],6,FALSE)-$N37)</f>
        <v/>
      </c>
      <c r="V37" s="21" t="str">
        <f>IF(VLOOKUP($L37,OW_B_additie_hoog08[],6,FALSE)="","",VLOOKUP($L37,OW_B_additie_hoog08[],6,FALSE)-$N37)</f>
        <v/>
      </c>
      <c r="W37" s="31">
        <f t="shared" si="7"/>
        <v>0</v>
      </c>
      <c r="X37" s="21" t="str">
        <f t="shared" si="8"/>
        <v/>
      </c>
      <c r="Y37" s="21" t="str">
        <f t="shared" si="9"/>
        <v/>
      </c>
      <c r="Z37" s="21" t="str">
        <f t="shared" si="10"/>
        <v/>
      </c>
      <c r="AA37" s="38" cm="1">
        <f t="array" ref="AA37">_xlfn.IFS(AND(ABS(IF(Z37="",0,Z37)-100)&gt;='Punten verdeling'!$C$16,ABS(IF(Z37="",0,Z37)-100)&lt;='Punten verdeling'!$D$16),TV_U,AND(ABS(IF(Z37="",0,Z37)-100)&gt;'Punten verdeling'!C$17,ABS(IF(Z37="",0,Z37)-100)&lt;='Punten verdeling'!D$17),TV_G,AND(ABS(IF(Z37="",0,Z37)-100)&gt;'Punten verdeling'!C$18,ABS(IF(Z37="",0,Z37)-100)&lt;='Punten verdeling'!D$18),TV_V,ABS(IF(Z37="",0,Z37)-100)&gt;'Punten verdeling'!C$19,TV_O)</f>
        <v>0</v>
      </c>
      <c r="AB37" s="38" cm="1">
        <f t="array" ref="AB37">_xlfn.IFS(AND(Y37&gt;='Punten verdeling'!$C$20,Y37&lt;='Punten verdeling'!$D$20),HH_U,AND(Y37&gt;'Punten verdeling'!C$21,Y37&lt;='Punten verdeling'!D$21),HH_G,AND(Y37&gt;'Punten verdeling'!C$22,Y37&lt;='Punten verdeling'!D$22),HH_V,Y37&gt;'Punten verdeling'!C$23,HH_O)</f>
        <v>0</v>
      </c>
    </row>
    <row r="38" spans="2:45" x14ac:dyDescent="0.2">
      <c r="B38" s="12" t="str">
        <f>$B$19</f>
        <v>Fluazifop-P-butyl</v>
      </c>
      <c r="C38" s="40">
        <v>8.0519999999999996</v>
      </c>
      <c r="D38" s="46"/>
      <c r="E38" s="48"/>
      <c r="F38" s="48"/>
      <c r="G38" s="45"/>
      <c r="H38" s="40" t="str">
        <f t="shared" si="4"/>
        <v/>
      </c>
      <c r="I38" s="32" t="str">
        <f t="shared" si="5"/>
        <v/>
      </c>
      <c r="L38" s="19" t="str">
        <f t="shared" si="6"/>
        <v>Fluazifop-P-butyl</v>
      </c>
      <c r="M38" s="40">
        <f>IF(VLOOKUP($L38,OW_B_additie_hoog01[],2,FALSE)="","",VLOOKUP($L38,OW_B_additie_hoog01[],2,FALSE))</f>
        <v>144.93599999999998</v>
      </c>
      <c r="N38" s="70">
        <f>AVERAGE(VLOOKUP($L38,OW_B01[],6,FALSE),VLOOKUP($L38,OW_B02[],6,FALSE))</f>
        <v>0</v>
      </c>
      <c r="O38" s="21" t="str">
        <f>IF(VLOOKUP($L38,OW_B_additie_hoog01[],6,FALSE)="","",VLOOKUP($L38,OW_B_additie_hoog01[],6,FALSE)-$N38)</f>
        <v/>
      </c>
      <c r="P38" s="21" t="str">
        <f>IF(VLOOKUP($L38,OW_B_additie_hoog02[],6,FALSE)="","",VLOOKUP($L38,OW_B_additie_hoog02[],6,FALSE-$N38))</f>
        <v/>
      </c>
      <c r="Q38" s="21" t="str">
        <f>IF(VLOOKUP($L38,OW_B_additie_hoog03[],6,FALSE)="","",VLOOKUP($L38,OW_B_additie_hoog03[],6,FALSE)-$N38)</f>
        <v/>
      </c>
      <c r="R38" s="21" t="str">
        <f>IF(VLOOKUP($L38,OW_B_additie_hoog04[],6,FALSE)="","",VLOOKUP($L38,OW_B_additie_hoog04[],6,FALSE)-$N38)</f>
        <v/>
      </c>
      <c r="S38" s="21" t="str">
        <f>IF(VLOOKUP($L38,OW_B_additie_hoog05[],6,FALSE)="","",VLOOKUP($L38,OW_B_additie_hoog05[],6,FALSE)-$N38)</f>
        <v/>
      </c>
      <c r="T38" s="21" t="str">
        <f>IF(VLOOKUP($L38,OW_B_additie_hoog06[],6,FALSE)="","",VLOOKUP($L38,OW_B_additie_hoog06[],6,FALSE)-$N38)</f>
        <v/>
      </c>
      <c r="U38" s="21" t="str">
        <f>IF(VLOOKUP($L38,OW_B_additie_hoog07[],6,FALSE)="","",VLOOKUP($L38,OW_B_additie_hoog07[],6,FALSE)-$N38)</f>
        <v/>
      </c>
      <c r="V38" s="21" t="str">
        <f>IF(VLOOKUP($L38,OW_B_additie_hoog08[],6,FALSE)="","",VLOOKUP($L38,OW_B_additie_hoog08[],6,FALSE)-$N38)</f>
        <v/>
      </c>
      <c r="W38" s="31">
        <f t="shared" si="7"/>
        <v>0</v>
      </c>
      <c r="X38" s="21" t="str">
        <f t="shared" si="8"/>
        <v/>
      </c>
      <c r="Y38" s="21" t="str">
        <f t="shared" si="9"/>
        <v/>
      </c>
      <c r="Z38" s="21" t="str">
        <f t="shared" si="10"/>
        <v/>
      </c>
      <c r="AA38" s="38" cm="1">
        <f t="array" ref="AA38">_xlfn.IFS(AND(ABS(IF(Z38="",0,Z38)-100)&gt;='Punten verdeling'!$C$16,ABS(IF(Z38="",0,Z38)-100)&lt;='Punten verdeling'!$D$16),TV_U,AND(ABS(IF(Z38="",0,Z38)-100)&gt;'Punten verdeling'!C$17,ABS(IF(Z38="",0,Z38)-100)&lt;='Punten verdeling'!D$17),TV_G,AND(ABS(IF(Z38="",0,Z38)-100)&gt;'Punten verdeling'!C$18,ABS(IF(Z38="",0,Z38)-100)&lt;='Punten verdeling'!D$18),TV_V,ABS(IF(Z38="",0,Z38)-100)&gt;'Punten verdeling'!C$19,TV_O)</f>
        <v>0</v>
      </c>
      <c r="AB38" s="38" cm="1">
        <f t="array" ref="AB38">_xlfn.IFS(AND(Y38&gt;='Punten verdeling'!$C$20,Y38&lt;='Punten verdeling'!$D$20),HH_U,AND(Y38&gt;'Punten verdeling'!C$21,Y38&lt;='Punten verdeling'!D$21),HH_G,AND(Y38&gt;'Punten verdeling'!C$22,Y38&lt;='Punten verdeling'!D$22),HH_V,Y38&gt;'Punten verdeling'!C$23,HH_O)</f>
        <v>0</v>
      </c>
    </row>
    <row r="39" spans="2:45" x14ac:dyDescent="0.2">
      <c r="B39" s="12" t="str">
        <f>$B$20</f>
        <v>Fluazinam</v>
      </c>
      <c r="C39" s="40">
        <v>8.0767999999999986</v>
      </c>
      <c r="D39" s="46"/>
      <c r="E39" s="48"/>
      <c r="F39" s="48"/>
      <c r="G39" s="45"/>
      <c r="H39" s="40" t="str">
        <f t="shared" si="4"/>
        <v/>
      </c>
      <c r="I39" s="32" t="str">
        <f t="shared" si="5"/>
        <v/>
      </c>
      <c r="L39" s="19" t="str">
        <f t="shared" si="6"/>
        <v>Fluazinam</v>
      </c>
      <c r="M39" s="40">
        <f>IF(VLOOKUP($L39,OW_B_additie_hoog01[],2,FALSE)="","",VLOOKUP($L39,OW_B_additie_hoog01[],2,FALSE))</f>
        <v>145.38239999999999</v>
      </c>
      <c r="N39" s="70">
        <f>AVERAGE(VLOOKUP($L39,OW_B01[],6,FALSE),VLOOKUP($L39,OW_B02[],6,FALSE))</f>
        <v>0</v>
      </c>
      <c r="O39" s="21" t="str">
        <f>IF(VLOOKUP($L39,OW_B_additie_hoog01[],6,FALSE)="","",VLOOKUP($L39,OW_B_additie_hoog01[],6,FALSE)-$N39)</f>
        <v/>
      </c>
      <c r="P39" s="21" t="str">
        <f>IF(VLOOKUP($L39,OW_B_additie_hoog02[],6,FALSE)="","",VLOOKUP($L39,OW_B_additie_hoog02[],6,FALSE-$N39))</f>
        <v/>
      </c>
      <c r="Q39" s="21" t="str">
        <f>IF(VLOOKUP($L39,OW_B_additie_hoog03[],6,FALSE)="","",VLOOKUP($L39,OW_B_additie_hoog03[],6,FALSE)-$N39)</f>
        <v/>
      </c>
      <c r="R39" s="21" t="str">
        <f>IF(VLOOKUP($L39,OW_B_additie_hoog04[],6,FALSE)="","",VLOOKUP($L39,OW_B_additie_hoog04[],6,FALSE)-$N39)</f>
        <v/>
      </c>
      <c r="S39" s="21" t="str">
        <f>IF(VLOOKUP($L39,OW_B_additie_hoog05[],6,FALSE)="","",VLOOKUP($L39,OW_B_additie_hoog05[],6,FALSE)-$N39)</f>
        <v/>
      </c>
      <c r="T39" s="21" t="str">
        <f>IF(VLOOKUP($L39,OW_B_additie_hoog06[],6,FALSE)="","",VLOOKUP($L39,OW_B_additie_hoog06[],6,FALSE)-$N39)</f>
        <v/>
      </c>
      <c r="U39" s="21" t="str">
        <f>IF(VLOOKUP($L39,OW_B_additie_hoog07[],6,FALSE)="","",VLOOKUP($L39,OW_B_additie_hoog07[],6,FALSE)-$N39)</f>
        <v/>
      </c>
      <c r="V39" s="21" t="str">
        <f>IF(VLOOKUP($L39,OW_B_additie_hoog08[],6,FALSE)="","",VLOOKUP($L39,OW_B_additie_hoog08[],6,FALSE)-$N39)</f>
        <v/>
      </c>
      <c r="W39" s="31">
        <f t="shared" si="7"/>
        <v>0</v>
      </c>
      <c r="X39" s="21" t="str">
        <f t="shared" si="8"/>
        <v/>
      </c>
      <c r="Y39" s="21" t="str">
        <f t="shared" si="9"/>
        <v/>
      </c>
      <c r="Z39" s="21" t="str">
        <f t="shared" si="10"/>
        <v/>
      </c>
      <c r="AA39" s="38" cm="1">
        <f t="array" ref="AA39">_xlfn.IFS(AND(ABS(IF(Z39="",0,Z39)-100)&gt;='Punten verdeling'!$C$16,ABS(IF(Z39="",0,Z39)-100)&lt;='Punten verdeling'!$D$16),TV_U,AND(ABS(IF(Z39="",0,Z39)-100)&gt;'Punten verdeling'!C$17,ABS(IF(Z39="",0,Z39)-100)&lt;='Punten verdeling'!D$17),TV_G,AND(ABS(IF(Z39="",0,Z39)-100)&gt;'Punten verdeling'!C$18,ABS(IF(Z39="",0,Z39)-100)&lt;='Punten verdeling'!D$18),TV_V,ABS(IF(Z39="",0,Z39)-100)&gt;'Punten verdeling'!C$19,TV_O)</f>
        <v>0</v>
      </c>
      <c r="AB39" s="38" cm="1">
        <f t="array" ref="AB39">_xlfn.IFS(AND(Y39&gt;='Punten verdeling'!$C$20,Y39&lt;='Punten verdeling'!$D$20),HH_U,AND(Y39&gt;'Punten verdeling'!C$21,Y39&lt;='Punten verdeling'!D$21),HH_G,AND(Y39&gt;'Punten verdeling'!C$22,Y39&lt;='Punten verdeling'!D$22),HH_V,Y39&gt;'Punten verdeling'!C$23,HH_O)</f>
        <v>0</v>
      </c>
    </row>
    <row r="40" spans="2:45" x14ac:dyDescent="0.2">
      <c r="B40" s="12" t="str">
        <f>$B$21</f>
        <v>Fludioxonil</v>
      </c>
      <c r="C40" s="40">
        <v>8.02</v>
      </c>
      <c r="D40" s="46"/>
      <c r="E40" s="48"/>
      <c r="F40" s="48"/>
      <c r="G40" s="45"/>
      <c r="H40" s="40" t="str">
        <f t="shared" si="4"/>
        <v/>
      </c>
      <c r="I40" s="32" t="str">
        <f t="shared" si="5"/>
        <v/>
      </c>
      <c r="L40" s="19" t="str">
        <f t="shared" si="6"/>
        <v>Fludioxonil</v>
      </c>
      <c r="M40" s="40">
        <f>IF(VLOOKUP($L40,OW_B_additie_hoog01[],2,FALSE)="","",VLOOKUP($L40,OW_B_additie_hoog01[],2,FALSE))</f>
        <v>144.36000000000001</v>
      </c>
      <c r="N40" s="70">
        <f>AVERAGE(VLOOKUP($L40,OW_B01[],6,FALSE),VLOOKUP($L40,OW_B02[],6,FALSE))</f>
        <v>0</v>
      </c>
      <c r="O40" s="21" t="str">
        <f>IF(VLOOKUP($L40,OW_B_additie_hoog01[],6,FALSE)="","",VLOOKUP($L40,OW_B_additie_hoog01[],6,FALSE)-$N40)</f>
        <v/>
      </c>
      <c r="P40" s="21" t="str">
        <f>IF(VLOOKUP($L40,OW_B_additie_hoog02[],6,FALSE)="","",VLOOKUP($L40,OW_B_additie_hoog02[],6,FALSE-$N40))</f>
        <v/>
      </c>
      <c r="Q40" s="21" t="str">
        <f>IF(VLOOKUP($L40,OW_B_additie_hoog03[],6,FALSE)="","",VLOOKUP($L40,OW_B_additie_hoog03[],6,FALSE)-$N40)</f>
        <v/>
      </c>
      <c r="R40" s="21" t="str">
        <f>IF(VLOOKUP($L40,OW_B_additie_hoog04[],6,FALSE)="","",VLOOKUP($L40,OW_B_additie_hoog04[],6,FALSE)-$N40)</f>
        <v/>
      </c>
      <c r="S40" s="21" t="str">
        <f>IF(VLOOKUP($L40,OW_B_additie_hoog05[],6,FALSE)="","",VLOOKUP($L40,OW_B_additie_hoog05[],6,FALSE)-$N40)</f>
        <v/>
      </c>
      <c r="T40" s="21" t="str">
        <f>IF(VLOOKUP($L40,OW_B_additie_hoog06[],6,FALSE)="","",VLOOKUP($L40,OW_B_additie_hoog06[],6,FALSE)-$N40)</f>
        <v/>
      </c>
      <c r="U40" s="21" t="str">
        <f>IF(VLOOKUP($L40,OW_B_additie_hoog07[],6,FALSE)="","",VLOOKUP($L40,OW_B_additie_hoog07[],6,FALSE)-$N40)</f>
        <v/>
      </c>
      <c r="V40" s="21" t="str">
        <f>IF(VLOOKUP($L40,OW_B_additie_hoog08[],6,FALSE)="","",VLOOKUP($L40,OW_B_additie_hoog08[],6,FALSE)-$N40)</f>
        <v/>
      </c>
      <c r="W40" s="31">
        <f t="shared" si="7"/>
        <v>0</v>
      </c>
      <c r="X40" s="21" t="str">
        <f t="shared" si="8"/>
        <v/>
      </c>
      <c r="Y40" s="21" t="str">
        <f t="shared" si="9"/>
        <v/>
      </c>
      <c r="Z40" s="21" t="str">
        <f t="shared" si="10"/>
        <v/>
      </c>
      <c r="AA40" s="38" cm="1">
        <f t="array" ref="AA40">_xlfn.IFS(AND(ABS(IF(Z40="",0,Z40)-100)&gt;='Punten verdeling'!$C$16,ABS(IF(Z40="",0,Z40)-100)&lt;='Punten verdeling'!$D$16),TV_U,AND(ABS(IF(Z40="",0,Z40)-100)&gt;'Punten verdeling'!C$17,ABS(IF(Z40="",0,Z40)-100)&lt;='Punten verdeling'!D$17),TV_G,AND(ABS(IF(Z40="",0,Z40)-100)&gt;'Punten verdeling'!C$18,ABS(IF(Z40="",0,Z40)-100)&lt;='Punten verdeling'!D$18),TV_V,ABS(IF(Z40="",0,Z40)-100)&gt;'Punten verdeling'!C$19,TV_O)</f>
        <v>0</v>
      </c>
      <c r="AB40" s="38" cm="1">
        <f t="array" ref="AB40">_xlfn.IFS(AND(Y40&gt;='Punten verdeling'!$C$20,Y40&lt;='Punten verdeling'!$D$20),HH_U,AND(Y40&gt;'Punten verdeling'!C$21,Y40&lt;='Punten verdeling'!D$21),HH_G,AND(Y40&gt;'Punten verdeling'!C$22,Y40&lt;='Punten verdeling'!D$22),HH_V,Y40&gt;'Punten verdeling'!C$23,HH_O)</f>
        <v>0</v>
      </c>
    </row>
    <row r="41" spans="2:45" x14ac:dyDescent="0.2">
      <c r="B41" s="12" t="str">
        <f>$B$22</f>
        <v>Mesotrione</v>
      </c>
      <c r="C41" s="40">
        <v>8.0527999999999995</v>
      </c>
      <c r="D41" s="46"/>
      <c r="E41" s="48"/>
      <c r="F41" s="48"/>
      <c r="G41" s="45"/>
      <c r="H41" s="40" t="str">
        <f t="shared" si="4"/>
        <v/>
      </c>
      <c r="I41" s="32" t="str">
        <f t="shared" si="5"/>
        <v/>
      </c>
      <c r="L41" s="19" t="str">
        <f t="shared" si="6"/>
        <v>Mesotrione</v>
      </c>
      <c r="M41" s="40">
        <f>IF(VLOOKUP($L41,OW_B_additie_hoog01[],2,FALSE)="","",VLOOKUP($L41,OW_B_additie_hoog01[],2,FALSE))</f>
        <v>144.9504</v>
      </c>
      <c r="N41" s="70">
        <f>AVERAGE(VLOOKUP($L41,OW_B01[],6,FALSE),VLOOKUP($L41,OW_B02[],6,FALSE))</f>
        <v>0</v>
      </c>
      <c r="O41" s="21" t="str">
        <f>IF(VLOOKUP($L41,OW_B_additie_hoog01[],6,FALSE)="","",VLOOKUP($L41,OW_B_additie_hoog01[],6,FALSE)-$N41)</f>
        <v/>
      </c>
      <c r="P41" s="21" t="str">
        <f>IF(VLOOKUP($L41,OW_B_additie_hoog02[],6,FALSE)="","",VLOOKUP($L41,OW_B_additie_hoog02[],6,FALSE-$N41))</f>
        <v/>
      </c>
      <c r="Q41" s="21" t="str">
        <f>IF(VLOOKUP($L41,OW_B_additie_hoog03[],6,FALSE)="","",VLOOKUP($L41,OW_B_additie_hoog03[],6,FALSE)-$N41)</f>
        <v/>
      </c>
      <c r="R41" s="21" t="str">
        <f>IF(VLOOKUP($L41,OW_B_additie_hoog04[],6,FALSE)="","",VLOOKUP($L41,OW_B_additie_hoog04[],6,FALSE)-$N41)</f>
        <v/>
      </c>
      <c r="S41" s="21" t="str">
        <f>IF(VLOOKUP($L41,OW_B_additie_hoog05[],6,FALSE)="","",VLOOKUP($L41,OW_B_additie_hoog05[],6,FALSE)-$N41)</f>
        <v/>
      </c>
      <c r="T41" s="21" t="str">
        <f>IF(VLOOKUP($L41,OW_B_additie_hoog06[],6,FALSE)="","",VLOOKUP($L41,OW_B_additie_hoog06[],6,FALSE)-$N41)</f>
        <v/>
      </c>
      <c r="U41" s="21" t="str">
        <f>IF(VLOOKUP($L41,OW_B_additie_hoog07[],6,FALSE)="","",VLOOKUP($L41,OW_B_additie_hoog07[],6,FALSE)-$N41)</f>
        <v/>
      </c>
      <c r="V41" s="21" t="str">
        <f>IF(VLOOKUP($L41,OW_B_additie_hoog08[],6,FALSE)="","",VLOOKUP($L41,OW_B_additie_hoog08[],6,FALSE)-$N41)</f>
        <v/>
      </c>
      <c r="W41" s="31">
        <f t="shared" si="7"/>
        <v>0</v>
      </c>
      <c r="X41" s="21" t="str">
        <f t="shared" si="8"/>
        <v/>
      </c>
      <c r="Y41" s="21" t="str">
        <f t="shared" si="9"/>
        <v/>
      </c>
      <c r="Z41" s="21" t="str">
        <f t="shared" si="10"/>
        <v/>
      </c>
      <c r="AA41" s="38" cm="1">
        <f t="array" ref="AA41">_xlfn.IFS(AND(ABS(IF(Z41="",0,Z41)-100)&gt;='Punten verdeling'!$C$16,ABS(IF(Z41="",0,Z41)-100)&lt;='Punten verdeling'!$D$16),TV_U,AND(ABS(IF(Z41="",0,Z41)-100)&gt;'Punten verdeling'!C$17,ABS(IF(Z41="",0,Z41)-100)&lt;='Punten verdeling'!D$17),TV_G,AND(ABS(IF(Z41="",0,Z41)-100)&gt;'Punten verdeling'!C$18,ABS(IF(Z41="",0,Z41)-100)&lt;='Punten verdeling'!D$18),TV_V,ABS(IF(Z41="",0,Z41)-100)&gt;'Punten verdeling'!C$19,TV_O)</f>
        <v>0</v>
      </c>
      <c r="AB41" s="38" cm="1">
        <f t="array" ref="AB41">_xlfn.IFS(AND(Y41&gt;='Punten verdeling'!$C$20,Y41&lt;='Punten verdeling'!$D$20),HH_U,AND(Y41&gt;'Punten verdeling'!C$21,Y41&lt;='Punten verdeling'!D$21),HH_G,AND(Y41&gt;'Punten verdeling'!C$22,Y41&lt;='Punten verdeling'!D$22),HH_V,Y41&gt;'Punten verdeling'!C$23,HH_O)</f>
        <v>0</v>
      </c>
    </row>
    <row r="42" spans="2:45" x14ac:dyDescent="0.2">
      <c r="B42" s="12" t="str">
        <f>$B$23</f>
        <v>Methoxyfenozide</v>
      </c>
      <c r="C42" s="40">
        <v>8.0472000000000001</v>
      </c>
      <c r="D42" s="46"/>
      <c r="E42" s="48"/>
      <c r="F42" s="48"/>
      <c r="G42" s="45"/>
      <c r="H42" s="40" t="str">
        <f t="shared" si="4"/>
        <v/>
      </c>
      <c r="I42" s="32" t="str">
        <f t="shared" si="5"/>
        <v/>
      </c>
      <c r="L42" s="19" t="str">
        <f t="shared" si="6"/>
        <v>Methoxyfenozide</v>
      </c>
      <c r="M42" s="40">
        <f>IF(VLOOKUP($L42,OW_B_additie_hoog01[],2,FALSE)="","",VLOOKUP($L42,OW_B_additie_hoog01[],2,FALSE))</f>
        <v>144.84960000000001</v>
      </c>
      <c r="N42" s="70">
        <f>AVERAGE(VLOOKUP($L42,OW_B01[],6,FALSE),VLOOKUP($L42,OW_B02[],6,FALSE))</f>
        <v>0</v>
      </c>
      <c r="O42" s="21" t="str">
        <f>IF(VLOOKUP($L42,OW_B_additie_hoog01[],6,FALSE)="","",VLOOKUP($L42,OW_B_additie_hoog01[],6,FALSE)-$N42)</f>
        <v/>
      </c>
      <c r="P42" s="21" t="str">
        <f>IF(VLOOKUP($L42,OW_B_additie_hoog02[],6,FALSE)="","",VLOOKUP($L42,OW_B_additie_hoog02[],6,FALSE-$N42))</f>
        <v/>
      </c>
      <c r="Q42" s="21" t="str">
        <f>IF(VLOOKUP($L42,OW_B_additie_hoog03[],6,FALSE)="","",VLOOKUP($L42,OW_B_additie_hoog03[],6,FALSE)-$N42)</f>
        <v/>
      </c>
      <c r="R42" s="21" t="str">
        <f>IF(VLOOKUP($L42,OW_B_additie_hoog04[],6,FALSE)="","",VLOOKUP($L42,OW_B_additie_hoog04[],6,FALSE)-$N42)</f>
        <v/>
      </c>
      <c r="S42" s="21" t="str">
        <f>IF(VLOOKUP($L42,OW_B_additie_hoog05[],6,FALSE)="","",VLOOKUP($L42,OW_B_additie_hoog05[],6,FALSE)-$N42)</f>
        <v/>
      </c>
      <c r="T42" s="21" t="str">
        <f>IF(VLOOKUP($L42,OW_B_additie_hoog06[],6,FALSE)="","",VLOOKUP($L42,OW_B_additie_hoog06[],6,FALSE)-$N42)</f>
        <v/>
      </c>
      <c r="U42" s="21" t="str">
        <f>IF(VLOOKUP($L42,OW_B_additie_hoog07[],6,FALSE)="","",VLOOKUP($L42,OW_B_additie_hoog07[],6,FALSE)-$N42)</f>
        <v/>
      </c>
      <c r="V42" s="21" t="str">
        <f>IF(VLOOKUP($L42,OW_B_additie_hoog08[],6,FALSE)="","",VLOOKUP($L42,OW_B_additie_hoog08[],6,FALSE)-$N42)</f>
        <v/>
      </c>
      <c r="W42" s="31">
        <f t="shared" si="7"/>
        <v>0</v>
      </c>
      <c r="X42" s="21" t="str">
        <f t="shared" si="8"/>
        <v/>
      </c>
      <c r="Y42" s="21" t="str">
        <f t="shared" si="9"/>
        <v/>
      </c>
      <c r="Z42" s="21" t="str">
        <f t="shared" si="10"/>
        <v/>
      </c>
      <c r="AA42" s="38" cm="1">
        <f t="array" ref="AA42">_xlfn.IFS(AND(ABS(IF(Z42="",0,Z42)-100)&gt;='Punten verdeling'!$C$16,ABS(IF(Z42="",0,Z42)-100)&lt;='Punten verdeling'!$D$16),TV_U,AND(ABS(IF(Z42="",0,Z42)-100)&gt;'Punten verdeling'!C$17,ABS(IF(Z42="",0,Z42)-100)&lt;='Punten verdeling'!D$17),TV_G,AND(ABS(IF(Z42="",0,Z42)-100)&gt;'Punten verdeling'!C$18,ABS(IF(Z42="",0,Z42)-100)&lt;='Punten verdeling'!D$18),TV_V,ABS(IF(Z42="",0,Z42)-100)&gt;'Punten verdeling'!C$19,TV_O)</f>
        <v>0</v>
      </c>
      <c r="AB42" s="38" cm="1">
        <f t="array" ref="AB42">_xlfn.IFS(AND(Y42&gt;='Punten verdeling'!$C$20,Y42&lt;='Punten verdeling'!$D$20),HH_U,AND(Y42&gt;'Punten verdeling'!C$21,Y42&lt;='Punten verdeling'!D$21),HH_G,AND(Y42&gt;'Punten verdeling'!C$22,Y42&lt;='Punten verdeling'!D$22),HH_V,Y42&gt;'Punten verdeling'!C$23,HH_O)</f>
        <v>0</v>
      </c>
    </row>
    <row r="43" spans="2:45" x14ac:dyDescent="0.2">
      <c r="B43" s="12" t="str">
        <f>$B$24</f>
        <v>Oxamyl</v>
      </c>
      <c r="C43" s="40">
        <v>8.0831999999999997</v>
      </c>
      <c r="D43" s="46"/>
      <c r="E43" s="48"/>
      <c r="F43" s="48"/>
      <c r="G43" s="45"/>
      <c r="H43" s="40" t="str">
        <f t="shared" si="4"/>
        <v/>
      </c>
      <c r="I43" s="32" t="str">
        <f t="shared" si="5"/>
        <v/>
      </c>
      <c r="L43" s="19" t="str">
        <f t="shared" si="6"/>
        <v>Oxamyl</v>
      </c>
      <c r="M43" s="40">
        <f>IF(VLOOKUP($L43,OW_B_additie_hoog01[],2,FALSE)="","",VLOOKUP($L43,OW_B_additie_hoog01[],2,FALSE))</f>
        <v>145.49759999999998</v>
      </c>
      <c r="N43" s="70">
        <f>AVERAGE(VLOOKUP($L43,OW_B01[],6,FALSE),VLOOKUP($L43,OW_B02[],6,FALSE))</f>
        <v>0</v>
      </c>
      <c r="O43" s="21" t="str">
        <f>IF(VLOOKUP($L43,OW_B_additie_hoog01[],6,FALSE)="","",VLOOKUP($L43,OW_B_additie_hoog01[],6,FALSE)-$N43)</f>
        <v/>
      </c>
      <c r="P43" s="21" t="str">
        <f>IF(VLOOKUP($L43,OW_B_additie_hoog02[],6,FALSE)="","",VLOOKUP($L43,OW_B_additie_hoog02[],6,FALSE-$N43))</f>
        <v/>
      </c>
      <c r="Q43" s="21" t="str">
        <f>IF(VLOOKUP($L43,OW_B_additie_hoog03[],6,FALSE)="","",VLOOKUP($L43,OW_B_additie_hoog03[],6,FALSE)-$N43)</f>
        <v/>
      </c>
      <c r="R43" s="21" t="str">
        <f>IF(VLOOKUP($L43,OW_B_additie_hoog04[],6,FALSE)="","",VLOOKUP($L43,OW_B_additie_hoog04[],6,FALSE)-$N43)</f>
        <v/>
      </c>
      <c r="S43" s="21" t="str">
        <f>IF(VLOOKUP($L43,OW_B_additie_hoog05[],6,FALSE)="","",VLOOKUP($L43,OW_B_additie_hoog05[],6,FALSE)-$N43)</f>
        <v/>
      </c>
      <c r="T43" s="21" t="str">
        <f>IF(VLOOKUP($L43,OW_B_additie_hoog06[],6,FALSE)="","",VLOOKUP($L43,OW_B_additie_hoog06[],6,FALSE)-$N43)</f>
        <v/>
      </c>
      <c r="U43" s="21" t="str">
        <f>IF(VLOOKUP($L43,OW_B_additie_hoog07[],6,FALSE)="","",VLOOKUP($L43,OW_B_additie_hoog07[],6,FALSE)-$N43)</f>
        <v/>
      </c>
      <c r="V43" s="21" t="str">
        <f>IF(VLOOKUP($L43,OW_B_additie_hoog08[],6,FALSE)="","",VLOOKUP($L43,OW_B_additie_hoog08[],6,FALSE)-$N43)</f>
        <v/>
      </c>
      <c r="W43" s="31">
        <f t="shared" si="7"/>
        <v>0</v>
      </c>
      <c r="X43" s="21" t="str">
        <f t="shared" si="8"/>
        <v/>
      </c>
      <c r="Y43" s="21" t="str">
        <f t="shared" si="9"/>
        <v/>
      </c>
      <c r="Z43" s="21" t="str">
        <f t="shared" si="10"/>
        <v/>
      </c>
      <c r="AA43" s="38" cm="1">
        <f t="array" ref="AA43">_xlfn.IFS(AND(ABS(IF(Z43="",0,Z43)-100)&gt;='Punten verdeling'!$C$16,ABS(IF(Z43="",0,Z43)-100)&lt;='Punten verdeling'!$D$16),TV_U,AND(ABS(IF(Z43="",0,Z43)-100)&gt;'Punten verdeling'!C$17,ABS(IF(Z43="",0,Z43)-100)&lt;='Punten verdeling'!D$17),TV_G,AND(ABS(IF(Z43="",0,Z43)-100)&gt;'Punten verdeling'!C$18,ABS(IF(Z43="",0,Z43)-100)&lt;='Punten verdeling'!D$18),TV_V,ABS(IF(Z43="",0,Z43)-100)&gt;'Punten verdeling'!C$19,TV_O)</f>
        <v>0</v>
      </c>
      <c r="AB43" s="38" cm="1">
        <f t="array" ref="AB43">_xlfn.IFS(AND(Y43&gt;='Punten verdeling'!$C$20,Y43&lt;='Punten verdeling'!$D$20),HH_U,AND(Y43&gt;'Punten verdeling'!C$21,Y43&lt;='Punten verdeling'!D$21),HH_G,AND(Y43&gt;'Punten verdeling'!C$22,Y43&lt;='Punten verdeling'!D$22),HH_V,Y43&gt;'Punten verdeling'!C$23,HH_O)</f>
        <v>0</v>
      </c>
    </row>
    <row r="44" spans="2:45" x14ac:dyDescent="0.2">
      <c r="B44" s="13" t="str">
        <f>$B$25</f>
        <v>Triallaat</v>
      </c>
      <c r="C44" s="41">
        <v>7.9856000000000007</v>
      </c>
      <c r="D44" s="46"/>
      <c r="E44" s="48"/>
      <c r="F44" s="48"/>
      <c r="G44" s="45"/>
      <c r="H44" s="41" t="str">
        <f t="shared" si="4"/>
        <v/>
      </c>
      <c r="I44" s="32" t="str">
        <f t="shared" si="5"/>
        <v/>
      </c>
      <c r="L44" s="19" t="str">
        <f t="shared" si="6"/>
        <v>Triallaat</v>
      </c>
      <c r="M44" s="40">
        <f>IF(VLOOKUP($L44,OW_B_additie_hoog01[],2,FALSE)="","",VLOOKUP($L44,OW_B_additie_hoog01[],2,FALSE))</f>
        <v>143.74080000000001</v>
      </c>
      <c r="N44" s="70">
        <f>AVERAGE(VLOOKUP($L44,OW_B01[],6,FALSE),VLOOKUP($L44,OW_B02[],6,FALSE))</f>
        <v>0</v>
      </c>
      <c r="O44" s="21" t="str">
        <f>IF(VLOOKUP($L44,OW_B_additie_hoog01[],6,FALSE)="","",VLOOKUP($L44,OW_B_additie_hoog01[],6,FALSE)-$N44)</f>
        <v/>
      </c>
      <c r="P44" s="21" t="str">
        <f>IF(VLOOKUP($L44,OW_B_additie_hoog02[],6,FALSE)="","",VLOOKUP($L44,OW_B_additie_hoog02[],6,FALSE-$N44))</f>
        <v/>
      </c>
      <c r="Q44" s="21" t="str">
        <f>IF(VLOOKUP($L44,OW_B_additie_hoog03[],6,FALSE)="","",VLOOKUP($L44,OW_B_additie_hoog03[],6,FALSE)-$N44)</f>
        <v/>
      </c>
      <c r="R44" s="21" t="str">
        <f>IF(VLOOKUP($L44,OW_B_additie_hoog04[],6,FALSE)="","",VLOOKUP($L44,OW_B_additie_hoog04[],6,FALSE)-$N44)</f>
        <v/>
      </c>
      <c r="S44" s="21" t="str">
        <f>IF(VLOOKUP($L44,OW_B_additie_hoog05[],6,FALSE)="","",VLOOKUP($L44,OW_B_additie_hoog05[],6,FALSE)-$N44)</f>
        <v/>
      </c>
      <c r="T44" s="21" t="str">
        <f>IF(VLOOKUP($L44,OW_B_additie_hoog06[],6,FALSE)="","",VLOOKUP($L44,OW_B_additie_hoog06[],6,FALSE)-$N44)</f>
        <v/>
      </c>
      <c r="U44" s="21" t="str">
        <f>IF(VLOOKUP($L44,OW_B_additie_hoog07[],6,FALSE)="","",VLOOKUP($L44,OW_B_additie_hoog07[],6,FALSE)-$N44)</f>
        <v/>
      </c>
      <c r="V44" s="21" t="str">
        <f>IF(VLOOKUP($L44,OW_B_additie_hoog08[],6,FALSE)="","",VLOOKUP($L44,OW_B_additie_hoog08[],6,FALSE)-$N44)</f>
        <v/>
      </c>
      <c r="W44" s="31">
        <f t="shared" si="7"/>
        <v>0</v>
      </c>
      <c r="X44" s="21" t="str">
        <f t="shared" si="8"/>
        <v/>
      </c>
      <c r="Y44" s="21" t="str">
        <f t="shared" si="9"/>
        <v/>
      </c>
      <c r="Z44" s="21" t="str">
        <f t="shared" si="10"/>
        <v/>
      </c>
      <c r="AA44" s="38" cm="1">
        <f t="array" ref="AA44">_xlfn.IFS(AND(ABS(IF(Z44="",0,Z44)-100)&gt;='Punten verdeling'!$C$16,ABS(IF(Z44="",0,Z44)-100)&lt;='Punten verdeling'!$D$16),TV_U,AND(ABS(IF(Z44="",0,Z44)-100)&gt;'Punten verdeling'!C$17,ABS(IF(Z44="",0,Z44)-100)&lt;='Punten verdeling'!D$17),TV_G,AND(ABS(IF(Z44="",0,Z44)-100)&gt;'Punten verdeling'!C$18,ABS(IF(Z44="",0,Z44)-100)&lt;='Punten verdeling'!D$18),TV_V,ABS(IF(Z44="",0,Z44)-100)&gt;'Punten verdeling'!C$19,TV_O)</f>
        <v>0</v>
      </c>
      <c r="AB44" s="38" cm="1">
        <f t="array" ref="AB44">_xlfn.IFS(AND(Y44&gt;='Punten verdeling'!$C$20,Y44&lt;='Punten verdeling'!$D$20),HH_U,AND(Y44&gt;'Punten verdeling'!C$21,Y44&lt;='Punten verdeling'!D$21),HH_G,AND(Y44&gt;'Punten verdeling'!C$22,Y44&lt;='Punten verdeling'!D$22),HH_V,Y44&gt;'Punten verdeling'!C$23,HH_O)</f>
        <v>0</v>
      </c>
    </row>
    <row r="45" spans="2:45" x14ac:dyDescent="0.2">
      <c r="Z45" s="10" t="s">
        <v>107</v>
      </c>
      <c r="AA45" s="39">
        <f>SUM(AA29:AA44)</f>
        <v>0</v>
      </c>
      <c r="AB45" s="39">
        <f>SUM(AB29:AB44)</f>
        <v>0</v>
      </c>
    </row>
    <row r="46" spans="2:45" ht="20.25" x14ac:dyDescent="0.3">
      <c r="B46" s="8" t="s">
        <v>27</v>
      </c>
      <c r="L46" s="4" t="s">
        <v>88</v>
      </c>
    </row>
    <row r="47" spans="2:45" ht="39" thickBot="1" x14ac:dyDescent="0.25">
      <c r="B47" s="15" t="s">
        <v>2</v>
      </c>
      <c r="C47" s="16" t="s">
        <v>3</v>
      </c>
      <c r="D47" s="16" t="s">
        <v>4</v>
      </c>
      <c r="E47" s="16" t="s">
        <v>161</v>
      </c>
      <c r="F47" s="16" t="s">
        <v>162</v>
      </c>
      <c r="G47" s="16" t="s">
        <v>5</v>
      </c>
      <c r="H47" s="43" t="s">
        <v>6</v>
      </c>
      <c r="I47" s="17" t="s">
        <v>7</v>
      </c>
      <c r="L47" s="25" t="s">
        <v>2</v>
      </c>
      <c r="M47" s="24" t="s">
        <v>29</v>
      </c>
      <c r="N47" s="68" t="s">
        <v>30</v>
      </c>
      <c r="O47" s="24" t="s">
        <v>31</v>
      </c>
      <c r="P47" s="24" t="s">
        <v>61</v>
      </c>
      <c r="Q47" s="24" t="s">
        <v>42</v>
      </c>
      <c r="R47" s="24" t="s">
        <v>43</v>
      </c>
      <c r="S47" s="24" t="s">
        <v>44</v>
      </c>
      <c r="T47" s="24" t="s">
        <v>45</v>
      </c>
      <c r="U47" s="24" t="s">
        <v>46</v>
      </c>
      <c r="V47" s="24" t="s">
        <v>47</v>
      </c>
      <c r="W47" s="24" t="s">
        <v>48</v>
      </c>
      <c r="X47" s="24" t="s">
        <v>49</v>
      </c>
      <c r="Y47" s="24" t="s">
        <v>62</v>
      </c>
      <c r="Z47" s="24" t="s">
        <v>63</v>
      </c>
      <c r="AA47" s="24" t="s">
        <v>51</v>
      </c>
      <c r="AB47" s="24" t="s">
        <v>52</v>
      </c>
      <c r="AC47" s="24" t="s">
        <v>64</v>
      </c>
      <c r="AD47" s="24" t="s">
        <v>53</v>
      </c>
      <c r="AE47" s="24" t="s">
        <v>54</v>
      </c>
      <c r="AF47" s="24" t="s">
        <v>65</v>
      </c>
      <c r="AG47" s="24" t="s">
        <v>55</v>
      </c>
      <c r="AH47" s="24" t="s">
        <v>56</v>
      </c>
      <c r="AI47" s="24" t="s">
        <v>66</v>
      </c>
      <c r="AJ47" s="24" t="s">
        <v>57</v>
      </c>
      <c r="AK47" s="24" t="s">
        <v>58</v>
      </c>
      <c r="AL47" s="24" t="s">
        <v>67</v>
      </c>
      <c r="AM47" s="24" t="s">
        <v>59</v>
      </c>
      <c r="AN47" s="24" t="s">
        <v>60</v>
      </c>
      <c r="AO47" s="24" t="s">
        <v>68</v>
      </c>
      <c r="AP47" s="24" t="s">
        <v>92</v>
      </c>
      <c r="AQ47" s="24" t="s">
        <v>94</v>
      </c>
      <c r="AR47" s="24" t="s">
        <v>93</v>
      </c>
      <c r="AS47" s="24" t="s">
        <v>123</v>
      </c>
    </row>
    <row r="48" spans="2:45" ht="13.5" thickTop="1" x14ac:dyDescent="0.2">
      <c r="B48" s="14" t="str">
        <f>$B$10</f>
        <v>Amisulbrom</v>
      </c>
      <c r="C48" s="22">
        <v>24.105599999999999</v>
      </c>
      <c r="D48" s="45"/>
      <c r="E48" s="47"/>
      <c r="F48" s="47"/>
      <c r="G48" s="45"/>
      <c r="H48" s="22" t="str">
        <f>IF(G48="","",100*G48/C48)</f>
        <v/>
      </c>
      <c r="I48" s="32" t="str">
        <f t="shared" ref="I48:I63" si="11">IFERROR(MIN(E48,F48)/MAX(E48,F48)*100,"")</f>
        <v/>
      </c>
      <c r="L48" s="20" t="str">
        <f t="shared" ref="L48:L63" si="12">L29</f>
        <v>Amisulbrom</v>
      </c>
      <c r="M48" s="22" t="str">
        <f>VLOOKUP($L48,Kalibratie4[],8,FALSE)</f>
        <v/>
      </c>
      <c r="N48" s="71" t="str">
        <f>VLOOKUP($L48,Kalibratie5[],8,FALSE)</f>
        <v/>
      </c>
      <c r="O48" s="29" t="str">
        <f>VLOOKUP($L48,Kalibratie6[],8,FALSE)</f>
        <v/>
      </c>
      <c r="P48" s="29" t="str">
        <f>VLOOKUP($L48,KAL_standaard_4_01[],8,FALSE)</f>
        <v/>
      </c>
      <c r="Q48" s="29" t="str">
        <f>VLOOKUP($L48,OW_B_additie_hoog01[],8,FALSE)</f>
        <v/>
      </c>
      <c r="R48" s="29" t="str">
        <f>VLOOKUP($L48,OW_B_additie_hoog02[],8,FALSE)</f>
        <v/>
      </c>
      <c r="S48" s="29" t="str">
        <f>VLOOKUP($L48,OW_B_additie_hoog03[],8,FALSE)</f>
        <v/>
      </c>
      <c r="T48" s="29" t="str">
        <f>VLOOKUP($L48,OW_B_additie_hoog04[],8,FALSE)</f>
        <v/>
      </c>
      <c r="U48" s="29" t="str">
        <f>VLOOKUP($L48,OW_B_additie_hoog05[],8,FALSE)</f>
        <v/>
      </c>
      <c r="V48" s="29" t="str">
        <f>VLOOKUP($L48,OW_B_additie_hoog06[],8,FALSE)</f>
        <v/>
      </c>
      <c r="W48" s="29" t="str">
        <f>VLOOKUP($L48,OW_B_additie_hoog07[],8,FALSE)</f>
        <v/>
      </c>
      <c r="X48" s="29" t="str">
        <f>VLOOKUP($L48,OW_B_additie_hoog08[],8,FALSE)</f>
        <v/>
      </c>
      <c r="Y48" s="29" t="str">
        <f>VLOOKUP($L48,KAL_standaard_4_02[],8,FALSE)</f>
        <v/>
      </c>
      <c r="Z48" s="29" t="str">
        <f>VLOOKUP($L48,KAL_standaard_4_03[],8,FALSE)</f>
        <v/>
      </c>
      <c r="AA48" s="29" t="str">
        <f>VLOOKUP($L48,OW_B_additie_hoog09[],8,FALSE)</f>
        <v/>
      </c>
      <c r="AB48" s="29" t="str">
        <f>VLOOKUP($L48,OW_B_additie_hoog10[],8,FALSE)</f>
        <v/>
      </c>
      <c r="AC48" s="29" t="str">
        <f>VLOOKUP($L48,KAL_standaard_4_04[],8,FALSE)</f>
        <v/>
      </c>
      <c r="AD48" s="29" t="str">
        <f>VLOOKUP($L48,OW_B_additie_hoog11[],8,FALSE)</f>
        <v/>
      </c>
      <c r="AE48" s="29" t="str">
        <f>VLOOKUP($L48,OW_B_additie_hoog12[],8,FALSE)</f>
        <v/>
      </c>
      <c r="AF48" s="29" t="str">
        <f>VLOOKUP($L48,KAL_standaard_4_05[],8,FALSE)</f>
        <v/>
      </c>
      <c r="AG48" s="29" t="str">
        <f>VLOOKUP($L48,OW_B_additie_hoog13[],8,FALSE)</f>
        <v/>
      </c>
      <c r="AH48" s="29" t="str">
        <f>VLOOKUP($L48,OW_B_additie_hoog14[],8,FALSE)</f>
        <v/>
      </c>
      <c r="AI48" s="29" t="str">
        <f>VLOOKUP($L48,KAL_standaard_4_06[],8,FALSE)</f>
        <v/>
      </c>
      <c r="AJ48" s="29" t="str">
        <f>VLOOKUP($L48,OW_B_additie_hoog15[],8,FALSE)</f>
        <v/>
      </c>
      <c r="AK48" s="29" t="str">
        <f>VLOOKUP($L48,OW_B_additie_hoog16[],8,FALSE)</f>
        <v/>
      </c>
      <c r="AL48" s="29" t="str">
        <f>VLOOKUP($L48,KAL_standaard_4_07[],8,FALSE)</f>
        <v/>
      </c>
      <c r="AM48" s="29" t="str">
        <f>VLOOKUP($L48,OW_B_additie_hoog17[],8,FALSE)</f>
        <v/>
      </c>
      <c r="AN48" s="29" t="str">
        <f>VLOOKUP($L48,OW_B_additie_hoog18[],8,FALSE)</f>
        <v/>
      </c>
      <c r="AO48" s="29" t="str">
        <f>VLOOKUP($L48,KAL_standaard_4_08[],8,FALSE)</f>
        <v/>
      </c>
      <c r="AP48" s="27">
        <f>COUNT(M48:AO48)</f>
        <v>0</v>
      </c>
      <c r="AQ48" s="29" t="str">
        <f>IF(AP48&lt;1,"",AVERAGE(M48:AO48))</f>
        <v/>
      </c>
      <c r="AR48" s="21" t="str">
        <f>IF(AP48&lt;&gt;29,"",STDEV(M48:AO48)*100/AQ48)</f>
        <v/>
      </c>
      <c r="AS48" s="27" cm="1">
        <f t="array" ref="AS48">_xlfn.IFS(AND(AR48&gt;='Punten verdeling'!$C$12,AR48&lt;='Punten verdeling'!$D$12),RATIO_U,AND(AR48&gt;'Punten verdeling'!C$13,AR48&lt;='Punten verdeling'!D$13),RATIO_G,AND(AR48&gt;'Punten verdeling'!C$14,AR48&lt;='Punten verdeling'!D$14),RATIO_V,AR48&gt;'Punten verdeling'!C$15,RATIO_O)</f>
        <v>0</v>
      </c>
    </row>
    <row r="49" spans="2:45" x14ac:dyDescent="0.2">
      <c r="B49" s="12" t="str">
        <f>$B$11</f>
        <v>Clothianidine</v>
      </c>
      <c r="C49" s="40">
        <v>23.860799999999994</v>
      </c>
      <c r="D49" s="46"/>
      <c r="E49" s="48"/>
      <c r="F49" s="48"/>
      <c r="G49" s="45"/>
      <c r="H49" s="40" t="str">
        <f t="shared" ref="H49:H63" si="13">IF(G49="","",100*G49/C49)</f>
        <v/>
      </c>
      <c r="I49" s="32" t="str">
        <f t="shared" si="11"/>
        <v/>
      </c>
      <c r="L49" s="19" t="str">
        <f t="shared" si="12"/>
        <v>Clothianidine</v>
      </c>
      <c r="M49" s="40" t="str">
        <f>VLOOKUP($L49,Kalibratie4[],8,FALSE)</f>
        <v/>
      </c>
      <c r="N49" s="71" t="str">
        <f>VLOOKUP($L49,Kalibratie5[],8,FALSE)</f>
        <v/>
      </c>
      <c r="O49" s="29" t="str">
        <f>VLOOKUP($L49,Kalibratie6[],8,FALSE)</f>
        <v/>
      </c>
      <c r="P49" s="29" t="str">
        <f>VLOOKUP($L49,KAL_standaard_4_01[],8,FALSE)</f>
        <v/>
      </c>
      <c r="Q49" s="29" t="str">
        <f>VLOOKUP($L49,OW_B_additie_hoog01[],8,FALSE)</f>
        <v/>
      </c>
      <c r="R49" s="29" t="str">
        <f>VLOOKUP($L49,OW_B_additie_hoog02[],8,FALSE)</f>
        <v/>
      </c>
      <c r="S49" s="29" t="str">
        <f>VLOOKUP($L49,OW_B_additie_hoog03[],8,FALSE)</f>
        <v/>
      </c>
      <c r="T49" s="29" t="str">
        <f>VLOOKUP($L49,OW_B_additie_hoog04[],8,FALSE)</f>
        <v/>
      </c>
      <c r="U49" s="29" t="str">
        <f>VLOOKUP($L49,OW_B_additie_hoog05[],8,FALSE)</f>
        <v/>
      </c>
      <c r="V49" s="29" t="str">
        <f>VLOOKUP($L49,OW_B_additie_hoog06[],8,FALSE)</f>
        <v/>
      </c>
      <c r="W49" s="29" t="str">
        <f>VLOOKUP($L49,OW_B_additie_hoog07[],8,FALSE)</f>
        <v/>
      </c>
      <c r="X49" s="29" t="str">
        <f>VLOOKUP($L49,OW_B_additie_hoog08[],8,FALSE)</f>
        <v/>
      </c>
      <c r="Y49" s="29" t="str">
        <f>VLOOKUP($L49,KAL_standaard_4_02[],8,FALSE)</f>
        <v/>
      </c>
      <c r="Z49" s="29" t="str">
        <f>VLOOKUP($L49,KAL_standaard_4_03[],8,FALSE)</f>
        <v/>
      </c>
      <c r="AA49" s="29" t="str">
        <f>VLOOKUP($L49,OW_B_additie_hoog09[],8,FALSE)</f>
        <v/>
      </c>
      <c r="AB49" s="29" t="str">
        <f>VLOOKUP($L49,OW_B_additie_hoog10[],8,FALSE)</f>
        <v/>
      </c>
      <c r="AC49" s="29" t="str">
        <f>VLOOKUP($L49,KAL_standaard_4_04[],8,FALSE)</f>
        <v/>
      </c>
      <c r="AD49" s="29" t="str">
        <f>VLOOKUP($L49,OW_B_additie_hoog11[],8,FALSE)</f>
        <v/>
      </c>
      <c r="AE49" s="29" t="str">
        <f>VLOOKUP($L49,OW_B_additie_hoog12[],8,FALSE)</f>
        <v/>
      </c>
      <c r="AF49" s="29" t="str">
        <f>VLOOKUP($L49,KAL_standaard_4_05[],8,FALSE)</f>
        <v/>
      </c>
      <c r="AG49" s="29" t="str">
        <f>VLOOKUP($L49,OW_B_additie_hoog13[],8,FALSE)</f>
        <v/>
      </c>
      <c r="AH49" s="29" t="str">
        <f>VLOOKUP($L49,OW_B_additie_hoog14[],8,FALSE)</f>
        <v/>
      </c>
      <c r="AI49" s="29" t="str">
        <f>VLOOKUP($L49,KAL_standaard_4_06[],8,FALSE)</f>
        <v/>
      </c>
      <c r="AJ49" s="29" t="str">
        <f>VLOOKUP($L49,OW_B_additie_hoog15[],8,FALSE)</f>
        <v/>
      </c>
      <c r="AK49" s="29" t="str">
        <f>VLOOKUP($L49,OW_B_additie_hoog16[],8,FALSE)</f>
        <v/>
      </c>
      <c r="AL49" s="29" t="str">
        <f>VLOOKUP($L49,KAL_standaard_4_07[],8,FALSE)</f>
        <v/>
      </c>
      <c r="AM49" s="29" t="str">
        <f>VLOOKUP($L49,OW_B_additie_hoog17[],8,FALSE)</f>
        <v/>
      </c>
      <c r="AN49" s="29" t="str">
        <f>VLOOKUP($L49,OW_B_additie_hoog18[],8,FALSE)</f>
        <v/>
      </c>
      <c r="AO49" s="29" t="str">
        <f>VLOOKUP($L49,KAL_standaard_4_08[],8,FALSE)</f>
        <v/>
      </c>
      <c r="AP49" s="28">
        <f t="shared" ref="AP49:AP63" si="14">COUNT(M49:AO49)</f>
        <v>0</v>
      </c>
      <c r="AQ49" s="29" t="str">
        <f t="shared" ref="AQ49:AQ63" si="15">IF(AP49&lt;1,"",AVERAGE(M49:AO49))</f>
        <v/>
      </c>
      <c r="AR49" s="21" t="str">
        <f t="shared" ref="AR49:AR63" si="16">IF(AP49&lt;&gt;29,"",STDEV(M49:AO49)*100/AQ49)</f>
        <v/>
      </c>
      <c r="AS49" s="27" cm="1">
        <f t="array" ref="AS49">_xlfn.IFS(AND(AR49&gt;='Punten verdeling'!$C$12,AR49&lt;='Punten verdeling'!$D$12),RATIO_U,AND(AR49&gt;'Punten verdeling'!C$13,AR49&lt;='Punten verdeling'!D$13),RATIO_G,AND(AR49&gt;'Punten verdeling'!C$14,AR49&lt;='Punten verdeling'!D$14),RATIO_V,AR49&gt;'Punten verdeling'!C$15,RATIO_O)</f>
        <v>0</v>
      </c>
    </row>
    <row r="50" spans="2:45" x14ac:dyDescent="0.2">
      <c r="B50" s="12" t="str">
        <f>$B$12</f>
        <v>Cyazofamide</v>
      </c>
      <c r="C50" s="40">
        <v>24.009599999999999</v>
      </c>
      <c r="D50" s="46"/>
      <c r="E50" s="48"/>
      <c r="F50" s="48"/>
      <c r="G50" s="45"/>
      <c r="H50" s="40" t="str">
        <f t="shared" si="13"/>
        <v/>
      </c>
      <c r="I50" s="32" t="str">
        <f t="shared" si="11"/>
        <v/>
      </c>
      <c r="L50" s="19" t="str">
        <f t="shared" si="12"/>
        <v>Cyazofamide</v>
      </c>
      <c r="M50" s="40" t="str">
        <f>VLOOKUP($L50,Kalibratie4[],8,FALSE)</f>
        <v/>
      </c>
      <c r="N50" s="71" t="str">
        <f>VLOOKUP($L50,Kalibratie5[],8,FALSE)</f>
        <v/>
      </c>
      <c r="O50" s="29" t="str">
        <f>VLOOKUP($L50,Kalibratie6[],8,FALSE)</f>
        <v/>
      </c>
      <c r="P50" s="29" t="str">
        <f>VLOOKUP($L50,KAL_standaard_4_01[],8,FALSE)</f>
        <v/>
      </c>
      <c r="Q50" s="29" t="str">
        <f>VLOOKUP($L50,OW_B_additie_hoog01[],8,FALSE)</f>
        <v/>
      </c>
      <c r="R50" s="29" t="str">
        <f>VLOOKUP($L50,OW_B_additie_hoog02[],8,FALSE)</f>
        <v/>
      </c>
      <c r="S50" s="29" t="str">
        <f>VLOOKUP($L50,OW_B_additie_hoog03[],8,FALSE)</f>
        <v/>
      </c>
      <c r="T50" s="29" t="str">
        <f>VLOOKUP($L50,OW_B_additie_hoog04[],8,FALSE)</f>
        <v/>
      </c>
      <c r="U50" s="29" t="str">
        <f>VLOOKUP($L50,OW_B_additie_hoog05[],8,FALSE)</f>
        <v/>
      </c>
      <c r="V50" s="29" t="str">
        <f>VLOOKUP($L50,OW_B_additie_hoog06[],8,FALSE)</f>
        <v/>
      </c>
      <c r="W50" s="29" t="str">
        <f>VLOOKUP($L50,OW_B_additie_hoog07[],8,FALSE)</f>
        <v/>
      </c>
      <c r="X50" s="29" t="str">
        <f>VLOOKUP($L50,OW_B_additie_hoog08[],8,FALSE)</f>
        <v/>
      </c>
      <c r="Y50" s="29" t="str">
        <f>VLOOKUP($L50,KAL_standaard_4_02[],8,FALSE)</f>
        <v/>
      </c>
      <c r="Z50" s="29" t="str">
        <f>VLOOKUP($L50,KAL_standaard_4_03[],8,FALSE)</f>
        <v/>
      </c>
      <c r="AA50" s="29" t="str">
        <f>VLOOKUP($L50,OW_B_additie_hoog09[],8,FALSE)</f>
        <v/>
      </c>
      <c r="AB50" s="29" t="str">
        <f>VLOOKUP($L50,OW_B_additie_hoog10[],8,FALSE)</f>
        <v/>
      </c>
      <c r="AC50" s="29" t="str">
        <f>VLOOKUP($L50,KAL_standaard_4_04[],8,FALSE)</f>
        <v/>
      </c>
      <c r="AD50" s="29" t="str">
        <f>VLOOKUP($L50,OW_B_additie_hoog11[],8,FALSE)</f>
        <v/>
      </c>
      <c r="AE50" s="29" t="str">
        <f>VLOOKUP($L50,OW_B_additie_hoog12[],8,FALSE)</f>
        <v/>
      </c>
      <c r="AF50" s="29" t="str">
        <f>VLOOKUP($L50,KAL_standaard_4_05[],8,FALSE)</f>
        <v/>
      </c>
      <c r="AG50" s="29" t="str">
        <f>VLOOKUP($L50,OW_B_additie_hoog13[],8,FALSE)</f>
        <v/>
      </c>
      <c r="AH50" s="29" t="str">
        <f>VLOOKUP($L50,OW_B_additie_hoog14[],8,FALSE)</f>
        <v/>
      </c>
      <c r="AI50" s="29" t="str">
        <f>VLOOKUP($L50,KAL_standaard_4_06[],8,FALSE)</f>
        <v/>
      </c>
      <c r="AJ50" s="29" t="str">
        <f>VLOOKUP($L50,OW_B_additie_hoog15[],8,FALSE)</f>
        <v/>
      </c>
      <c r="AK50" s="29" t="str">
        <f>VLOOKUP($L50,OW_B_additie_hoog16[],8,FALSE)</f>
        <v/>
      </c>
      <c r="AL50" s="29" t="str">
        <f>VLOOKUP($L50,KAL_standaard_4_07[],8,FALSE)</f>
        <v/>
      </c>
      <c r="AM50" s="29" t="str">
        <f>VLOOKUP($L50,OW_B_additie_hoog17[],8,FALSE)</f>
        <v/>
      </c>
      <c r="AN50" s="29" t="str">
        <f>VLOOKUP($L50,OW_B_additie_hoog18[],8,FALSE)</f>
        <v/>
      </c>
      <c r="AO50" s="29" t="str">
        <f>VLOOKUP($L50,KAL_standaard_4_08[],8,FALSE)</f>
        <v/>
      </c>
      <c r="AP50" s="28">
        <f t="shared" si="14"/>
        <v>0</v>
      </c>
      <c r="AQ50" s="29" t="str">
        <f t="shared" si="15"/>
        <v/>
      </c>
      <c r="AR50" s="21" t="str">
        <f t="shared" si="16"/>
        <v/>
      </c>
      <c r="AS50" s="27" cm="1">
        <f t="array" ref="AS50">_xlfn.IFS(AND(AR50&gt;='Punten verdeling'!$C$12,AR50&lt;='Punten verdeling'!$D$12),RATIO_U,AND(AR50&gt;'Punten verdeling'!C$13,AR50&lt;='Punten verdeling'!D$13),RATIO_G,AND(AR50&gt;'Punten verdeling'!C$14,AR50&lt;='Punten verdeling'!D$14),RATIO_V,AR50&gt;'Punten verdeling'!C$15,RATIO_O)</f>
        <v>0</v>
      </c>
    </row>
    <row r="51" spans="2:45" x14ac:dyDescent="0.2">
      <c r="B51" s="12" t="str">
        <f>$B$13</f>
        <v>Cymoxanil</v>
      </c>
      <c r="C51" s="40">
        <v>23.9496</v>
      </c>
      <c r="D51" s="46"/>
      <c r="E51" s="48"/>
      <c r="F51" s="48"/>
      <c r="G51" s="45"/>
      <c r="H51" s="40" t="str">
        <f t="shared" si="13"/>
        <v/>
      </c>
      <c r="I51" s="32" t="str">
        <f t="shared" si="11"/>
        <v/>
      </c>
      <c r="L51" s="19" t="str">
        <f t="shared" si="12"/>
        <v>Cymoxanil</v>
      </c>
      <c r="M51" s="40" t="str">
        <f>VLOOKUP($L51,Kalibratie4[],8,FALSE)</f>
        <v/>
      </c>
      <c r="N51" s="71" t="str">
        <f>VLOOKUP($L51,Kalibratie5[],8,FALSE)</f>
        <v/>
      </c>
      <c r="O51" s="29" t="str">
        <f>VLOOKUP($L51,Kalibratie6[],8,FALSE)</f>
        <v/>
      </c>
      <c r="P51" s="29" t="str">
        <f>VLOOKUP($L51,KAL_standaard_4_01[],8,FALSE)</f>
        <v/>
      </c>
      <c r="Q51" s="29" t="str">
        <f>VLOOKUP($L51,OW_B_additie_hoog01[],8,FALSE)</f>
        <v/>
      </c>
      <c r="R51" s="29" t="str">
        <f>VLOOKUP($L51,OW_B_additie_hoog02[],8,FALSE)</f>
        <v/>
      </c>
      <c r="S51" s="29" t="str">
        <f>VLOOKUP($L51,OW_B_additie_hoog03[],8,FALSE)</f>
        <v/>
      </c>
      <c r="T51" s="29" t="str">
        <f>VLOOKUP($L51,OW_B_additie_hoog04[],8,FALSE)</f>
        <v/>
      </c>
      <c r="U51" s="29" t="str">
        <f>VLOOKUP($L51,OW_B_additie_hoog05[],8,FALSE)</f>
        <v/>
      </c>
      <c r="V51" s="29" t="str">
        <f>VLOOKUP($L51,OW_B_additie_hoog06[],8,FALSE)</f>
        <v/>
      </c>
      <c r="W51" s="29" t="str">
        <f>VLOOKUP($L51,OW_B_additie_hoog07[],8,FALSE)</f>
        <v/>
      </c>
      <c r="X51" s="29" t="str">
        <f>VLOOKUP($L51,OW_B_additie_hoog08[],8,FALSE)</f>
        <v/>
      </c>
      <c r="Y51" s="29" t="str">
        <f>VLOOKUP($L51,KAL_standaard_4_02[],8,FALSE)</f>
        <v/>
      </c>
      <c r="Z51" s="29" t="str">
        <f>VLOOKUP($L51,KAL_standaard_4_03[],8,FALSE)</f>
        <v/>
      </c>
      <c r="AA51" s="29" t="str">
        <f>VLOOKUP($L51,OW_B_additie_hoog09[],8,FALSE)</f>
        <v/>
      </c>
      <c r="AB51" s="29" t="str">
        <f>VLOOKUP($L51,OW_B_additie_hoog10[],8,FALSE)</f>
        <v/>
      </c>
      <c r="AC51" s="29" t="str">
        <f>VLOOKUP($L51,KAL_standaard_4_04[],8,FALSE)</f>
        <v/>
      </c>
      <c r="AD51" s="29" t="str">
        <f>VLOOKUP($L51,OW_B_additie_hoog11[],8,FALSE)</f>
        <v/>
      </c>
      <c r="AE51" s="29" t="str">
        <f>VLOOKUP($L51,OW_B_additie_hoog12[],8,FALSE)</f>
        <v/>
      </c>
      <c r="AF51" s="29" t="str">
        <f>VLOOKUP($L51,KAL_standaard_4_05[],8,FALSE)</f>
        <v/>
      </c>
      <c r="AG51" s="29" t="str">
        <f>VLOOKUP($L51,OW_B_additie_hoog13[],8,FALSE)</f>
        <v/>
      </c>
      <c r="AH51" s="29" t="str">
        <f>VLOOKUP($L51,OW_B_additie_hoog14[],8,FALSE)</f>
        <v/>
      </c>
      <c r="AI51" s="29" t="str">
        <f>VLOOKUP($L51,KAL_standaard_4_06[],8,FALSE)</f>
        <v/>
      </c>
      <c r="AJ51" s="29" t="str">
        <f>VLOOKUP($L51,OW_B_additie_hoog15[],8,FALSE)</f>
        <v/>
      </c>
      <c r="AK51" s="29" t="str">
        <f>VLOOKUP($L51,OW_B_additie_hoog16[],8,FALSE)</f>
        <v/>
      </c>
      <c r="AL51" s="29" t="str">
        <f>VLOOKUP($L51,KAL_standaard_4_07[],8,FALSE)</f>
        <v/>
      </c>
      <c r="AM51" s="29" t="str">
        <f>VLOOKUP($L51,OW_B_additie_hoog17[],8,FALSE)</f>
        <v/>
      </c>
      <c r="AN51" s="29" t="str">
        <f>VLOOKUP($L51,OW_B_additie_hoog18[],8,FALSE)</f>
        <v/>
      </c>
      <c r="AO51" s="29" t="str">
        <f>VLOOKUP($L51,KAL_standaard_4_08[],8,FALSE)</f>
        <v/>
      </c>
      <c r="AP51" s="28">
        <f t="shared" si="14"/>
        <v>0</v>
      </c>
      <c r="AQ51" s="29" t="str">
        <f t="shared" si="15"/>
        <v/>
      </c>
      <c r="AR51" s="21" t="str">
        <f t="shared" si="16"/>
        <v/>
      </c>
      <c r="AS51" s="27" cm="1">
        <f t="array" ref="AS51">_xlfn.IFS(AND(AR51&gt;='Punten verdeling'!$C$12,AR51&lt;='Punten verdeling'!$D$12),RATIO_U,AND(AR51&gt;'Punten verdeling'!C$13,AR51&lt;='Punten verdeling'!D$13),RATIO_G,AND(AR51&gt;'Punten verdeling'!C$14,AR51&lt;='Punten verdeling'!D$14),RATIO_V,AR51&gt;'Punten verdeling'!C$15,RATIO_O)</f>
        <v>0</v>
      </c>
    </row>
    <row r="52" spans="2:45" x14ac:dyDescent="0.2">
      <c r="B52" s="12" t="str">
        <f>$B$14</f>
        <v>Desmedifam</v>
      </c>
      <c r="C52" s="40">
        <v>24.062400000000004</v>
      </c>
      <c r="D52" s="46"/>
      <c r="E52" s="48"/>
      <c r="F52" s="48"/>
      <c r="G52" s="45"/>
      <c r="H52" s="40" t="str">
        <f t="shared" si="13"/>
        <v/>
      </c>
      <c r="I52" s="32" t="str">
        <f t="shared" si="11"/>
        <v/>
      </c>
      <c r="L52" s="19" t="str">
        <f t="shared" si="12"/>
        <v>Desmedifam</v>
      </c>
      <c r="M52" s="40" t="str">
        <f>VLOOKUP($L52,Kalibratie4[],8,FALSE)</f>
        <v/>
      </c>
      <c r="N52" s="71" t="str">
        <f>VLOOKUP($L52,Kalibratie5[],8,FALSE)</f>
        <v/>
      </c>
      <c r="O52" s="29" t="str">
        <f>VLOOKUP($L52,Kalibratie6[],8,FALSE)</f>
        <v/>
      </c>
      <c r="P52" s="29" t="str">
        <f>VLOOKUP($L52,KAL_standaard_4_01[],8,FALSE)</f>
        <v/>
      </c>
      <c r="Q52" s="29" t="str">
        <f>VLOOKUP($L52,OW_B_additie_hoog01[],8,FALSE)</f>
        <v/>
      </c>
      <c r="R52" s="29" t="str">
        <f>VLOOKUP($L52,OW_B_additie_hoog02[],8,FALSE)</f>
        <v/>
      </c>
      <c r="S52" s="29" t="str">
        <f>VLOOKUP($L52,OW_B_additie_hoog03[],8,FALSE)</f>
        <v/>
      </c>
      <c r="T52" s="29" t="str">
        <f>VLOOKUP($L52,OW_B_additie_hoog04[],8,FALSE)</f>
        <v/>
      </c>
      <c r="U52" s="29" t="str">
        <f>VLOOKUP($L52,OW_B_additie_hoog05[],8,FALSE)</f>
        <v/>
      </c>
      <c r="V52" s="29" t="str">
        <f>VLOOKUP($L52,OW_B_additie_hoog06[],8,FALSE)</f>
        <v/>
      </c>
      <c r="W52" s="29" t="str">
        <f>VLOOKUP($L52,OW_B_additie_hoog07[],8,FALSE)</f>
        <v/>
      </c>
      <c r="X52" s="29" t="str">
        <f>VLOOKUP($L52,OW_B_additie_hoog08[],8,FALSE)</f>
        <v/>
      </c>
      <c r="Y52" s="29" t="str">
        <f>VLOOKUP($L52,KAL_standaard_4_02[],8,FALSE)</f>
        <v/>
      </c>
      <c r="Z52" s="29" t="str">
        <f>VLOOKUP($L52,KAL_standaard_4_03[],8,FALSE)</f>
        <v/>
      </c>
      <c r="AA52" s="29" t="str">
        <f>VLOOKUP($L52,OW_B_additie_hoog09[],8,FALSE)</f>
        <v/>
      </c>
      <c r="AB52" s="29" t="str">
        <f>VLOOKUP($L52,OW_B_additie_hoog10[],8,FALSE)</f>
        <v/>
      </c>
      <c r="AC52" s="29" t="str">
        <f>VLOOKUP($L52,KAL_standaard_4_04[],8,FALSE)</f>
        <v/>
      </c>
      <c r="AD52" s="29" t="str">
        <f>VLOOKUP($L52,OW_B_additie_hoog11[],8,FALSE)</f>
        <v/>
      </c>
      <c r="AE52" s="29" t="str">
        <f>VLOOKUP($L52,OW_B_additie_hoog12[],8,FALSE)</f>
        <v/>
      </c>
      <c r="AF52" s="29" t="str">
        <f>VLOOKUP($L52,KAL_standaard_4_05[],8,FALSE)</f>
        <v/>
      </c>
      <c r="AG52" s="29" t="str">
        <f>VLOOKUP($L52,OW_B_additie_hoog13[],8,FALSE)</f>
        <v/>
      </c>
      <c r="AH52" s="29" t="str">
        <f>VLOOKUP($L52,OW_B_additie_hoog14[],8,FALSE)</f>
        <v/>
      </c>
      <c r="AI52" s="29" t="str">
        <f>VLOOKUP($L52,KAL_standaard_4_06[],8,FALSE)</f>
        <v/>
      </c>
      <c r="AJ52" s="29" t="str">
        <f>VLOOKUP($L52,OW_B_additie_hoog15[],8,FALSE)</f>
        <v/>
      </c>
      <c r="AK52" s="29" t="str">
        <f>VLOOKUP($L52,OW_B_additie_hoog16[],8,FALSE)</f>
        <v/>
      </c>
      <c r="AL52" s="29" t="str">
        <f>VLOOKUP($L52,KAL_standaard_4_07[],8,FALSE)</f>
        <v/>
      </c>
      <c r="AM52" s="29" t="str">
        <f>VLOOKUP($L52,OW_B_additie_hoog17[],8,FALSE)</f>
        <v/>
      </c>
      <c r="AN52" s="29" t="str">
        <f>VLOOKUP($L52,OW_B_additie_hoog18[],8,FALSE)</f>
        <v/>
      </c>
      <c r="AO52" s="29" t="str">
        <f>VLOOKUP($L52,KAL_standaard_4_08[],8,FALSE)</f>
        <v/>
      </c>
      <c r="AP52" s="28">
        <f t="shared" si="14"/>
        <v>0</v>
      </c>
      <c r="AQ52" s="29" t="str">
        <f t="shared" si="15"/>
        <v/>
      </c>
      <c r="AR52" s="21" t="str">
        <f t="shared" si="16"/>
        <v/>
      </c>
      <c r="AS52" s="27" cm="1">
        <f t="array" ref="AS52">_xlfn.IFS(AND(AR52&gt;='Punten verdeling'!$C$12,AR52&lt;='Punten verdeling'!$D$12),RATIO_U,AND(AR52&gt;'Punten verdeling'!C$13,AR52&lt;='Punten verdeling'!D$13),RATIO_G,AND(AR52&gt;'Punten verdeling'!C$14,AR52&lt;='Punten verdeling'!D$14),RATIO_V,AR52&gt;'Punten verdeling'!C$15,RATIO_O)</f>
        <v>0</v>
      </c>
    </row>
    <row r="53" spans="2:45" x14ac:dyDescent="0.2">
      <c r="B53" s="12" t="str">
        <f>$B$15</f>
        <v>Fenmedifam</v>
      </c>
      <c r="C53" s="40">
        <v>23.980800000000002</v>
      </c>
      <c r="D53" s="46"/>
      <c r="E53" s="48"/>
      <c r="F53" s="48"/>
      <c r="G53" s="45"/>
      <c r="H53" s="40" t="str">
        <f t="shared" si="13"/>
        <v/>
      </c>
      <c r="I53" s="32" t="str">
        <f t="shared" si="11"/>
        <v/>
      </c>
      <c r="L53" s="19" t="str">
        <f t="shared" si="12"/>
        <v>Fenmedifam</v>
      </c>
      <c r="M53" s="40" t="str">
        <f>VLOOKUP($L53,Kalibratie4[],8,FALSE)</f>
        <v/>
      </c>
      <c r="N53" s="71" t="str">
        <f>VLOOKUP($L53,Kalibratie5[],8,FALSE)</f>
        <v/>
      </c>
      <c r="O53" s="29" t="str">
        <f>VLOOKUP($L53,Kalibratie6[],8,FALSE)</f>
        <v/>
      </c>
      <c r="P53" s="29" t="str">
        <f>VLOOKUP($L53,KAL_standaard_4_01[],8,FALSE)</f>
        <v/>
      </c>
      <c r="Q53" s="29" t="str">
        <f>VLOOKUP($L53,OW_B_additie_hoog01[],8,FALSE)</f>
        <v/>
      </c>
      <c r="R53" s="29" t="str">
        <f>VLOOKUP($L53,OW_B_additie_hoog02[],8,FALSE)</f>
        <v/>
      </c>
      <c r="S53" s="29" t="str">
        <f>VLOOKUP($L53,OW_B_additie_hoog03[],8,FALSE)</f>
        <v/>
      </c>
      <c r="T53" s="29" t="str">
        <f>VLOOKUP($L53,OW_B_additie_hoog04[],8,FALSE)</f>
        <v/>
      </c>
      <c r="U53" s="29" t="str">
        <f>VLOOKUP($L53,OW_B_additie_hoog05[],8,FALSE)</f>
        <v/>
      </c>
      <c r="V53" s="29" t="str">
        <f>VLOOKUP($L53,OW_B_additie_hoog06[],8,FALSE)</f>
        <v/>
      </c>
      <c r="W53" s="29" t="str">
        <f>VLOOKUP($L53,OW_B_additie_hoog07[],8,FALSE)</f>
        <v/>
      </c>
      <c r="X53" s="29" t="str">
        <f>VLOOKUP($L53,OW_B_additie_hoog08[],8,FALSE)</f>
        <v/>
      </c>
      <c r="Y53" s="29" t="str">
        <f>VLOOKUP($L53,KAL_standaard_4_02[],8,FALSE)</f>
        <v/>
      </c>
      <c r="Z53" s="29" t="str">
        <f>VLOOKUP($L53,KAL_standaard_4_03[],8,FALSE)</f>
        <v/>
      </c>
      <c r="AA53" s="29" t="str">
        <f>VLOOKUP($L53,OW_B_additie_hoog09[],8,FALSE)</f>
        <v/>
      </c>
      <c r="AB53" s="29" t="str">
        <f>VLOOKUP($L53,OW_B_additie_hoog10[],8,FALSE)</f>
        <v/>
      </c>
      <c r="AC53" s="29" t="str">
        <f>VLOOKUP($L53,KAL_standaard_4_04[],8,FALSE)</f>
        <v/>
      </c>
      <c r="AD53" s="29" t="str">
        <f>VLOOKUP($L53,OW_B_additie_hoog11[],8,FALSE)</f>
        <v/>
      </c>
      <c r="AE53" s="29" t="str">
        <f>VLOOKUP($L53,OW_B_additie_hoog12[],8,FALSE)</f>
        <v/>
      </c>
      <c r="AF53" s="29" t="str">
        <f>VLOOKUP($L53,KAL_standaard_4_05[],8,FALSE)</f>
        <v/>
      </c>
      <c r="AG53" s="29" t="str">
        <f>VLOOKUP($L53,OW_B_additie_hoog13[],8,FALSE)</f>
        <v/>
      </c>
      <c r="AH53" s="29" t="str">
        <f>VLOOKUP($L53,OW_B_additie_hoog14[],8,FALSE)</f>
        <v/>
      </c>
      <c r="AI53" s="29" t="str">
        <f>VLOOKUP($L53,KAL_standaard_4_06[],8,FALSE)</f>
        <v/>
      </c>
      <c r="AJ53" s="29" t="str">
        <f>VLOOKUP($L53,OW_B_additie_hoog15[],8,FALSE)</f>
        <v/>
      </c>
      <c r="AK53" s="29" t="str">
        <f>VLOOKUP($L53,OW_B_additie_hoog16[],8,FALSE)</f>
        <v/>
      </c>
      <c r="AL53" s="29" t="str">
        <f>VLOOKUP($L53,KAL_standaard_4_07[],8,FALSE)</f>
        <v/>
      </c>
      <c r="AM53" s="29" t="str">
        <f>VLOOKUP($L53,OW_B_additie_hoog17[],8,FALSE)</f>
        <v/>
      </c>
      <c r="AN53" s="29" t="str">
        <f>VLOOKUP($L53,OW_B_additie_hoog18[],8,FALSE)</f>
        <v/>
      </c>
      <c r="AO53" s="29" t="str">
        <f>VLOOKUP($L53,KAL_standaard_4_08[],8,FALSE)</f>
        <v/>
      </c>
      <c r="AP53" s="28">
        <f t="shared" si="14"/>
        <v>0</v>
      </c>
      <c r="AQ53" s="29" t="str">
        <f t="shared" si="15"/>
        <v/>
      </c>
      <c r="AR53" s="21" t="str">
        <f t="shared" si="16"/>
        <v/>
      </c>
      <c r="AS53" s="27" cm="1">
        <f t="array" ref="AS53">_xlfn.IFS(AND(AR53&gt;='Punten verdeling'!$C$12,AR53&lt;='Punten verdeling'!$D$12),RATIO_U,AND(AR53&gt;'Punten verdeling'!C$13,AR53&lt;='Punten verdeling'!D$13),RATIO_G,AND(AR53&gt;'Punten verdeling'!C$14,AR53&lt;='Punten verdeling'!D$14),RATIO_V,AR53&gt;'Punten verdeling'!C$15,RATIO_O)</f>
        <v>0</v>
      </c>
    </row>
    <row r="54" spans="2:45" x14ac:dyDescent="0.2">
      <c r="B54" s="12" t="str">
        <f>$B$16</f>
        <v>Fenoxycarb</v>
      </c>
      <c r="C54" s="40">
        <v>24.489599999999999</v>
      </c>
      <c r="D54" s="46"/>
      <c r="E54" s="48"/>
      <c r="F54" s="48"/>
      <c r="G54" s="45"/>
      <c r="H54" s="40" t="str">
        <f t="shared" si="13"/>
        <v/>
      </c>
      <c r="I54" s="32" t="str">
        <f t="shared" si="11"/>
        <v/>
      </c>
      <c r="L54" s="19" t="str">
        <f t="shared" si="12"/>
        <v>Fenoxycarb</v>
      </c>
      <c r="M54" s="40" t="str">
        <f>VLOOKUP($L54,Kalibratie4[],8,FALSE)</f>
        <v/>
      </c>
      <c r="N54" s="71" t="str">
        <f>VLOOKUP($L54,Kalibratie5[],8,FALSE)</f>
        <v/>
      </c>
      <c r="O54" s="29" t="str">
        <f>VLOOKUP($L54,Kalibratie6[],8,FALSE)</f>
        <v/>
      </c>
      <c r="P54" s="29" t="str">
        <f>VLOOKUP($L54,KAL_standaard_4_01[],8,FALSE)</f>
        <v/>
      </c>
      <c r="Q54" s="29" t="str">
        <f>VLOOKUP($L54,OW_B_additie_hoog01[],8,FALSE)</f>
        <v/>
      </c>
      <c r="R54" s="29" t="str">
        <f>VLOOKUP($L54,OW_B_additie_hoog02[],8,FALSE)</f>
        <v/>
      </c>
      <c r="S54" s="29" t="str">
        <f>VLOOKUP($L54,OW_B_additie_hoog03[],8,FALSE)</f>
        <v/>
      </c>
      <c r="T54" s="29" t="str">
        <f>VLOOKUP($L54,OW_B_additie_hoog04[],8,FALSE)</f>
        <v/>
      </c>
      <c r="U54" s="29" t="str">
        <f>VLOOKUP($L54,OW_B_additie_hoog05[],8,FALSE)</f>
        <v/>
      </c>
      <c r="V54" s="29" t="str">
        <f>VLOOKUP($L54,OW_B_additie_hoog06[],8,FALSE)</f>
        <v/>
      </c>
      <c r="W54" s="29" t="str">
        <f>VLOOKUP($L54,OW_B_additie_hoog07[],8,FALSE)</f>
        <v/>
      </c>
      <c r="X54" s="29" t="str">
        <f>VLOOKUP($L54,OW_B_additie_hoog08[],8,FALSE)</f>
        <v/>
      </c>
      <c r="Y54" s="29" t="str">
        <f>VLOOKUP($L54,KAL_standaard_4_02[],8,FALSE)</f>
        <v/>
      </c>
      <c r="Z54" s="29" t="str">
        <f>VLOOKUP($L54,KAL_standaard_4_03[],8,FALSE)</f>
        <v/>
      </c>
      <c r="AA54" s="29" t="str">
        <f>VLOOKUP($L54,OW_B_additie_hoog09[],8,FALSE)</f>
        <v/>
      </c>
      <c r="AB54" s="29" t="str">
        <f>VLOOKUP($L54,OW_B_additie_hoog10[],8,FALSE)</f>
        <v/>
      </c>
      <c r="AC54" s="29" t="str">
        <f>VLOOKUP($L54,KAL_standaard_4_04[],8,FALSE)</f>
        <v/>
      </c>
      <c r="AD54" s="29" t="str">
        <f>VLOOKUP($L54,OW_B_additie_hoog11[],8,FALSE)</f>
        <v/>
      </c>
      <c r="AE54" s="29" t="str">
        <f>VLOOKUP($L54,OW_B_additie_hoog12[],8,FALSE)</f>
        <v/>
      </c>
      <c r="AF54" s="29" t="str">
        <f>VLOOKUP($L54,KAL_standaard_4_05[],8,FALSE)</f>
        <v/>
      </c>
      <c r="AG54" s="29" t="str">
        <f>VLOOKUP($L54,OW_B_additie_hoog13[],8,FALSE)</f>
        <v/>
      </c>
      <c r="AH54" s="29" t="str">
        <f>VLOOKUP($L54,OW_B_additie_hoog14[],8,FALSE)</f>
        <v/>
      </c>
      <c r="AI54" s="29" t="str">
        <f>VLOOKUP($L54,KAL_standaard_4_06[],8,FALSE)</f>
        <v/>
      </c>
      <c r="AJ54" s="29" t="str">
        <f>VLOOKUP($L54,OW_B_additie_hoog15[],8,FALSE)</f>
        <v/>
      </c>
      <c r="AK54" s="29" t="str">
        <f>VLOOKUP($L54,OW_B_additie_hoog16[],8,FALSE)</f>
        <v/>
      </c>
      <c r="AL54" s="29" t="str">
        <f>VLOOKUP($L54,KAL_standaard_4_07[],8,FALSE)</f>
        <v/>
      </c>
      <c r="AM54" s="29" t="str">
        <f>VLOOKUP($L54,OW_B_additie_hoog17[],8,FALSE)</f>
        <v/>
      </c>
      <c r="AN54" s="29" t="str">
        <f>VLOOKUP($L54,OW_B_additie_hoog18[],8,FALSE)</f>
        <v/>
      </c>
      <c r="AO54" s="29" t="str">
        <f>VLOOKUP($L54,KAL_standaard_4_08[],8,FALSE)</f>
        <v/>
      </c>
      <c r="AP54" s="28">
        <f t="shared" si="14"/>
        <v>0</v>
      </c>
      <c r="AQ54" s="29" t="str">
        <f t="shared" si="15"/>
        <v/>
      </c>
      <c r="AR54" s="21" t="str">
        <f t="shared" si="16"/>
        <v/>
      </c>
      <c r="AS54" s="27" cm="1">
        <f t="array" ref="AS54">_xlfn.IFS(AND(AR54&gt;='Punten verdeling'!$C$12,AR54&lt;='Punten verdeling'!$D$12),RATIO_U,AND(AR54&gt;'Punten verdeling'!C$13,AR54&lt;='Punten verdeling'!D$13),RATIO_G,AND(AR54&gt;'Punten verdeling'!C$14,AR54&lt;='Punten verdeling'!D$14),RATIO_V,AR54&gt;'Punten verdeling'!C$15,RATIO_O)</f>
        <v>0</v>
      </c>
    </row>
    <row r="55" spans="2:45" x14ac:dyDescent="0.2">
      <c r="B55" s="12" t="str">
        <f>$B$17</f>
        <v>Fipronil</v>
      </c>
      <c r="C55" s="40">
        <v>24.031199999999995</v>
      </c>
      <c r="D55" s="46"/>
      <c r="E55" s="48"/>
      <c r="F55" s="48"/>
      <c r="G55" s="45"/>
      <c r="H55" s="40" t="str">
        <f t="shared" si="13"/>
        <v/>
      </c>
      <c r="I55" s="32" t="str">
        <f t="shared" si="11"/>
        <v/>
      </c>
      <c r="L55" s="19" t="str">
        <f t="shared" si="12"/>
        <v>Fipronil</v>
      </c>
      <c r="M55" s="40" t="str">
        <f>VLOOKUP($L55,Kalibratie4[],8,FALSE)</f>
        <v/>
      </c>
      <c r="N55" s="71" t="str">
        <f>VLOOKUP($L55,Kalibratie5[],8,FALSE)</f>
        <v/>
      </c>
      <c r="O55" s="29" t="str">
        <f>VLOOKUP($L55,Kalibratie6[],8,FALSE)</f>
        <v/>
      </c>
      <c r="P55" s="29" t="str">
        <f>VLOOKUP($L55,KAL_standaard_4_01[],8,FALSE)</f>
        <v/>
      </c>
      <c r="Q55" s="29" t="str">
        <f>VLOOKUP($L55,OW_B_additie_hoog01[],8,FALSE)</f>
        <v/>
      </c>
      <c r="R55" s="29" t="str">
        <f>VLOOKUP($L55,OW_B_additie_hoog02[],8,FALSE)</f>
        <v/>
      </c>
      <c r="S55" s="29" t="str">
        <f>VLOOKUP($L55,OW_B_additie_hoog03[],8,FALSE)</f>
        <v/>
      </c>
      <c r="T55" s="29" t="str">
        <f>VLOOKUP($L55,OW_B_additie_hoog04[],8,FALSE)</f>
        <v/>
      </c>
      <c r="U55" s="29" t="str">
        <f>VLOOKUP($L55,OW_B_additie_hoog05[],8,FALSE)</f>
        <v/>
      </c>
      <c r="V55" s="29" t="str">
        <f>VLOOKUP($L55,OW_B_additie_hoog06[],8,FALSE)</f>
        <v/>
      </c>
      <c r="W55" s="29" t="str">
        <f>VLOOKUP($L55,OW_B_additie_hoog07[],8,FALSE)</f>
        <v/>
      </c>
      <c r="X55" s="29" t="str">
        <f>VLOOKUP($L55,OW_B_additie_hoog08[],8,FALSE)</f>
        <v/>
      </c>
      <c r="Y55" s="29" t="str">
        <f>VLOOKUP($L55,KAL_standaard_4_02[],8,FALSE)</f>
        <v/>
      </c>
      <c r="Z55" s="29" t="str">
        <f>VLOOKUP($L55,KAL_standaard_4_03[],8,FALSE)</f>
        <v/>
      </c>
      <c r="AA55" s="29" t="str">
        <f>VLOOKUP($L55,OW_B_additie_hoog09[],8,FALSE)</f>
        <v/>
      </c>
      <c r="AB55" s="29" t="str">
        <f>VLOOKUP($L55,OW_B_additie_hoog10[],8,FALSE)</f>
        <v/>
      </c>
      <c r="AC55" s="29" t="str">
        <f>VLOOKUP($L55,KAL_standaard_4_04[],8,FALSE)</f>
        <v/>
      </c>
      <c r="AD55" s="29" t="str">
        <f>VLOOKUP($L55,OW_B_additie_hoog11[],8,FALSE)</f>
        <v/>
      </c>
      <c r="AE55" s="29" t="str">
        <f>VLOOKUP($L55,OW_B_additie_hoog12[],8,FALSE)</f>
        <v/>
      </c>
      <c r="AF55" s="29" t="str">
        <f>VLOOKUP($L55,KAL_standaard_4_05[],8,FALSE)</f>
        <v/>
      </c>
      <c r="AG55" s="29" t="str">
        <f>VLOOKUP($L55,OW_B_additie_hoog13[],8,FALSE)</f>
        <v/>
      </c>
      <c r="AH55" s="29" t="str">
        <f>VLOOKUP($L55,OW_B_additie_hoog14[],8,FALSE)</f>
        <v/>
      </c>
      <c r="AI55" s="29" t="str">
        <f>VLOOKUP($L55,KAL_standaard_4_06[],8,FALSE)</f>
        <v/>
      </c>
      <c r="AJ55" s="29" t="str">
        <f>VLOOKUP($L55,OW_B_additie_hoog15[],8,FALSE)</f>
        <v/>
      </c>
      <c r="AK55" s="29" t="str">
        <f>VLOOKUP($L55,OW_B_additie_hoog16[],8,FALSE)</f>
        <v/>
      </c>
      <c r="AL55" s="29" t="str">
        <f>VLOOKUP($L55,KAL_standaard_4_07[],8,FALSE)</f>
        <v/>
      </c>
      <c r="AM55" s="29" t="str">
        <f>VLOOKUP($L55,OW_B_additie_hoog17[],8,FALSE)</f>
        <v/>
      </c>
      <c r="AN55" s="29" t="str">
        <f>VLOOKUP($L55,OW_B_additie_hoog18[],8,FALSE)</f>
        <v/>
      </c>
      <c r="AO55" s="29" t="str">
        <f>VLOOKUP($L55,KAL_standaard_4_08[],8,FALSE)</f>
        <v/>
      </c>
      <c r="AP55" s="28">
        <f t="shared" si="14"/>
        <v>0</v>
      </c>
      <c r="AQ55" s="29" t="str">
        <f t="shared" si="15"/>
        <v/>
      </c>
      <c r="AR55" s="21" t="str">
        <f t="shared" si="16"/>
        <v/>
      </c>
      <c r="AS55" s="27" cm="1">
        <f t="array" ref="AS55">_xlfn.IFS(AND(AR55&gt;='Punten verdeling'!$C$12,AR55&lt;='Punten verdeling'!$D$12),RATIO_U,AND(AR55&gt;'Punten verdeling'!C$13,AR55&lt;='Punten verdeling'!D$13),RATIO_G,AND(AR55&gt;'Punten verdeling'!C$14,AR55&lt;='Punten verdeling'!D$14),RATIO_V,AR55&gt;'Punten verdeling'!C$15,RATIO_O)</f>
        <v>0</v>
      </c>
    </row>
    <row r="56" spans="2:45" x14ac:dyDescent="0.2">
      <c r="B56" s="12" t="str">
        <f>$B$18</f>
        <v>Florasulam</v>
      </c>
      <c r="C56" s="40">
        <v>24.122400000000003</v>
      </c>
      <c r="D56" s="46"/>
      <c r="E56" s="48"/>
      <c r="F56" s="48"/>
      <c r="G56" s="45"/>
      <c r="H56" s="40" t="str">
        <f t="shared" si="13"/>
        <v/>
      </c>
      <c r="I56" s="32" t="str">
        <f t="shared" si="11"/>
        <v/>
      </c>
      <c r="L56" s="19" t="str">
        <f t="shared" si="12"/>
        <v>Florasulam</v>
      </c>
      <c r="M56" s="40" t="str">
        <f>VLOOKUP($L56,Kalibratie4[],8,FALSE)</f>
        <v/>
      </c>
      <c r="N56" s="71" t="str">
        <f>VLOOKUP($L56,Kalibratie5[],8,FALSE)</f>
        <v/>
      </c>
      <c r="O56" s="29" t="str">
        <f>VLOOKUP($L56,Kalibratie6[],8,FALSE)</f>
        <v/>
      </c>
      <c r="P56" s="29" t="str">
        <f>VLOOKUP($L56,KAL_standaard_4_01[],8,FALSE)</f>
        <v/>
      </c>
      <c r="Q56" s="29" t="str">
        <f>VLOOKUP($L56,OW_B_additie_hoog01[],8,FALSE)</f>
        <v/>
      </c>
      <c r="R56" s="29" t="str">
        <f>VLOOKUP($L56,OW_B_additie_hoog02[],8,FALSE)</f>
        <v/>
      </c>
      <c r="S56" s="29" t="str">
        <f>VLOOKUP($L56,OW_B_additie_hoog03[],8,FALSE)</f>
        <v/>
      </c>
      <c r="T56" s="29" t="str">
        <f>VLOOKUP($L56,OW_B_additie_hoog04[],8,FALSE)</f>
        <v/>
      </c>
      <c r="U56" s="29" t="str">
        <f>VLOOKUP($L56,OW_B_additie_hoog05[],8,FALSE)</f>
        <v/>
      </c>
      <c r="V56" s="29" t="str">
        <f>VLOOKUP($L56,OW_B_additie_hoog06[],8,FALSE)</f>
        <v/>
      </c>
      <c r="W56" s="29" t="str">
        <f>VLOOKUP($L56,OW_B_additie_hoog07[],8,FALSE)</f>
        <v/>
      </c>
      <c r="X56" s="29" t="str">
        <f>VLOOKUP($L56,OW_B_additie_hoog08[],8,FALSE)</f>
        <v/>
      </c>
      <c r="Y56" s="29" t="str">
        <f>VLOOKUP($L56,KAL_standaard_4_02[],8,FALSE)</f>
        <v/>
      </c>
      <c r="Z56" s="29" t="str">
        <f>VLOOKUP($L56,KAL_standaard_4_03[],8,FALSE)</f>
        <v/>
      </c>
      <c r="AA56" s="29" t="str">
        <f>VLOOKUP($L56,OW_B_additie_hoog09[],8,FALSE)</f>
        <v/>
      </c>
      <c r="AB56" s="29" t="str">
        <f>VLOOKUP($L56,OW_B_additie_hoog10[],8,FALSE)</f>
        <v/>
      </c>
      <c r="AC56" s="29" t="str">
        <f>VLOOKUP($L56,KAL_standaard_4_04[],8,FALSE)</f>
        <v/>
      </c>
      <c r="AD56" s="29" t="str">
        <f>VLOOKUP($L56,OW_B_additie_hoog11[],8,FALSE)</f>
        <v/>
      </c>
      <c r="AE56" s="29" t="str">
        <f>VLOOKUP($L56,OW_B_additie_hoog12[],8,FALSE)</f>
        <v/>
      </c>
      <c r="AF56" s="29" t="str">
        <f>VLOOKUP($L56,KAL_standaard_4_05[],8,FALSE)</f>
        <v/>
      </c>
      <c r="AG56" s="29" t="str">
        <f>VLOOKUP($L56,OW_B_additie_hoog13[],8,FALSE)</f>
        <v/>
      </c>
      <c r="AH56" s="29" t="str">
        <f>VLOOKUP($L56,OW_B_additie_hoog14[],8,FALSE)</f>
        <v/>
      </c>
      <c r="AI56" s="29" t="str">
        <f>VLOOKUP($L56,KAL_standaard_4_06[],8,FALSE)</f>
        <v/>
      </c>
      <c r="AJ56" s="29" t="str">
        <f>VLOOKUP($L56,OW_B_additie_hoog15[],8,FALSE)</f>
        <v/>
      </c>
      <c r="AK56" s="29" t="str">
        <f>VLOOKUP($L56,OW_B_additie_hoog16[],8,FALSE)</f>
        <v/>
      </c>
      <c r="AL56" s="29" t="str">
        <f>VLOOKUP($L56,KAL_standaard_4_07[],8,FALSE)</f>
        <v/>
      </c>
      <c r="AM56" s="29" t="str">
        <f>VLOOKUP($L56,OW_B_additie_hoog17[],8,FALSE)</f>
        <v/>
      </c>
      <c r="AN56" s="29" t="str">
        <f>VLOOKUP($L56,OW_B_additie_hoog18[],8,FALSE)</f>
        <v/>
      </c>
      <c r="AO56" s="29" t="str">
        <f>VLOOKUP($L56,KAL_standaard_4_08[],8,FALSE)</f>
        <v/>
      </c>
      <c r="AP56" s="28">
        <f t="shared" si="14"/>
        <v>0</v>
      </c>
      <c r="AQ56" s="29" t="str">
        <f t="shared" si="15"/>
        <v/>
      </c>
      <c r="AR56" s="21" t="str">
        <f t="shared" si="16"/>
        <v/>
      </c>
      <c r="AS56" s="27" cm="1">
        <f t="array" ref="AS56">_xlfn.IFS(AND(AR56&gt;='Punten verdeling'!$C$12,AR56&lt;='Punten verdeling'!$D$12),RATIO_U,AND(AR56&gt;'Punten verdeling'!C$13,AR56&lt;='Punten verdeling'!D$13),RATIO_G,AND(AR56&gt;'Punten verdeling'!C$14,AR56&lt;='Punten verdeling'!D$14),RATIO_V,AR56&gt;'Punten verdeling'!C$15,RATIO_O)</f>
        <v>0</v>
      </c>
    </row>
    <row r="57" spans="2:45" x14ac:dyDescent="0.2">
      <c r="B57" s="12" t="str">
        <f>$B$19</f>
        <v>Fluazifop-P-butyl</v>
      </c>
      <c r="C57" s="40">
        <v>24.155999999999999</v>
      </c>
      <c r="D57" s="46"/>
      <c r="E57" s="48"/>
      <c r="F57" s="48"/>
      <c r="G57" s="45"/>
      <c r="H57" s="40" t="str">
        <f t="shared" si="13"/>
        <v/>
      </c>
      <c r="I57" s="32" t="str">
        <f t="shared" si="11"/>
        <v/>
      </c>
      <c r="L57" s="19" t="str">
        <f t="shared" si="12"/>
        <v>Fluazifop-P-butyl</v>
      </c>
      <c r="M57" s="40" t="str">
        <f>VLOOKUP($L57,Kalibratie4[],8,FALSE)</f>
        <v/>
      </c>
      <c r="N57" s="71" t="str">
        <f>VLOOKUP($L57,Kalibratie5[],8,FALSE)</f>
        <v/>
      </c>
      <c r="O57" s="29" t="str">
        <f>VLOOKUP($L57,Kalibratie6[],8,FALSE)</f>
        <v/>
      </c>
      <c r="P57" s="29" t="str">
        <f>VLOOKUP($L57,KAL_standaard_4_01[],8,FALSE)</f>
        <v/>
      </c>
      <c r="Q57" s="29" t="str">
        <f>VLOOKUP($L57,OW_B_additie_hoog01[],8,FALSE)</f>
        <v/>
      </c>
      <c r="R57" s="29" t="str">
        <f>VLOOKUP($L57,OW_B_additie_hoog02[],8,FALSE)</f>
        <v/>
      </c>
      <c r="S57" s="29" t="str">
        <f>VLOOKUP($L57,OW_B_additie_hoog03[],8,FALSE)</f>
        <v/>
      </c>
      <c r="T57" s="29" t="str">
        <f>VLOOKUP($L57,OW_B_additie_hoog04[],8,FALSE)</f>
        <v/>
      </c>
      <c r="U57" s="29" t="str">
        <f>VLOOKUP($L57,OW_B_additie_hoog05[],8,FALSE)</f>
        <v/>
      </c>
      <c r="V57" s="29" t="str">
        <f>VLOOKUP($L57,OW_B_additie_hoog06[],8,FALSE)</f>
        <v/>
      </c>
      <c r="W57" s="29" t="str">
        <f>VLOOKUP($L57,OW_B_additie_hoog07[],8,FALSE)</f>
        <v/>
      </c>
      <c r="X57" s="29" t="str">
        <f>VLOOKUP($L57,OW_B_additie_hoog08[],8,FALSE)</f>
        <v/>
      </c>
      <c r="Y57" s="29" t="str">
        <f>VLOOKUP($L57,KAL_standaard_4_02[],8,FALSE)</f>
        <v/>
      </c>
      <c r="Z57" s="29" t="str">
        <f>VLOOKUP($L57,KAL_standaard_4_03[],8,FALSE)</f>
        <v/>
      </c>
      <c r="AA57" s="29" t="str">
        <f>VLOOKUP($L57,OW_B_additie_hoog09[],8,FALSE)</f>
        <v/>
      </c>
      <c r="AB57" s="29" t="str">
        <f>VLOOKUP($L57,OW_B_additie_hoog10[],8,FALSE)</f>
        <v/>
      </c>
      <c r="AC57" s="29" t="str">
        <f>VLOOKUP($L57,KAL_standaard_4_04[],8,FALSE)</f>
        <v/>
      </c>
      <c r="AD57" s="29" t="str">
        <f>VLOOKUP($L57,OW_B_additie_hoog11[],8,FALSE)</f>
        <v/>
      </c>
      <c r="AE57" s="29" t="str">
        <f>VLOOKUP($L57,OW_B_additie_hoog12[],8,FALSE)</f>
        <v/>
      </c>
      <c r="AF57" s="29" t="str">
        <f>VLOOKUP($L57,KAL_standaard_4_05[],8,FALSE)</f>
        <v/>
      </c>
      <c r="AG57" s="29" t="str">
        <f>VLOOKUP($L57,OW_B_additie_hoog13[],8,FALSE)</f>
        <v/>
      </c>
      <c r="AH57" s="29" t="str">
        <f>VLOOKUP($L57,OW_B_additie_hoog14[],8,FALSE)</f>
        <v/>
      </c>
      <c r="AI57" s="29" t="str">
        <f>VLOOKUP($L57,KAL_standaard_4_06[],8,FALSE)</f>
        <v/>
      </c>
      <c r="AJ57" s="29" t="str">
        <f>VLOOKUP($L57,OW_B_additie_hoog15[],8,FALSE)</f>
        <v/>
      </c>
      <c r="AK57" s="29" t="str">
        <f>VLOOKUP($L57,OW_B_additie_hoog16[],8,FALSE)</f>
        <v/>
      </c>
      <c r="AL57" s="29" t="str">
        <f>VLOOKUP($L57,KAL_standaard_4_07[],8,FALSE)</f>
        <v/>
      </c>
      <c r="AM57" s="29" t="str">
        <f>VLOOKUP($L57,OW_B_additie_hoog17[],8,FALSE)</f>
        <v/>
      </c>
      <c r="AN57" s="29" t="str">
        <f>VLOOKUP($L57,OW_B_additie_hoog18[],8,FALSE)</f>
        <v/>
      </c>
      <c r="AO57" s="29" t="str">
        <f>VLOOKUP($L57,KAL_standaard_4_08[],8,FALSE)</f>
        <v/>
      </c>
      <c r="AP57" s="28">
        <f t="shared" si="14"/>
        <v>0</v>
      </c>
      <c r="AQ57" s="29" t="str">
        <f t="shared" si="15"/>
        <v/>
      </c>
      <c r="AR57" s="21" t="str">
        <f t="shared" si="16"/>
        <v/>
      </c>
      <c r="AS57" s="27" cm="1">
        <f t="array" ref="AS57">_xlfn.IFS(AND(AR57&gt;='Punten verdeling'!$C$12,AR57&lt;='Punten verdeling'!$D$12),RATIO_U,AND(AR57&gt;'Punten verdeling'!C$13,AR57&lt;='Punten verdeling'!D$13),RATIO_G,AND(AR57&gt;'Punten verdeling'!C$14,AR57&lt;='Punten verdeling'!D$14),RATIO_V,AR57&gt;'Punten verdeling'!C$15,RATIO_O)</f>
        <v>0</v>
      </c>
    </row>
    <row r="58" spans="2:45" x14ac:dyDescent="0.2">
      <c r="B58" s="12" t="str">
        <f>$B$20</f>
        <v>Fluazinam</v>
      </c>
      <c r="C58" s="40">
        <v>24.230399999999996</v>
      </c>
      <c r="D58" s="46"/>
      <c r="E58" s="48"/>
      <c r="F58" s="48"/>
      <c r="G58" s="45"/>
      <c r="H58" s="40" t="str">
        <f t="shared" si="13"/>
        <v/>
      </c>
      <c r="I58" s="32" t="str">
        <f t="shared" si="11"/>
        <v/>
      </c>
      <c r="L58" s="19" t="str">
        <f t="shared" si="12"/>
        <v>Fluazinam</v>
      </c>
      <c r="M58" s="40" t="str">
        <f>VLOOKUP($L58,Kalibratie4[],8,FALSE)</f>
        <v/>
      </c>
      <c r="N58" s="71" t="str">
        <f>VLOOKUP($L58,Kalibratie5[],8,FALSE)</f>
        <v/>
      </c>
      <c r="O58" s="29" t="str">
        <f>VLOOKUP($L58,Kalibratie6[],8,FALSE)</f>
        <v/>
      </c>
      <c r="P58" s="29" t="str">
        <f>VLOOKUP($L58,KAL_standaard_4_01[],8,FALSE)</f>
        <v/>
      </c>
      <c r="Q58" s="29" t="str">
        <f>VLOOKUP($L58,OW_B_additie_hoog01[],8,FALSE)</f>
        <v/>
      </c>
      <c r="R58" s="29" t="str">
        <f>VLOOKUP($L58,OW_B_additie_hoog02[],8,FALSE)</f>
        <v/>
      </c>
      <c r="S58" s="29" t="str">
        <f>VLOOKUP($L58,OW_B_additie_hoog03[],8,FALSE)</f>
        <v/>
      </c>
      <c r="T58" s="29" t="str">
        <f>VLOOKUP($L58,OW_B_additie_hoog04[],8,FALSE)</f>
        <v/>
      </c>
      <c r="U58" s="29" t="str">
        <f>VLOOKUP($L58,OW_B_additie_hoog05[],8,FALSE)</f>
        <v/>
      </c>
      <c r="V58" s="29" t="str">
        <f>VLOOKUP($L58,OW_B_additie_hoog06[],8,FALSE)</f>
        <v/>
      </c>
      <c r="W58" s="29" t="str">
        <f>VLOOKUP($L58,OW_B_additie_hoog07[],8,FALSE)</f>
        <v/>
      </c>
      <c r="X58" s="29" t="str">
        <f>VLOOKUP($L58,OW_B_additie_hoog08[],8,FALSE)</f>
        <v/>
      </c>
      <c r="Y58" s="29" t="str">
        <f>VLOOKUP($L58,KAL_standaard_4_02[],8,FALSE)</f>
        <v/>
      </c>
      <c r="Z58" s="29" t="str">
        <f>VLOOKUP($L58,KAL_standaard_4_03[],8,FALSE)</f>
        <v/>
      </c>
      <c r="AA58" s="29" t="str">
        <f>VLOOKUP($L58,OW_B_additie_hoog09[],8,FALSE)</f>
        <v/>
      </c>
      <c r="AB58" s="29" t="str">
        <f>VLOOKUP($L58,OW_B_additie_hoog10[],8,FALSE)</f>
        <v/>
      </c>
      <c r="AC58" s="29" t="str">
        <f>VLOOKUP($L58,KAL_standaard_4_04[],8,FALSE)</f>
        <v/>
      </c>
      <c r="AD58" s="29" t="str">
        <f>VLOOKUP($L58,OW_B_additie_hoog11[],8,FALSE)</f>
        <v/>
      </c>
      <c r="AE58" s="29" t="str">
        <f>VLOOKUP($L58,OW_B_additie_hoog12[],8,FALSE)</f>
        <v/>
      </c>
      <c r="AF58" s="29" t="str">
        <f>VLOOKUP($L58,KAL_standaard_4_05[],8,FALSE)</f>
        <v/>
      </c>
      <c r="AG58" s="29" t="str">
        <f>VLOOKUP($L58,OW_B_additie_hoog13[],8,FALSE)</f>
        <v/>
      </c>
      <c r="AH58" s="29" t="str">
        <f>VLOOKUP($L58,OW_B_additie_hoog14[],8,FALSE)</f>
        <v/>
      </c>
      <c r="AI58" s="29" t="str">
        <f>VLOOKUP($L58,KAL_standaard_4_06[],8,FALSE)</f>
        <v/>
      </c>
      <c r="AJ58" s="29" t="str">
        <f>VLOOKUP($L58,OW_B_additie_hoog15[],8,FALSE)</f>
        <v/>
      </c>
      <c r="AK58" s="29" t="str">
        <f>VLOOKUP($L58,OW_B_additie_hoog16[],8,FALSE)</f>
        <v/>
      </c>
      <c r="AL58" s="29" t="str">
        <f>VLOOKUP($L58,KAL_standaard_4_07[],8,FALSE)</f>
        <v/>
      </c>
      <c r="AM58" s="29" t="str">
        <f>VLOOKUP($L58,OW_B_additie_hoog17[],8,FALSE)</f>
        <v/>
      </c>
      <c r="AN58" s="29" t="str">
        <f>VLOOKUP($L58,OW_B_additie_hoog18[],8,FALSE)</f>
        <v/>
      </c>
      <c r="AO58" s="29" t="str">
        <f>VLOOKUP($L58,KAL_standaard_4_08[],8,FALSE)</f>
        <v/>
      </c>
      <c r="AP58" s="28">
        <f t="shared" si="14"/>
        <v>0</v>
      </c>
      <c r="AQ58" s="29" t="str">
        <f t="shared" si="15"/>
        <v/>
      </c>
      <c r="AR58" s="21" t="str">
        <f t="shared" si="16"/>
        <v/>
      </c>
      <c r="AS58" s="27" cm="1">
        <f t="array" ref="AS58">_xlfn.IFS(AND(AR58&gt;='Punten verdeling'!$C$12,AR58&lt;='Punten verdeling'!$D$12),RATIO_U,AND(AR58&gt;'Punten verdeling'!C$13,AR58&lt;='Punten verdeling'!D$13),RATIO_G,AND(AR58&gt;'Punten verdeling'!C$14,AR58&lt;='Punten verdeling'!D$14),RATIO_V,AR58&gt;'Punten verdeling'!C$15,RATIO_O)</f>
        <v>0</v>
      </c>
    </row>
    <row r="59" spans="2:45" x14ac:dyDescent="0.2">
      <c r="B59" s="12" t="str">
        <f>$B$21</f>
        <v>Fludioxonil</v>
      </c>
      <c r="C59" s="40">
        <v>24.06</v>
      </c>
      <c r="D59" s="46"/>
      <c r="E59" s="48"/>
      <c r="F59" s="48"/>
      <c r="G59" s="45"/>
      <c r="H59" s="40" t="str">
        <f t="shared" si="13"/>
        <v/>
      </c>
      <c r="I59" s="32" t="str">
        <f t="shared" si="11"/>
        <v/>
      </c>
      <c r="L59" s="19" t="str">
        <f t="shared" si="12"/>
        <v>Fludioxonil</v>
      </c>
      <c r="M59" s="40" t="str">
        <f>VLOOKUP($L59,Kalibratie4[],8,FALSE)</f>
        <v/>
      </c>
      <c r="N59" s="71" t="str">
        <f>VLOOKUP($L59,Kalibratie5[],8,FALSE)</f>
        <v/>
      </c>
      <c r="O59" s="29" t="str">
        <f>VLOOKUP($L59,Kalibratie6[],8,FALSE)</f>
        <v/>
      </c>
      <c r="P59" s="29" t="str">
        <f>VLOOKUP($L59,KAL_standaard_4_01[],8,FALSE)</f>
        <v/>
      </c>
      <c r="Q59" s="29" t="str">
        <f>VLOOKUP($L59,OW_B_additie_hoog01[],8,FALSE)</f>
        <v/>
      </c>
      <c r="R59" s="29" t="str">
        <f>VLOOKUP($L59,OW_B_additie_hoog02[],8,FALSE)</f>
        <v/>
      </c>
      <c r="S59" s="29" t="str">
        <f>VLOOKUP($L59,OW_B_additie_hoog03[],8,FALSE)</f>
        <v/>
      </c>
      <c r="T59" s="29" t="str">
        <f>VLOOKUP($L59,OW_B_additie_hoog04[],8,FALSE)</f>
        <v/>
      </c>
      <c r="U59" s="29" t="str">
        <f>VLOOKUP($L59,OW_B_additie_hoog05[],8,FALSE)</f>
        <v/>
      </c>
      <c r="V59" s="29" t="str">
        <f>VLOOKUP($L59,OW_B_additie_hoog06[],8,FALSE)</f>
        <v/>
      </c>
      <c r="W59" s="29" t="str">
        <f>VLOOKUP($L59,OW_B_additie_hoog07[],8,FALSE)</f>
        <v/>
      </c>
      <c r="X59" s="29" t="str">
        <f>VLOOKUP($L59,OW_B_additie_hoog08[],8,FALSE)</f>
        <v/>
      </c>
      <c r="Y59" s="29" t="str">
        <f>VLOOKUP($L59,KAL_standaard_4_02[],8,FALSE)</f>
        <v/>
      </c>
      <c r="Z59" s="29" t="str">
        <f>VLOOKUP($L59,KAL_standaard_4_03[],8,FALSE)</f>
        <v/>
      </c>
      <c r="AA59" s="29" t="str">
        <f>VLOOKUP($L59,OW_B_additie_hoog09[],8,FALSE)</f>
        <v/>
      </c>
      <c r="AB59" s="29" t="str">
        <f>VLOOKUP($L59,OW_B_additie_hoog10[],8,FALSE)</f>
        <v/>
      </c>
      <c r="AC59" s="29" t="str">
        <f>VLOOKUP($L59,KAL_standaard_4_04[],8,FALSE)</f>
        <v/>
      </c>
      <c r="AD59" s="29" t="str">
        <f>VLOOKUP($L59,OW_B_additie_hoog11[],8,FALSE)</f>
        <v/>
      </c>
      <c r="AE59" s="29" t="str">
        <f>VLOOKUP($L59,OW_B_additie_hoog12[],8,FALSE)</f>
        <v/>
      </c>
      <c r="AF59" s="29" t="str">
        <f>VLOOKUP($L59,KAL_standaard_4_05[],8,FALSE)</f>
        <v/>
      </c>
      <c r="AG59" s="29" t="str">
        <f>VLOOKUP($L59,OW_B_additie_hoog13[],8,FALSE)</f>
        <v/>
      </c>
      <c r="AH59" s="29" t="str">
        <f>VLOOKUP($L59,OW_B_additie_hoog14[],8,FALSE)</f>
        <v/>
      </c>
      <c r="AI59" s="29" t="str">
        <f>VLOOKUP($L59,KAL_standaard_4_06[],8,FALSE)</f>
        <v/>
      </c>
      <c r="AJ59" s="29" t="str">
        <f>VLOOKUP($L59,OW_B_additie_hoog15[],8,FALSE)</f>
        <v/>
      </c>
      <c r="AK59" s="29" t="str">
        <f>VLOOKUP($L59,OW_B_additie_hoog16[],8,FALSE)</f>
        <v/>
      </c>
      <c r="AL59" s="29" t="str">
        <f>VLOOKUP($L59,KAL_standaard_4_07[],8,FALSE)</f>
        <v/>
      </c>
      <c r="AM59" s="29" t="str">
        <f>VLOOKUP($L59,OW_B_additie_hoog17[],8,FALSE)</f>
        <v/>
      </c>
      <c r="AN59" s="29" t="str">
        <f>VLOOKUP($L59,OW_B_additie_hoog18[],8,FALSE)</f>
        <v/>
      </c>
      <c r="AO59" s="29" t="str">
        <f>VLOOKUP($L59,KAL_standaard_4_08[],8,FALSE)</f>
        <v/>
      </c>
      <c r="AP59" s="28">
        <f t="shared" si="14"/>
        <v>0</v>
      </c>
      <c r="AQ59" s="29" t="str">
        <f t="shared" si="15"/>
        <v/>
      </c>
      <c r="AR59" s="21" t="str">
        <f t="shared" si="16"/>
        <v/>
      </c>
      <c r="AS59" s="27" cm="1">
        <f t="array" ref="AS59">_xlfn.IFS(AND(AR59&gt;='Punten verdeling'!$C$12,AR59&lt;='Punten verdeling'!$D$12),RATIO_U,AND(AR59&gt;'Punten verdeling'!C$13,AR59&lt;='Punten verdeling'!D$13),RATIO_G,AND(AR59&gt;'Punten verdeling'!C$14,AR59&lt;='Punten verdeling'!D$14),RATIO_V,AR59&gt;'Punten verdeling'!C$15,RATIO_O)</f>
        <v>0</v>
      </c>
    </row>
    <row r="60" spans="2:45" x14ac:dyDescent="0.2">
      <c r="B60" s="12" t="str">
        <f>$B$22</f>
        <v>Mesotrione</v>
      </c>
      <c r="C60" s="40">
        <v>24.158399999999997</v>
      </c>
      <c r="D60" s="46"/>
      <c r="E60" s="48"/>
      <c r="F60" s="48"/>
      <c r="G60" s="45"/>
      <c r="H60" s="40" t="str">
        <f t="shared" si="13"/>
        <v/>
      </c>
      <c r="I60" s="32" t="str">
        <f t="shared" si="11"/>
        <v/>
      </c>
      <c r="L60" s="19" t="str">
        <f t="shared" si="12"/>
        <v>Mesotrione</v>
      </c>
      <c r="M60" s="40" t="str">
        <f>VLOOKUP($L60,Kalibratie4[],8,FALSE)</f>
        <v/>
      </c>
      <c r="N60" s="71" t="str">
        <f>VLOOKUP($L60,Kalibratie5[],8,FALSE)</f>
        <v/>
      </c>
      <c r="O60" s="29" t="str">
        <f>VLOOKUP($L60,Kalibratie6[],8,FALSE)</f>
        <v/>
      </c>
      <c r="P60" s="29" t="str">
        <f>VLOOKUP($L60,KAL_standaard_4_01[],8,FALSE)</f>
        <v/>
      </c>
      <c r="Q60" s="29" t="str">
        <f>VLOOKUP($L60,OW_B_additie_hoog01[],8,FALSE)</f>
        <v/>
      </c>
      <c r="R60" s="29" t="str">
        <f>VLOOKUP($L60,OW_B_additie_hoog02[],8,FALSE)</f>
        <v/>
      </c>
      <c r="S60" s="29" t="str">
        <f>VLOOKUP($L60,OW_B_additie_hoog03[],8,FALSE)</f>
        <v/>
      </c>
      <c r="T60" s="29" t="str">
        <f>VLOOKUP($L60,OW_B_additie_hoog04[],8,FALSE)</f>
        <v/>
      </c>
      <c r="U60" s="29" t="str">
        <f>VLOOKUP($L60,OW_B_additie_hoog05[],8,FALSE)</f>
        <v/>
      </c>
      <c r="V60" s="29" t="str">
        <f>VLOOKUP($L60,OW_B_additie_hoog06[],8,FALSE)</f>
        <v/>
      </c>
      <c r="W60" s="29" t="str">
        <f>VLOOKUP($L60,OW_B_additie_hoog07[],8,FALSE)</f>
        <v/>
      </c>
      <c r="X60" s="29" t="str">
        <f>VLOOKUP($L60,OW_B_additie_hoog08[],8,FALSE)</f>
        <v/>
      </c>
      <c r="Y60" s="29" t="str">
        <f>VLOOKUP($L60,KAL_standaard_4_02[],8,FALSE)</f>
        <v/>
      </c>
      <c r="Z60" s="29" t="str">
        <f>VLOOKUP($L60,KAL_standaard_4_03[],8,FALSE)</f>
        <v/>
      </c>
      <c r="AA60" s="29" t="str">
        <f>VLOOKUP($L60,OW_B_additie_hoog09[],8,FALSE)</f>
        <v/>
      </c>
      <c r="AB60" s="29" t="str">
        <f>VLOOKUP($L60,OW_B_additie_hoog10[],8,FALSE)</f>
        <v/>
      </c>
      <c r="AC60" s="29" t="str">
        <f>VLOOKUP($L60,KAL_standaard_4_04[],8,FALSE)</f>
        <v/>
      </c>
      <c r="AD60" s="29" t="str">
        <f>VLOOKUP($L60,OW_B_additie_hoog11[],8,FALSE)</f>
        <v/>
      </c>
      <c r="AE60" s="29" t="str">
        <f>VLOOKUP($L60,OW_B_additie_hoog12[],8,FALSE)</f>
        <v/>
      </c>
      <c r="AF60" s="29" t="str">
        <f>VLOOKUP($L60,KAL_standaard_4_05[],8,FALSE)</f>
        <v/>
      </c>
      <c r="AG60" s="29" t="str">
        <f>VLOOKUP($L60,OW_B_additie_hoog13[],8,FALSE)</f>
        <v/>
      </c>
      <c r="AH60" s="29" t="str">
        <f>VLOOKUP($L60,OW_B_additie_hoog14[],8,FALSE)</f>
        <v/>
      </c>
      <c r="AI60" s="29" t="str">
        <f>VLOOKUP($L60,KAL_standaard_4_06[],8,FALSE)</f>
        <v/>
      </c>
      <c r="AJ60" s="29" t="str">
        <f>VLOOKUP($L60,OW_B_additie_hoog15[],8,FALSE)</f>
        <v/>
      </c>
      <c r="AK60" s="29" t="str">
        <f>VLOOKUP($L60,OW_B_additie_hoog16[],8,FALSE)</f>
        <v/>
      </c>
      <c r="AL60" s="29" t="str">
        <f>VLOOKUP($L60,KAL_standaard_4_07[],8,FALSE)</f>
        <v/>
      </c>
      <c r="AM60" s="29" t="str">
        <f>VLOOKUP($L60,OW_B_additie_hoog17[],8,FALSE)</f>
        <v/>
      </c>
      <c r="AN60" s="29" t="str">
        <f>VLOOKUP($L60,OW_B_additie_hoog18[],8,FALSE)</f>
        <v/>
      </c>
      <c r="AO60" s="29" t="str">
        <f>VLOOKUP($L60,KAL_standaard_4_08[],8,FALSE)</f>
        <v/>
      </c>
      <c r="AP60" s="28">
        <f t="shared" si="14"/>
        <v>0</v>
      </c>
      <c r="AQ60" s="29" t="str">
        <f t="shared" si="15"/>
        <v/>
      </c>
      <c r="AR60" s="21" t="str">
        <f t="shared" si="16"/>
        <v/>
      </c>
      <c r="AS60" s="27" cm="1">
        <f t="array" ref="AS60">_xlfn.IFS(AND(AR60&gt;='Punten verdeling'!$C$12,AR60&lt;='Punten verdeling'!$D$12),RATIO_U,AND(AR60&gt;'Punten verdeling'!C$13,AR60&lt;='Punten verdeling'!D$13),RATIO_G,AND(AR60&gt;'Punten verdeling'!C$14,AR60&lt;='Punten verdeling'!D$14),RATIO_V,AR60&gt;'Punten verdeling'!C$15,RATIO_O)</f>
        <v>0</v>
      </c>
    </row>
    <row r="61" spans="2:45" x14ac:dyDescent="0.2">
      <c r="B61" s="12" t="str">
        <f>$B$23</f>
        <v>Methoxyfenozide</v>
      </c>
      <c r="C61" s="40">
        <v>24.141599999999997</v>
      </c>
      <c r="D61" s="46"/>
      <c r="E61" s="48"/>
      <c r="F61" s="48"/>
      <c r="G61" s="45"/>
      <c r="H61" s="40" t="str">
        <f t="shared" si="13"/>
        <v/>
      </c>
      <c r="I61" s="32" t="str">
        <f t="shared" si="11"/>
        <v/>
      </c>
      <c r="L61" s="19" t="str">
        <f t="shared" si="12"/>
        <v>Methoxyfenozide</v>
      </c>
      <c r="M61" s="40" t="str">
        <f>VLOOKUP($L61,Kalibratie4[],8,FALSE)</f>
        <v/>
      </c>
      <c r="N61" s="71" t="str">
        <f>VLOOKUP($L61,Kalibratie5[],8,FALSE)</f>
        <v/>
      </c>
      <c r="O61" s="29" t="str">
        <f>VLOOKUP($L61,Kalibratie6[],8,FALSE)</f>
        <v/>
      </c>
      <c r="P61" s="29" t="str">
        <f>VLOOKUP($L61,KAL_standaard_4_01[],8,FALSE)</f>
        <v/>
      </c>
      <c r="Q61" s="29" t="str">
        <f>VLOOKUP($L61,OW_B_additie_hoog01[],8,FALSE)</f>
        <v/>
      </c>
      <c r="R61" s="29" t="str">
        <f>VLOOKUP($L61,OW_B_additie_hoog02[],8,FALSE)</f>
        <v/>
      </c>
      <c r="S61" s="29" t="str">
        <f>VLOOKUP($L61,OW_B_additie_hoog03[],8,FALSE)</f>
        <v/>
      </c>
      <c r="T61" s="29" t="str">
        <f>VLOOKUP($L61,OW_B_additie_hoog04[],8,FALSE)</f>
        <v/>
      </c>
      <c r="U61" s="29" t="str">
        <f>VLOOKUP($L61,OW_B_additie_hoog05[],8,FALSE)</f>
        <v/>
      </c>
      <c r="V61" s="29" t="str">
        <f>VLOOKUP($L61,OW_B_additie_hoog06[],8,FALSE)</f>
        <v/>
      </c>
      <c r="W61" s="29" t="str">
        <f>VLOOKUP($L61,OW_B_additie_hoog07[],8,FALSE)</f>
        <v/>
      </c>
      <c r="X61" s="29" t="str">
        <f>VLOOKUP($L61,OW_B_additie_hoog08[],8,FALSE)</f>
        <v/>
      </c>
      <c r="Y61" s="29" t="str">
        <f>VLOOKUP($L61,KAL_standaard_4_02[],8,FALSE)</f>
        <v/>
      </c>
      <c r="Z61" s="29" t="str">
        <f>VLOOKUP($L61,KAL_standaard_4_03[],8,FALSE)</f>
        <v/>
      </c>
      <c r="AA61" s="29" t="str">
        <f>VLOOKUP($L61,OW_B_additie_hoog09[],8,FALSE)</f>
        <v/>
      </c>
      <c r="AB61" s="29" t="str">
        <f>VLOOKUP($L61,OW_B_additie_hoog10[],8,FALSE)</f>
        <v/>
      </c>
      <c r="AC61" s="29" t="str">
        <f>VLOOKUP($L61,KAL_standaard_4_04[],8,FALSE)</f>
        <v/>
      </c>
      <c r="AD61" s="29" t="str">
        <f>VLOOKUP($L61,OW_B_additie_hoog11[],8,FALSE)</f>
        <v/>
      </c>
      <c r="AE61" s="29" t="str">
        <f>VLOOKUP($L61,OW_B_additie_hoog12[],8,FALSE)</f>
        <v/>
      </c>
      <c r="AF61" s="29" t="str">
        <f>VLOOKUP($L61,KAL_standaard_4_05[],8,FALSE)</f>
        <v/>
      </c>
      <c r="AG61" s="29" t="str">
        <f>VLOOKUP($L61,OW_B_additie_hoog13[],8,FALSE)</f>
        <v/>
      </c>
      <c r="AH61" s="29" t="str">
        <f>VLOOKUP($L61,OW_B_additie_hoog14[],8,FALSE)</f>
        <v/>
      </c>
      <c r="AI61" s="29" t="str">
        <f>VLOOKUP($L61,KAL_standaard_4_06[],8,FALSE)</f>
        <v/>
      </c>
      <c r="AJ61" s="29" t="str">
        <f>VLOOKUP($L61,OW_B_additie_hoog15[],8,FALSE)</f>
        <v/>
      </c>
      <c r="AK61" s="29" t="str">
        <f>VLOOKUP($L61,OW_B_additie_hoog16[],8,FALSE)</f>
        <v/>
      </c>
      <c r="AL61" s="29" t="str">
        <f>VLOOKUP($L61,KAL_standaard_4_07[],8,FALSE)</f>
        <v/>
      </c>
      <c r="AM61" s="29" t="str">
        <f>VLOOKUP($L61,OW_B_additie_hoog17[],8,FALSE)</f>
        <v/>
      </c>
      <c r="AN61" s="29" t="str">
        <f>VLOOKUP($L61,OW_B_additie_hoog18[],8,FALSE)</f>
        <v/>
      </c>
      <c r="AO61" s="29" t="str">
        <f>VLOOKUP($L61,KAL_standaard_4_08[],8,FALSE)</f>
        <v/>
      </c>
      <c r="AP61" s="28">
        <f t="shared" si="14"/>
        <v>0</v>
      </c>
      <c r="AQ61" s="29" t="str">
        <f t="shared" si="15"/>
        <v/>
      </c>
      <c r="AR61" s="21" t="str">
        <f t="shared" si="16"/>
        <v/>
      </c>
      <c r="AS61" s="27" cm="1">
        <f t="array" ref="AS61">_xlfn.IFS(AND(AR61&gt;='Punten verdeling'!$C$12,AR61&lt;='Punten verdeling'!$D$12),RATIO_U,AND(AR61&gt;'Punten verdeling'!C$13,AR61&lt;='Punten verdeling'!D$13),RATIO_G,AND(AR61&gt;'Punten verdeling'!C$14,AR61&lt;='Punten verdeling'!D$14),RATIO_V,AR61&gt;'Punten verdeling'!C$15,RATIO_O)</f>
        <v>0</v>
      </c>
    </row>
    <row r="62" spans="2:45" x14ac:dyDescent="0.2">
      <c r="B62" s="12" t="str">
        <f>$B$24</f>
        <v>Oxamyl</v>
      </c>
      <c r="C62" s="40">
        <v>24.249600000000004</v>
      </c>
      <c r="D62" s="46"/>
      <c r="E62" s="48"/>
      <c r="F62" s="48"/>
      <c r="G62" s="45"/>
      <c r="H62" s="40" t="str">
        <f t="shared" si="13"/>
        <v/>
      </c>
      <c r="I62" s="32" t="str">
        <f t="shared" si="11"/>
        <v/>
      </c>
      <c r="L62" s="19" t="str">
        <f t="shared" si="12"/>
        <v>Oxamyl</v>
      </c>
      <c r="M62" s="40" t="str">
        <f>VLOOKUP($L62,Kalibratie4[],8,FALSE)</f>
        <v/>
      </c>
      <c r="N62" s="71" t="str">
        <f>VLOOKUP($L62,Kalibratie5[],8,FALSE)</f>
        <v/>
      </c>
      <c r="O62" s="29" t="str">
        <f>VLOOKUP($L62,Kalibratie6[],8,FALSE)</f>
        <v/>
      </c>
      <c r="P62" s="29" t="str">
        <f>VLOOKUP($L62,KAL_standaard_4_01[],8,FALSE)</f>
        <v/>
      </c>
      <c r="Q62" s="29" t="str">
        <f>VLOOKUP($L62,OW_B_additie_hoog01[],8,FALSE)</f>
        <v/>
      </c>
      <c r="R62" s="29" t="str">
        <f>VLOOKUP($L62,OW_B_additie_hoog02[],8,FALSE)</f>
        <v/>
      </c>
      <c r="S62" s="29" t="str">
        <f>VLOOKUP($L62,OW_B_additie_hoog03[],8,FALSE)</f>
        <v/>
      </c>
      <c r="T62" s="29" t="str">
        <f>VLOOKUP($L62,OW_B_additie_hoog04[],8,FALSE)</f>
        <v/>
      </c>
      <c r="U62" s="29" t="str">
        <f>VLOOKUP($L62,OW_B_additie_hoog05[],8,FALSE)</f>
        <v/>
      </c>
      <c r="V62" s="29" t="str">
        <f>VLOOKUP($L62,OW_B_additie_hoog06[],8,FALSE)</f>
        <v/>
      </c>
      <c r="W62" s="29" t="str">
        <f>VLOOKUP($L62,OW_B_additie_hoog07[],8,FALSE)</f>
        <v/>
      </c>
      <c r="X62" s="29" t="str">
        <f>VLOOKUP($L62,OW_B_additie_hoog08[],8,FALSE)</f>
        <v/>
      </c>
      <c r="Y62" s="29" t="str">
        <f>VLOOKUP($L62,KAL_standaard_4_02[],8,FALSE)</f>
        <v/>
      </c>
      <c r="Z62" s="29" t="str">
        <f>VLOOKUP($L62,KAL_standaard_4_03[],8,FALSE)</f>
        <v/>
      </c>
      <c r="AA62" s="29" t="str">
        <f>VLOOKUP($L62,OW_B_additie_hoog09[],8,FALSE)</f>
        <v/>
      </c>
      <c r="AB62" s="29" t="str">
        <f>VLOOKUP($L62,OW_B_additie_hoog10[],8,FALSE)</f>
        <v/>
      </c>
      <c r="AC62" s="29" t="str">
        <f>VLOOKUP($L62,KAL_standaard_4_04[],8,FALSE)</f>
        <v/>
      </c>
      <c r="AD62" s="29" t="str">
        <f>VLOOKUP($L62,OW_B_additie_hoog11[],8,FALSE)</f>
        <v/>
      </c>
      <c r="AE62" s="29" t="str">
        <f>VLOOKUP($L62,OW_B_additie_hoog12[],8,FALSE)</f>
        <v/>
      </c>
      <c r="AF62" s="29" t="str">
        <f>VLOOKUP($L62,KAL_standaard_4_05[],8,FALSE)</f>
        <v/>
      </c>
      <c r="AG62" s="29" t="str">
        <f>VLOOKUP($L62,OW_B_additie_hoog13[],8,FALSE)</f>
        <v/>
      </c>
      <c r="AH62" s="29" t="str">
        <f>VLOOKUP($L62,OW_B_additie_hoog14[],8,FALSE)</f>
        <v/>
      </c>
      <c r="AI62" s="29" t="str">
        <f>VLOOKUP($L62,KAL_standaard_4_06[],8,FALSE)</f>
        <v/>
      </c>
      <c r="AJ62" s="29" t="str">
        <f>VLOOKUP($L62,OW_B_additie_hoog15[],8,FALSE)</f>
        <v/>
      </c>
      <c r="AK62" s="29" t="str">
        <f>VLOOKUP($L62,OW_B_additie_hoog16[],8,FALSE)</f>
        <v/>
      </c>
      <c r="AL62" s="29" t="str">
        <f>VLOOKUP($L62,KAL_standaard_4_07[],8,FALSE)</f>
        <v/>
      </c>
      <c r="AM62" s="29" t="str">
        <f>VLOOKUP($L62,OW_B_additie_hoog17[],8,FALSE)</f>
        <v/>
      </c>
      <c r="AN62" s="29" t="str">
        <f>VLOOKUP($L62,OW_B_additie_hoog18[],8,FALSE)</f>
        <v/>
      </c>
      <c r="AO62" s="29" t="str">
        <f>VLOOKUP($L62,KAL_standaard_4_08[],8,FALSE)</f>
        <v/>
      </c>
      <c r="AP62" s="28">
        <f t="shared" si="14"/>
        <v>0</v>
      </c>
      <c r="AQ62" s="29" t="str">
        <f t="shared" si="15"/>
        <v/>
      </c>
      <c r="AR62" s="21" t="str">
        <f t="shared" si="16"/>
        <v/>
      </c>
      <c r="AS62" s="27" cm="1">
        <f t="array" ref="AS62">_xlfn.IFS(AND(AR62&gt;='Punten verdeling'!$C$12,AR62&lt;='Punten verdeling'!$D$12),RATIO_U,AND(AR62&gt;'Punten verdeling'!C$13,AR62&lt;='Punten verdeling'!D$13),RATIO_G,AND(AR62&gt;'Punten verdeling'!C$14,AR62&lt;='Punten verdeling'!D$14),RATIO_V,AR62&gt;'Punten verdeling'!C$15,RATIO_O)</f>
        <v>0</v>
      </c>
    </row>
    <row r="63" spans="2:45" x14ac:dyDescent="0.2">
      <c r="B63" s="13" t="str">
        <f>$B$25</f>
        <v>Triallaat</v>
      </c>
      <c r="C63" s="41">
        <v>23.956800000000001</v>
      </c>
      <c r="D63" s="46"/>
      <c r="E63" s="48"/>
      <c r="F63" s="48"/>
      <c r="G63" s="45"/>
      <c r="H63" s="41" t="str">
        <f t="shared" si="13"/>
        <v/>
      </c>
      <c r="I63" s="32" t="str">
        <f t="shared" si="11"/>
        <v/>
      </c>
      <c r="L63" s="19" t="str">
        <f t="shared" si="12"/>
        <v>Triallaat</v>
      </c>
      <c r="M63" s="40" t="str">
        <f>VLOOKUP($L63,Kalibratie4[],8,FALSE)</f>
        <v/>
      </c>
      <c r="N63" s="71" t="str">
        <f>VLOOKUP($L63,Kalibratie5[],8,FALSE)</f>
        <v/>
      </c>
      <c r="O63" s="29" t="str">
        <f>VLOOKUP($L63,Kalibratie6[],8,FALSE)</f>
        <v/>
      </c>
      <c r="P63" s="29" t="str">
        <f>VLOOKUP($L63,KAL_standaard_4_01[],8,FALSE)</f>
        <v/>
      </c>
      <c r="Q63" s="29" t="str">
        <f>VLOOKUP($L63,OW_B_additie_hoog01[],8,FALSE)</f>
        <v/>
      </c>
      <c r="R63" s="29" t="str">
        <f>VLOOKUP($L63,OW_B_additie_hoog02[],8,FALSE)</f>
        <v/>
      </c>
      <c r="S63" s="29" t="str">
        <f>VLOOKUP($L63,OW_B_additie_hoog03[],8,FALSE)</f>
        <v/>
      </c>
      <c r="T63" s="29" t="str">
        <f>VLOOKUP($L63,OW_B_additie_hoog04[],8,FALSE)</f>
        <v/>
      </c>
      <c r="U63" s="29" t="str">
        <f>VLOOKUP($L63,OW_B_additie_hoog05[],8,FALSE)</f>
        <v/>
      </c>
      <c r="V63" s="29" t="str">
        <f>VLOOKUP($L63,OW_B_additie_hoog06[],8,FALSE)</f>
        <v/>
      </c>
      <c r="W63" s="29" t="str">
        <f>VLOOKUP($L63,OW_B_additie_hoog07[],8,FALSE)</f>
        <v/>
      </c>
      <c r="X63" s="29" t="str">
        <f>VLOOKUP($L63,OW_B_additie_hoog08[],8,FALSE)</f>
        <v/>
      </c>
      <c r="Y63" s="29" t="str">
        <f>VLOOKUP($L63,KAL_standaard_4_02[],8,FALSE)</f>
        <v/>
      </c>
      <c r="Z63" s="29" t="str">
        <f>VLOOKUP($L63,KAL_standaard_4_03[],8,FALSE)</f>
        <v/>
      </c>
      <c r="AA63" s="29" t="str">
        <f>VLOOKUP($L63,OW_B_additie_hoog09[],8,FALSE)</f>
        <v/>
      </c>
      <c r="AB63" s="29" t="str">
        <f>VLOOKUP($L63,OW_B_additie_hoog10[],8,FALSE)</f>
        <v/>
      </c>
      <c r="AC63" s="29" t="str">
        <f>VLOOKUP($L63,KAL_standaard_4_04[],8,FALSE)</f>
        <v/>
      </c>
      <c r="AD63" s="29" t="str">
        <f>VLOOKUP($L63,OW_B_additie_hoog11[],8,FALSE)</f>
        <v/>
      </c>
      <c r="AE63" s="29" t="str">
        <f>VLOOKUP($L63,OW_B_additie_hoog12[],8,FALSE)</f>
        <v/>
      </c>
      <c r="AF63" s="29" t="str">
        <f>VLOOKUP($L63,KAL_standaard_4_05[],8,FALSE)</f>
        <v/>
      </c>
      <c r="AG63" s="29" t="str">
        <f>VLOOKUP($L63,OW_B_additie_hoog13[],8,FALSE)</f>
        <v/>
      </c>
      <c r="AH63" s="29" t="str">
        <f>VLOOKUP($L63,OW_B_additie_hoog14[],8,FALSE)</f>
        <v/>
      </c>
      <c r="AI63" s="29" t="str">
        <f>VLOOKUP($L63,KAL_standaard_4_06[],8,FALSE)</f>
        <v/>
      </c>
      <c r="AJ63" s="29" t="str">
        <f>VLOOKUP($L63,OW_B_additie_hoog15[],8,FALSE)</f>
        <v/>
      </c>
      <c r="AK63" s="29" t="str">
        <f>VLOOKUP($L63,OW_B_additie_hoog16[],8,FALSE)</f>
        <v/>
      </c>
      <c r="AL63" s="29" t="str">
        <f>VLOOKUP($L63,KAL_standaard_4_07[],8,FALSE)</f>
        <v/>
      </c>
      <c r="AM63" s="29" t="str">
        <f>VLOOKUP($L63,OW_B_additie_hoog17[],8,FALSE)</f>
        <v/>
      </c>
      <c r="AN63" s="29" t="str">
        <f>VLOOKUP($L63,OW_B_additie_hoog18[],8,FALSE)</f>
        <v/>
      </c>
      <c r="AO63" s="29" t="str">
        <f>VLOOKUP($L63,KAL_standaard_4_08[],8,FALSE)</f>
        <v/>
      </c>
      <c r="AP63" s="28">
        <f t="shared" si="14"/>
        <v>0</v>
      </c>
      <c r="AQ63" s="29" t="str">
        <f t="shared" si="15"/>
        <v/>
      </c>
      <c r="AR63" s="21" t="str">
        <f t="shared" si="16"/>
        <v/>
      </c>
      <c r="AS63" s="27" cm="1">
        <f t="array" ref="AS63">_xlfn.IFS(AND(AR63&gt;='Punten verdeling'!$C$12,AR63&lt;='Punten verdeling'!$D$12),RATIO_U,AND(AR63&gt;'Punten verdeling'!C$13,AR63&lt;='Punten verdeling'!D$13),RATIO_G,AND(AR63&gt;'Punten verdeling'!C$14,AR63&lt;='Punten verdeling'!D$14),RATIO_V,AR63&gt;'Punten verdeling'!C$15,RATIO_O)</f>
        <v>0</v>
      </c>
    </row>
    <row r="64" spans="2:45" x14ac:dyDescent="0.2">
      <c r="AR64" s="10" t="s">
        <v>107</v>
      </c>
      <c r="AS64" s="3">
        <f>SUM(AS48:AS63)</f>
        <v>0</v>
      </c>
    </row>
    <row r="65" spans="2:24" ht="20.25" x14ac:dyDescent="0.3">
      <c r="B65" s="8" t="s">
        <v>28</v>
      </c>
      <c r="L65" s="4" t="s">
        <v>96</v>
      </c>
    </row>
    <row r="66" spans="2:24" ht="39" thickBot="1" x14ac:dyDescent="0.25">
      <c r="B66" s="15" t="s">
        <v>2</v>
      </c>
      <c r="C66" s="16" t="s">
        <v>3</v>
      </c>
      <c r="D66" s="16" t="s">
        <v>4</v>
      </c>
      <c r="E66" s="16" t="s">
        <v>161</v>
      </c>
      <c r="F66" s="16" t="s">
        <v>162</v>
      </c>
      <c r="G66" s="16" t="s">
        <v>5</v>
      </c>
      <c r="H66" s="43" t="s">
        <v>6</v>
      </c>
      <c r="I66" s="17" t="s">
        <v>7</v>
      </c>
      <c r="L66" s="25" t="s">
        <v>2</v>
      </c>
      <c r="M66" s="24" t="s">
        <v>61</v>
      </c>
      <c r="N66" s="68" t="s">
        <v>62</v>
      </c>
      <c r="O66" s="24" t="s">
        <v>63</v>
      </c>
      <c r="P66" s="24" t="s">
        <v>64</v>
      </c>
      <c r="Q66" s="24" t="s">
        <v>65</v>
      </c>
      <c r="R66" s="24" t="s">
        <v>66</v>
      </c>
      <c r="S66" s="24" t="s">
        <v>67</v>
      </c>
      <c r="T66" s="24" t="s">
        <v>68</v>
      </c>
      <c r="U66" s="24" t="s">
        <v>91</v>
      </c>
      <c r="V66" s="24" t="s">
        <v>97</v>
      </c>
      <c r="W66" s="24" t="s">
        <v>87</v>
      </c>
      <c r="X66" s="24" t="s">
        <v>123</v>
      </c>
    </row>
    <row r="67" spans="2:24" ht="13.5" thickTop="1" x14ac:dyDescent="0.2">
      <c r="B67" s="14" t="str">
        <f>$B$10</f>
        <v>Amisulbrom</v>
      </c>
      <c r="C67" s="22">
        <v>56.246399999999994</v>
      </c>
      <c r="D67" s="45"/>
      <c r="E67" s="47"/>
      <c r="F67" s="47"/>
      <c r="G67" s="45"/>
      <c r="H67" s="22" t="str">
        <f>IF(G67="","",100*G67/C67)</f>
        <v/>
      </c>
      <c r="I67" s="32" t="str">
        <f t="shared" ref="I67:I82" si="17">IFERROR(MIN(E67,F67)/MAX(E67,F67)*100,"")</f>
        <v/>
      </c>
      <c r="J67" s="79"/>
      <c r="L67" s="20" t="str">
        <f>L10</f>
        <v>Amisulbrom</v>
      </c>
      <c r="M67" s="22" t="str">
        <f>IF(VLOOKUP($L67,KAL_standaard_4_01[],7,FALSE)="","",VLOOKUP($L67,KAL_standaard_4_01[],7,FALSE))</f>
        <v/>
      </c>
      <c r="N67" s="69" t="str">
        <f>IF(VLOOKUP($L67,KAL_standaard_4_02[],7,FALSE)="","",VLOOKUP($L67,KAL_standaard_4_02[],7,FALSE))</f>
        <v/>
      </c>
      <c r="O67" s="22" t="str">
        <f>IF(VLOOKUP($L67,KAL_standaard_4_03[],7,FALSE)="","",VLOOKUP($L67,KAL_standaard_4_03[],7,FALSE))</f>
        <v/>
      </c>
      <c r="P67" s="22" t="str">
        <f>IF(VLOOKUP($L67,KAL_standaard_4_04[],7,FALSE)="","",VLOOKUP($L67,KAL_standaard_4_04[],7,FALSE))</f>
        <v/>
      </c>
      <c r="Q67" s="22" t="str">
        <f>IF(VLOOKUP($L67,KAL_standaard_4_05[],7,FALSE)="","",VLOOKUP($L67,KAL_standaard_4_05[],7,FALSE))</f>
        <v/>
      </c>
      <c r="R67" s="22" t="str">
        <f>IF(VLOOKUP($L67,KAL_standaard_4_06[],7,FALSE)="","",VLOOKUP($L67,KAL_standaard_4_06[],7,FALSE))</f>
        <v/>
      </c>
      <c r="S67" s="22" t="str">
        <f>IF(VLOOKUP($L67,KAL_standaard_4_07[],7,FALSE)="","",VLOOKUP($L67,KAL_standaard_4_07[],7,FALSE))</f>
        <v/>
      </c>
      <c r="T67" s="22" t="str">
        <f>IF(VLOOKUP($L67,KAL_standaard_4_08[],7,FALSE)="","",VLOOKUP($L67,KAL_standaard_4_08[],7,FALSE))</f>
        <v/>
      </c>
      <c r="U67" s="27">
        <f>COUNT(M67:T67)</f>
        <v>0</v>
      </c>
      <c r="V67" s="22" t="str">
        <f>IF(U67&lt;&gt;8,"",AVERAGE(M67:T67))</f>
        <v/>
      </c>
      <c r="W67" s="83" t="str">
        <f t="shared" ref="W67:W82" si="18">IF(U67&lt;&gt;8,"",STDEV(M67:T67))</f>
        <v/>
      </c>
      <c r="X67" s="27" cm="1">
        <f t="array" ref="X67">_xlfn.IFS(AND(W67&gt;='Punten verdeling'!$C$24,W67&lt;='Punten verdeling'!$D$24),DRIFT_U,AND(W67&gt;'Punten verdeling'!C$25,W67&lt;='Punten verdeling'!D$25),DRIFT_G,AND(W67&gt;'Punten verdeling'!C$26,W67&lt;='Punten verdeling'!D$26),DRIFT_V,W67&gt;'Punten verdeling'!C$27,DRIFT_O)</f>
        <v>0</v>
      </c>
    </row>
    <row r="68" spans="2:24" x14ac:dyDescent="0.2">
      <c r="B68" s="12" t="str">
        <f>$B$11</f>
        <v>Clothianidine</v>
      </c>
      <c r="C68" s="40">
        <v>55.675200000000004</v>
      </c>
      <c r="D68" s="46"/>
      <c r="E68" s="48"/>
      <c r="F68" s="48"/>
      <c r="G68" s="45"/>
      <c r="H68" s="40" t="str">
        <f t="shared" ref="H68:H82" si="19">IF(G68="","",100*G68/C68)</f>
        <v/>
      </c>
      <c r="I68" s="32" t="str">
        <f t="shared" si="17"/>
        <v/>
      </c>
      <c r="L68" s="19" t="str">
        <f t="shared" ref="L68:L82" si="20">L11</f>
        <v>Clothianidine</v>
      </c>
      <c r="M68" s="40" t="str">
        <f>IF(VLOOKUP($L68,KAL_standaard_4_01[],7,FALSE)="","",VLOOKUP($L68,KAL_standaard_4_01[],7,FALSE))</f>
        <v/>
      </c>
      <c r="N68" s="69" t="str">
        <f>IF(VLOOKUP($L68,KAL_standaard_4_02[],7,FALSE)="","",VLOOKUP($L68,KAL_standaard_4_02[],7,FALSE))</f>
        <v/>
      </c>
      <c r="O68" s="22" t="str">
        <f>IF(VLOOKUP($L68,KAL_standaard_4_03[],7,FALSE)="","",VLOOKUP($L68,KAL_standaard_4_03[],7,FALSE))</f>
        <v/>
      </c>
      <c r="P68" s="22" t="str">
        <f>IF(VLOOKUP($L68,KAL_standaard_4_04[],7,FALSE)="","",VLOOKUP($L68,KAL_standaard_4_04[],7,FALSE))</f>
        <v/>
      </c>
      <c r="Q68" s="22" t="str">
        <f>IF(VLOOKUP($L68,KAL_standaard_4_05[],7,FALSE)="","",VLOOKUP($L68,KAL_standaard_4_05[],7,FALSE))</f>
        <v/>
      </c>
      <c r="R68" s="22" t="str">
        <f>IF(VLOOKUP($L68,KAL_standaard_4_06[],7,FALSE)="","",VLOOKUP($L68,KAL_standaard_4_06[],7,FALSE))</f>
        <v/>
      </c>
      <c r="S68" s="22" t="str">
        <f>IF(VLOOKUP($L68,KAL_standaard_4_07[],7,FALSE)="","",VLOOKUP($L68,KAL_standaard_4_07[],7,FALSE))</f>
        <v/>
      </c>
      <c r="T68" s="22" t="str">
        <f>IF(VLOOKUP($L68,KAL_standaard_4_08[],7,FALSE)="","",VLOOKUP($L68,KAL_standaard_4_08[],7,FALSE))</f>
        <v/>
      </c>
      <c r="U68" s="28">
        <f t="shared" ref="U68:U82" si="21">COUNT(M68:T68)</f>
        <v>0</v>
      </c>
      <c r="V68" s="22" t="str">
        <f t="shared" ref="V68:V82" si="22">IF(U68&lt;&gt;8,"",AVERAGE(M68:T68))</f>
        <v/>
      </c>
      <c r="W68" s="83" t="str">
        <f t="shared" si="18"/>
        <v/>
      </c>
      <c r="X68" s="27" cm="1">
        <f t="array" ref="X68">_xlfn.IFS(AND(W68&gt;='Punten verdeling'!$C$24,W68&lt;='Punten verdeling'!$D$24),DRIFT_U,AND(W68&gt;'Punten verdeling'!C$25,W68&lt;='Punten verdeling'!D$25),DRIFT_G,AND(W68&gt;'Punten verdeling'!C$26,W68&lt;='Punten verdeling'!D$26),DRIFT_V,W68&gt;'Punten verdeling'!C$27,DRIFT_O)</f>
        <v>0</v>
      </c>
    </row>
    <row r="69" spans="2:24" x14ac:dyDescent="0.2">
      <c r="B69" s="12" t="str">
        <f>$B$12</f>
        <v>Cyazofamide</v>
      </c>
      <c r="C69" s="40">
        <v>56.022399999999998</v>
      </c>
      <c r="D69" s="46"/>
      <c r="E69" s="48"/>
      <c r="F69" s="48"/>
      <c r="G69" s="45"/>
      <c r="H69" s="40" t="str">
        <f t="shared" si="19"/>
        <v/>
      </c>
      <c r="I69" s="32" t="str">
        <f t="shared" si="17"/>
        <v/>
      </c>
      <c r="L69" s="19" t="str">
        <f t="shared" si="20"/>
        <v>Cyazofamide</v>
      </c>
      <c r="M69" s="40" t="str">
        <f>IF(VLOOKUP($L69,KAL_standaard_4_01[],7,FALSE)="","",VLOOKUP($L69,KAL_standaard_4_01[],7,FALSE))</f>
        <v/>
      </c>
      <c r="N69" s="69" t="str">
        <f>IF(VLOOKUP($L69,KAL_standaard_4_02[],7,FALSE)="","",VLOOKUP($L69,KAL_standaard_4_02[],7,FALSE))</f>
        <v/>
      </c>
      <c r="O69" s="22" t="str">
        <f>IF(VLOOKUP($L69,KAL_standaard_4_03[],7,FALSE)="","",VLOOKUP($L69,KAL_standaard_4_03[],7,FALSE))</f>
        <v/>
      </c>
      <c r="P69" s="22" t="str">
        <f>IF(VLOOKUP($L69,KAL_standaard_4_04[],7,FALSE)="","",VLOOKUP($L69,KAL_standaard_4_04[],7,FALSE))</f>
        <v/>
      </c>
      <c r="Q69" s="22" t="str">
        <f>IF(VLOOKUP($L69,KAL_standaard_4_05[],7,FALSE)="","",VLOOKUP($L69,KAL_standaard_4_05[],7,FALSE))</f>
        <v/>
      </c>
      <c r="R69" s="22" t="str">
        <f>IF(VLOOKUP($L69,KAL_standaard_4_06[],7,FALSE)="","",VLOOKUP($L69,KAL_standaard_4_06[],7,FALSE))</f>
        <v/>
      </c>
      <c r="S69" s="22" t="str">
        <f>IF(VLOOKUP($L69,KAL_standaard_4_07[],7,FALSE)="","",VLOOKUP($L69,KAL_standaard_4_07[],7,FALSE))</f>
        <v/>
      </c>
      <c r="T69" s="22" t="str">
        <f>IF(VLOOKUP($L69,KAL_standaard_4_08[],7,FALSE)="","",VLOOKUP($L69,KAL_standaard_4_08[],7,FALSE))</f>
        <v/>
      </c>
      <c r="U69" s="28">
        <f t="shared" si="21"/>
        <v>0</v>
      </c>
      <c r="V69" s="22" t="str">
        <f t="shared" si="22"/>
        <v/>
      </c>
      <c r="W69" s="83" t="str">
        <f t="shared" si="18"/>
        <v/>
      </c>
      <c r="X69" s="27" cm="1">
        <f t="array" ref="X69">_xlfn.IFS(AND(W69&gt;='Punten verdeling'!$C$24,W69&lt;='Punten verdeling'!$D$24),DRIFT_U,AND(W69&gt;'Punten verdeling'!C$25,W69&lt;='Punten verdeling'!D$25),DRIFT_G,AND(W69&gt;'Punten verdeling'!C$26,W69&lt;='Punten verdeling'!D$26),DRIFT_V,W69&gt;'Punten verdeling'!C$27,DRIFT_O)</f>
        <v>0</v>
      </c>
    </row>
    <row r="70" spans="2:24" x14ac:dyDescent="0.2">
      <c r="B70" s="12" t="str">
        <f>$B$13</f>
        <v>Cymoxanil</v>
      </c>
      <c r="C70" s="40">
        <v>55.882399999999997</v>
      </c>
      <c r="D70" s="46"/>
      <c r="E70" s="48"/>
      <c r="F70" s="48"/>
      <c r="G70" s="45"/>
      <c r="H70" s="40" t="str">
        <f t="shared" si="19"/>
        <v/>
      </c>
      <c r="I70" s="32" t="str">
        <f t="shared" si="17"/>
        <v/>
      </c>
      <c r="L70" s="19" t="str">
        <f t="shared" si="20"/>
        <v>Cymoxanil</v>
      </c>
      <c r="M70" s="40" t="str">
        <f>IF(VLOOKUP($L70,KAL_standaard_4_01[],7,FALSE)="","",VLOOKUP($L70,KAL_standaard_4_01[],7,FALSE))</f>
        <v/>
      </c>
      <c r="N70" s="69" t="str">
        <f>IF(VLOOKUP($L70,KAL_standaard_4_02[],7,FALSE)="","",VLOOKUP($L70,KAL_standaard_4_02[],7,FALSE))</f>
        <v/>
      </c>
      <c r="O70" s="22" t="str">
        <f>IF(VLOOKUP($L70,KAL_standaard_4_03[],7,FALSE)="","",VLOOKUP($L70,KAL_standaard_4_03[],7,FALSE))</f>
        <v/>
      </c>
      <c r="P70" s="22" t="str">
        <f>IF(VLOOKUP($L70,KAL_standaard_4_04[],7,FALSE)="","",VLOOKUP($L70,KAL_standaard_4_04[],7,FALSE))</f>
        <v/>
      </c>
      <c r="Q70" s="22" t="str">
        <f>IF(VLOOKUP($L70,KAL_standaard_4_05[],7,FALSE)="","",VLOOKUP($L70,KAL_standaard_4_05[],7,FALSE))</f>
        <v/>
      </c>
      <c r="R70" s="22" t="str">
        <f>IF(VLOOKUP($L70,KAL_standaard_4_06[],7,FALSE)="","",VLOOKUP($L70,KAL_standaard_4_06[],7,FALSE))</f>
        <v/>
      </c>
      <c r="S70" s="22" t="str">
        <f>IF(VLOOKUP($L70,KAL_standaard_4_07[],7,FALSE)="","",VLOOKUP($L70,KAL_standaard_4_07[],7,FALSE))</f>
        <v/>
      </c>
      <c r="T70" s="22" t="str">
        <f>IF(VLOOKUP($L70,KAL_standaard_4_08[],7,FALSE)="","",VLOOKUP($L70,KAL_standaard_4_08[],7,FALSE))</f>
        <v/>
      </c>
      <c r="U70" s="28">
        <f t="shared" si="21"/>
        <v>0</v>
      </c>
      <c r="V70" s="22" t="str">
        <f t="shared" si="22"/>
        <v/>
      </c>
      <c r="W70" s="83" t="str">
        <f t="shared" si="18"/>
        <v/>
      </c>
      <c r="X70" s="27" cm="1">
        <f t="array" ref="X70">_xlfn.IFS(AND(W70&gt;='Punten verdeling'!$C$24,W70&lt;='Punten verdeling'!$D$24),DRIFT_U,AND(W70&gt;'Punten verdeling'!C$25,W70&lt;='Punten verdeling'!D$25),DRIFT_G,AND(W70&gt;'Punten verdeling'!C$26,W70&lt;='Punten verdeling'!D$26),DRIFT_V,W70&gt;'Punten verdeling'!C$27,DRIFT_O)</f>
        <v>0</v>
      </c>
    </row>
    <row r="71" spans="2:24" x14ac:dyDescent="0.2">
      <c r="B71" s="12" t="str">
        <f>$B$14</f>
        <v>Desmedifam</v>
      </c>
      <c r="C71" s="40">
        <v>56.145600000000016</v>
      </c>
      <c r="D71" s="46"/>
      <c r="E71" s="48"/>
      <c r="F71" s="48"/>
      <c r="G71" s="45"/>
      <c r="H71" s="40" t="str">
        <f t="shared" si="19"/>
        <v/>
      </c>
      <c r="I71" s="32" t="str">
        <f t="shared" si="17"/>
        <v/>
      </c>
      <c r="L71" s="19" t="str">
        <f t="shared" si="20"/>
        <v>Desmedifam</v>
      </c>
      <c r="M71" s="40" t="str">
        <f>IF(VLOOKUP($L71,KAL_standaard_4_01[],7,FALSE)="","",VLOOKUP($L71,KAL_standaard_4_01[],7,FALSE))</f>
        <v/>
      </c>
      <c r="N71" s="69" t="str">
        <f>IF(VLOOKUP($L71,KAL_standaard_4_02[],7,FALSE)="","",VLOOKUP($L71,KAL_standaard_4_02[],7,FALSE))</f>
        <v/>
      </c>
      <c r="O71" s="22" t="str">
        <f>IF(VLOOKUP($L71,KAL_standaard_4_03[],7,FALSE)="","",VLOOKUP($L71,KAL_standaard_4_03[],7,FALSE))</f>
        <v/>
      </c>
      <c r="P71" s="22" t="str">
        <f>IF(VLOOKUP($L71,KAL_standaard_4_04[],7,FALSE)="","",VLOOKUP($L71,KAL_standaard_4_04[],7,FALSE))</f>
        <v/>
      </c>
      <c r="Q71" s="22" t="str">
        <f>IF(VLOOKUP($L71,KAL_standaard_4_05[],7,FALSE)="","",VLOOKUP($L71,KAL_standaard_4_05[],7,FALSE))</f>
        <v/>
      </c>
      <c r="R71" s="22" t="str">
        <f>IF(VLOOKUP($L71,KAL_standaard_4_06[],7,FALSE)="","",VLOOKUP($L71,KAL_standaard_4_06[],7,FALSE))</f>
        <v/>
      </c>
      <c r="S71" s="22" t="str">
        <f>IF(VLOOKUP($L71,KAL_standaard_4_07[],7,FALSE)="","",VLOOKUP($L71,KAL_standaard_4_07[],7,FALSE))</f>
        <v/>
      </c>
      <c r="T71" s="22" t="str">
        <f>IF(VLOOKUP($L71,KAL_standaard_4_08[],7,FALSE)="","",VLOOKUP($L71,KAL_standaard_4_08[],7,FALSE))</f>
        <v/>
      </c>
      <c r="U71" s="28">
        <f t="shared" si="21"/>
        <v>0</v>
      </c>
      <c r="V71" s="22" t="str">
        <f t="shared" si="22"/>
        <v/>
      </c>
      <c r="W71" s="83" t="str">
        <f t="shared" si="18"/>
        <v/>
      </c>
      <c r="X71" s="27" cm="1">
        <f t="array" ref="X71">_xlfn.IFS(AND(W71&gt;='Punten verdeling'!$C$24,W71&lt;='Punten verdeling'!$D$24),DRIFT_U,AND(W71&gt;'Punten verdeling'!C$25,W71&lt;='Punten verdeling'!D$25),DRIFT_G,AND(W71&gt;'Punten verdeling'!C$26,W71&lt;='Punten verdeling'!D$26),DRIFT_V,W71&gt;'Punten verdeling'!C$27,DRIFT_O)</f>
        <v>0</v>
      </c>
    </row>
    <row r="72" spans="2:24" x14ac:dyDescent="0.2">
      <c r="B72" s="12" t="str">
        <f>$B$15</f>
        <v>Fenmedifam</v>
      </c>
      <c r="C72" s="40">
        <v>55.955200000000005</v>
      </c>
      <c r="D72" s="46"/>
      <c r="E72" s="48"/>
      <c r="F72" s="48"/>
      <c r="G72" s="45"/>
      <c r="H72" s="40" t="str">
        <f t="shared" si="19"/>
        <v/>
      </c>
      <c r="I72" s="32" t="str">
        <f t="shared" si="17"/>
        <v/>
      </c>
      <c r="L72" s="19" t="str">
        <f t="shared" si="20"/>
        <v>Fenmedifam</v>
      </c>
      <c r="M72" s="40" t="str">
        <f>IF(VLOOKUP($L72,KAL_standaard_4_01[],7,FALSE)="","",VLOOKUP($L72,KAL_standaard_4_01[],7,FALSE))</f>
        <v/>
      </c>
      <c r="N72" s="69" t="str">
        <f>IF(VLOOKUP($L72,KAL_standaard_4_02[],7,FALSE)="","",VLOOKUP($L72,KAL_standaard_4_02[],7,FALSE))</f>
        <v/>
      </c>
      <c r="O72" s="22" t="str">
        <f>IF(VLOOKUP($L72,KAL_standaard_4_03[],7,FALSE)="","",VLOOKUP($L72,KAL_standaard_4_03[],7,FALSE))</f>
        <v/>
      </c>
      <c r="P72" s="22" t="str">
        <f>IF(VLOOKUP($L72,KAL_standaard_4_04[],7,FALSE)="","",VLOOKUP($L72,KAL_standaard_4_04[],7,FALSE))</f>
        <v/>
      </c>
      <c r="Q72" s="22" t="str">
        <f>IF(VLOOKUP($L72,KAL_standaard_4_05[],7,FALSE)="","",VLOOKUP($L72,KAL_standaard_4_05[],7,FALSE))</f>
        <v/>
      </c>
      <c r="R72" s="22" t="str">
        <f>IF(VLOOKUP($L72,KAL_standaard_4_06[],7,FALSE)="","",VLOOKUP($L72,KAL_standaard_4_06[],7,FALSE))</f>
        <v/>
      </c>
      <c r="S72" s="22" t="str">
        <f>IF(VLOOKUP($L72,KAL_standaard_4_07[],7,FALSE)="","",VLOOKUP($L72,KAL_standaard_4_07[],7,FALSE))</f>
        <v/>
      </c>
      <c r="T72" s="22" t="str">
        <f>IF(VLOOKUP($L72,KAL_standaard_4_08[],7,FALSE)="","",VLOOKUP($L72,KAL_standaard_4_08[],7,FALSE))</f>
        <v/>
      </c>
      <c r="U72" s="28">
        <f t="shared" si="21"/>
        <v>0</v>
      </c>
      <c r="V72" s="22" t="str">
        <f t="shared" si="22"/>
        <v/>
      </c>
      <c r="W72" s="83" t="str">
        <f t="shared" si="18"/>
        <v/>
      </c>
      <c r="X72" s="27" cm="1">
        <f t="array" ref="X72">_xlfn.IFS(AND(W72&gt;='Punten verdeling'!$C$24,W72&lt;='Punten verdeling'!$D$24),DRIFT_U,AND(W72&gt;'Punten verdeling'!C$25,W72&lt;='Punten verdeling'!D$25),DRIFT_G,AND(W72&gt;'Punten verdeling'!C$26,W72&lt;='Punten verdeling'!D$26),DRIFT_V,W72&gt;'Punten verdeling'!C$27,DRIFT_O)</f>
        <v>0</v>
      </c>
    </row>
    <row r="73" spans="2:24" x14ac:dyDescent="0.2">
      <c r="B73" s="12" t="str">
        <f>$B$16</f>
        <v>Fenoxycarb</v>
      </c>
      <c r="C73" s="40">
        <v>57.142399999999995</v>
      </c>
      <c r="D73" s="46"/>
      <c r="E73" s="48"/>
      <c r="F73" s="48"/>
      <c r="G73" s="45"/>
      <c r="H73" s="40" t="str">
        <f t="shared" si="19"/>
        <v/>
      </c>
      <c r="I73" s="32" t="str">
        <f t="shared" si="17"/>
        <v/>
      </c>
      <c r="L73" s="19" t="str">
        <f t="shared" si="20"/>
        <v>Fenoxycarb</v>
      </c>
      <c r="M73" s="40" t="str">
        <f>IF(VLOOKUP($L73,KAL_standaard_4_01[],7,FALSE)="","",VLOOKUP($L73,KAL_standaard_4_01[],7,FALSE))</f>
        <v/>
      </c>
      <c r="N73" s="69" t="str">
        <f>IF(VLOOKUP($L73,KAL_standaard_4_02[],7,FALSE)="","",VLOOKUP($L73,KAL_standaard_4_02[],7,FALSE))</f>
        <v/>
      </c>
      <c r="O73" s="22" t="str">
        <f>IF(VLOOKUP($L73,KAL_standaard_4_03[],7,FALSE)="","",VLOOKUP($L73,KAL_standaard_4_03[],7,FALSE))</f>
        <v/>
      </c>
      <c r="P73" s="22" t="str">
        <f>IF(VLOOKUP($L73,KAL_standaard_4_04[],7,FALSE)="","",VLOOKUP($L73,KAL_standaard_4_04[],7,FALSE))</f>
        <v/>
      </c>
      <c r="Q73" s="22" t="str">
        <f>IF(VLOOKUP($L73,KAL_standaard_4_05[],7,FALSE)="","",VLOOKUP($L73,KAL_standaard_4_05[],7,FALSE))</f>
        <v/>
      </c>
      <c r="R73" s="22" t="str">
        <f>IF(VLOOKUP($L73,KAL_standaard_4_06[],7,FALSE)="","",VLOOKUP($L73,KAL_standaard_4_06[],7,FALSE))</f>
        <v/>
      </c>
      <c r="S73" s="22" t="str">
        <f>IF(VLOOKUP($L73,KAL_standaard_4_07[],7,FALSE)="","",VLOOKUP($L73,KAL_standaard_4_07[],7,FALSE))</f>
        <v/>
      </c>
      <c r="T73" s="22" t="str">
        <f>IF(VLOOKUP($L73,KAL_standaard_4_08[],7,FALSE)="","",VLOOKUP($L73,KAL_standaard_4_08[],7,FALSE))</f>
        <v/>
      </c>
      <c r="U73" s="28">
        <f t="shared" si="21"/>
        <v>0</v>
      </c>
      <c r="V73" s="22" t="str">
        <f t="shared" si="22"/>
        <v/>
      </c>
      <c r="W73" s="83" t="str">
        <f t="shared" si="18"/>
        <v/>
      </c>
      <c r="X73" s="27" cm="1">
        <f t="array" ref="X73">_xlfn.IFS(AND(W73&gt;='Punten verdeling'!$C$24,W73&lt;='Punten verdeling'!$D$24),DRIFT_U,AND(W73&gt;'Punten verdeling'!C$25,W73&lt;='Punten verdeling'!D$25),DRIFT_G,AND(W73&gt;'Punten verdeling'!C$26,W73&lt;='Punten verdeling'!D$26),DRIFT_V,W73&gt;'Punten verdeling'!C$27,DRIFT_O)</f>
        <v>0</v>
      </c>
    </row>
    <row r="74" spans="2:24" x14ac:dyDescent="0.2">
      <c r="B74" s="12" t="str">
        <f>$B$17</f>
        <v>Fipronil</v>
      </c>
      <c r="C74" s="40">
        <v>56.072799999999987</v>
      </c>
      <c r="D74" s="46"/>
      <c r="E74" s="48"/>
      <c r="F74" s="48"/>
      <c r="G74" s="45"/>
      <c r="H74" s="40" t="str">
        <f t="shared" si="19"/>
        <v/>
      </c>
      <c r="I74" s="32" t="str">
        <f t="shared" si="17"/>
        <v/>
      </c>
      <c r="L74" s="19" t="str">
        <f t="shared" si="20"/>
        <v>Fipronil</v>
      </c>
      <c r="M74" s="40" t="str">
        <f>IF(VLOOKUP($L74,KAL_standaard_4_01[],7,FALSE)="","",VLOOKUP($L74,KAL_standaard_4_01[],7,FALSE))</f>
        <v/>
      </c>
      <c r="N74" s="69" t="str">
        <f>IF(VLOOKUP($L74,KAL_standaard_4_02[],7,FALSE)="","",VLOOKUP($L74,KAL_standaard_4_02[],7,FALSE))</f>
        <v/>
      </c>
      <c r="O74" s="22" t="str">
        <f>IF(VLOOKUP($L74,KAL_standaard_4_03[],7,FALSE)="","",VLOOKUP($L74,KAL_standaard_4_03[],7,FALSE))</f>
        <v/>
      </c>
      <c r="P74" s="22" t="str">
        <f>IF(VLOOKUP($L74,KAL_standaard_4_04[],7,FALSE)="","",VLOOKUP($L74,KAL_standaard_4_04[],7,FALSE))</f>
        <v/>
      </c>
      <c r="Q74" s="22" t="str">
        <f>IF(VLOOKUP($L74,KAL_standaard_4_05[],7,FALSE)="","",VLOOKUP($L74,KAL_standaard_4_05[],7,FALSE))</f>
        <v/>
      </c>
      <c r="R74" s="22" t="str">
        <f>IF(VLOOKUP($L74,KAL_standaard_4_06[],7,FALSE)="","",VLOOKUP($L74,KAL_standaard_4_06[],7,FALSE))</f>
        <v/>
      </c>
      <c r="S74" s="22" t="str">
        <f>IF(VLOOKUP($L74,KAL_standaard_4_07[],7,FALSE)="","",VLOOKUP($L74,KAL_standaard_4_07[],7,FALSE))</f>
        <v/>
      </c>
      <c r="T74" s="22" t="str">
        <f>IF(VLOOKUP($L74,KAL_standaard_4_08[],7,FALSE)="","",VLOOKUP($L74,KAL_standaard_4_08[],7,FALSE))</f>
        <v/>
      </c>
      <c r="U74" s="28">
        <f t="shared" si="21"/>
        <v>0</v>
      </c>
      <c r="V74" s="22" t="str">
        <f t="shared" si="22"/>
        <v/>
      </c>
      <c r="W74" s="83" t="str">
        <f t="shared" si="18"/>
        <v/>
      </c>
      <c r="X74" s="27" cm="1">
        <f t="array" ref="X74">_xlfn.IFS(AND(W74&gt;='Punten verdeling'!$C$24,W74&lt;='Punten verdeling'!$D$24),DRIFT_U,AND(W74&gt;'Punten verdeling'!C$25,W74&lt;='Punten verdeling'!D$25),DRIFT_G,AND(W74&gt;'Punten verdeling'!C$26,W74&lt;='Punten verdeling'!D$26),DRIFT_V,W74&gt;'Punten verdeling'!C$27,DRIFT_O)</f>
        <v>0</v>
      </c>
    </row>
    <row r="75" spans="2:24" x14ac:dyDescent="0.2">
      <c r="B75" s="12" t="str">
        <f>$B$18</f>
        <v>Florasulam</v>
      </c>
      <c r="C75" s="40">
        <v>56.285600000000002</v>
      </c>
      <c r="D75" s="46"/>
      <c r="E75" s="48"/>
      <c r="F75" s="48"/>
      <c r="G75" s="45"/>
      <c r="H75" s="40" t="str">
        <f t="shared" si="19"/>
        <v/>
      </c>
      <c r="I75" s="32" t="str">
        <f t="shared" si="17"/>
        <v/>
      </c>
      <c r="L75" s="19" t="str">
        <f t="shared" si="20"/>
        <v>Florasulam</v>
      </c>
      <c r="M75" s="40" t="str">
        <f>IF(VLOOKUP($L75,KAL_standaard_4_01[],7,FALSE)="","",VLOOKUP($L75,KAL_standaard_4_01[],7,FALSE))</f>
        <v/>
      </c>
      <c r="N75" s="69" t="str">
        <f>IF(VLOOKUP($L75,KAL_standaard_4_02[],7,FALSE)="","",VLOOKUP($L75,KAL_standaard_4_02[],7,FALSE))</f>
        <v/>
      </c>
      <c r="O75" s="22" t="str">
        <f>IF(VLOOKUP($L75,KAL_standaard_4_03[],7,FALSE)="","",VLOOKUP($L75,KAL_standaard_4_03[],7,FALSE))</f>
        <v/>
      </c>
      <c r="P75" s="22" t="str">
        <f>IF(VLOOKUP($L75,KAL_standaard_4_04[],7,FALSE)="","",VLOOKUP($L75,KAL_standaard_4_04[],7,FALSE))</f>
        <v/>
      </c>
      <c r="Q75" s="22" t="str">
        <f>IF(VLOOKUP($L75,KAL_standaard_4_05[],7,FALSE)="","",VLOOKUP($L75,KAL_standaard_4_05[],7,FALSE))</f>
        <v/>
      </c>
      <c r="R75" s="22" t="str">
        <f>IF(VLOOKUP($L75,KAL_standaard_4_06[],7,FALSE)="","",VLOOKUP($L75,KAL_standaard_4_06[],7,FALSE))</f>
        <v/>
      </c>
      <c r="S75" s="22" t="str">
        <f>IF(VLOOKUP($L75,KAL_standaard_4_07[],7,FALSE)="","",VLOOKUP($L75,KAL_standaard_4_07[],7,FALSE))</f>
        <v/>
      </c>
      <c r="T75" s="22" t="str">
        <f>IF(VLOOKUP($L75,KAL_standaard_4_08[],7,FALSE)="","",VLOOKUP($L75,KAL_standaard_4_08[],7,FALSE))</f>
        <v/>
      </c>
      <c r="U75" s="28">
        <f t="shared" si="21"/>
        <v>0</v>
      </c>
      <c r="V75" s="22" t="str">
        <f t="shared" si="22"/>
        <v/>
      </c>
      <c r="W75" s="83" t="str">
        <f t="shared" si="18"/>
        <v/>
      </c>
      <c r="X75" s="27" cm="1">
        <f t="array" ref="X75">_xlfn.IFS(AND(W75&gt;='Punten verdeling'!$C$24,W75&lt;='Punten verdeling'!$D$24),DRIFT_U,AND(W75&gt;'Punten verdeling'!C$25,W75&lt;='Punten verdeling'!D$25),DRIFT_G,AND(W75&gt;'Punten verdeling'!C$26,W75&lt;='Punten verdeling'!D$26),DRIFT_V,W75&gt;'Punten verdeling'!C$27,DRIFT_O)</f>
        <v>0</v>
      </c>
    </row>
    <row r="76" spans="2:24" x14ac:dyDescent="0.2">
      <c r="B76" s="12" t="str">
        <f>$B$19</f>
        <v>Fluazifop-P-butyl</v>
      </c>
      <c r="C76" s="40">
        <v>56.363999999999997</v>
      </c>
      <c r="D76" s="46"/>
      <c r="E76" s="48"/>
      <c r="F76" s="48"/>
      <c r="G76" s="45"/>
      <c r="H76" s="40" t="str">
        <f t="shared" si="19"/>
        <v/>
      </c>
      <c r="I76" s="32" t="str">
        <f t="shared" si="17"/>
        <v/>
      </c>
      <c r="L76" s="19" t="str">
        <f t="shared" si="20"/>
        <v>Fluazifop-P-butyl</v>
      </c>
      <c r="M76" s="40" t="str">
        <f>IF(VLOOKUP($L76,KAL_standaard_4_01[],7,FALSE)="","",VLOOKUP($L76,KAL_standaard_4_01[],7,FALSE))</f>
        <v/>
      </c>
      <c r="N76" s="69" t="str">
        <f>IF(VLOOKUP($L76,KAL_standaard_4_02[],7,FALSE)="","",VLOOKUP($L76,KAL_standaard_4_02[],7,FALSE))</f>
        <v/>
      </c>
      <c r="O76" s="22" t="str">
        <f>IF(VLOOKUP($L76,KAL_standaard_4_03[],7,FALSE)="","",VLOOKUP($L76,KAL_standaard_4_03[],7,FALSE))</f>
        <v/>
      </c>
      <c r="P76" s="22" t="str">
        <f>IF(VLOOKUP($L76,KAL_standaard_4_04[],7,FALSE)="","",VLOOKUP($L76,KAL_standaard_4_04[],7,FALSE))</f>
        <v/>
      </c>
      <c r="Q76" s="22" t="str">
        <f>IF(VLOOKUP($L76,KAL_standaard_4_05[],7,FALSE)="","",VLOOKUP($L76,KAL_standaard_4_05[],7,FALSE))</f>
        <v/>
      </c>
      <c r="R76" s="22" t="str">
        <f>IF(VLOOKUP($L76,KAL_standaard_4_06[],7,FALSE)="","",VLOOKUP($L76,KAL_standaard_4_06[],7,FALSE))</f>
        <v/>
      </c>
      <c r="S76" s="22" t="str">
        <f>IF(VLOOKUP($L76,KAL_standaard_4_07[],7,FALSE)="","",VLOOKUP($L76,KAL_standaard_4_07[],7,FALSE))</f>
        <v/>
      </c>
      <c r="T76" s="22" t="str">
        <f>IF(VLOOKUP($L76,KAL_standaard_4_08[],7,FALSE)="","",VLOOKUP($L76,KAL_standaard_4_08[],7,FALSE))</f>
        <v/>
      </c>
      <c r="U76" s="28">
        <f t="shared" si="21"/>
        <v>0</v>
      </c>
      <c r="V76" s="22" t="str">
        <f t="shared" si="22"/>
        <v/>
      </c>
      <c r="W76" s="83" t="str">
        <f t="shared" si="18"/>
        <v/>
      </c>
      <c r="X76" s="27" cm="1">
        <f t="array" ref="X76">_xlfn.IFS(AND(W76&gt;='Punten verdeling'!$C$24,W76&lt;='Punten verdeling'!$D$24),DRIFT_U,AND(W76&gt;'Punten verdeling'!C$25,W76&lt;='Punten verdeling'!D$25),DRIFT_G,AND(W76&gt;'Punten verdeling'!C$26,W76&lt;='Punten verdeling'!D$26),DRIFT_V,W76&gt;'Punten verdeling'!C$27,DRIFT_O)</f>
        <v>0</v>
      </c>
    </row>
    <row r="77" spans="2:24" x14ac:dyDescent="0.2">
      <c r="B77" s="12" t="str">
        <f>$B$20</f>
        <v>Fluazinam</v>
      </c>
      <c r="C77" s="40">
        <v>56.537599999999991</v>
      </c>
      <c r="D77" s="46"/>
      <c r="E77" s="48"/>
      <c r="F77" s="48"/>
      <c r="G77" s="45"/>
      <c r="H77" s="40" t="str">
        <f t="shared" si="19"/>
        <v/>
      </c>
      <c r="I77" s="32" t="str">
        <f t="shared" si="17"/>
        <v/>
      </c>
      <c r="L77" s="19" t="str">
        <f t="shared" si="20"/>
        <v>Fluazinam</v>
      </c>
      <c r="M77" s="40" t="str">
        <f>IF(VLOOKUP($L77,KAL_standaard_4_01[],7,FALSE)="","",VLOOKUP($L77,KAL_standaard_4_01[],7,FALSE))</f>
        <v/>
      </c>
      <c r="N77" s="69" t="str">
        <f>IF(VLOOKUP($L77,KAL_standaard_4_02[],7,FALSE)="","",VLOOKUP($L77,KAL_standaard_4_02[],7,FALSE))</f>
        <v/>
      </c>
      <c r="O77" s="22" t="str">
        <f>IF(VLOOKUP($L77,KAL_standaard_4_03[],7,FALSE)="","",VLOOKUP($L77,KAL_standaard_4_03[],7,FALSE))</f>
        <v/>
      </c>
      <c r="P77" s="22" t="str">
        <f>IF(VLOOKUP($L77,KAL_standaard_4_04[],7,FALSE)="","",VLOOKUP($L77,KAL_standaard_4_04[],7,FALSE))</f>
        <v/>
      </c>
      <c r="Q77" s="22" t="str">
        <f>IF(VLOOKUP($L77,KAL_standaard_4_05[],7,FALSE)="","",VLOOKUP($L77,KAL_standaard_4_05[],7,FALSE))</f>
        <v/>
      </c>
      <c r="R77" s="22" t="str">
        <f>IF(VLOOKUP($L77,KAL_standaard_4_06[],7,FALSE)="","",VLOOKUP($L77,KAL_standaard_4_06[],7,FALSE))</f>
        <v/>
      </c>
      <c r="S77" s="22" t="str">
        <f>IF(VLOOKUP($L77,KAL_standaard_4_07[],7,FALSE)="","",VLOOKUP($L77,KAL_standaard_4_07[],7,FALSE))</f>
        <v/>
      </c>
      <c r="T77" s="22" t="str">
        <f>IF(VLOOKUP($L77,KAL_standaard_4_08[],7,FALSE)="","",VLOOKUP($L77,KAL_standaard_4_08[],7,FALSE))</f>
        <v/>
      </c>
      <c r="U77" s="28">
        <f t="shared" si="21"/>
        <v>0</v>
      </c>
      <c r="V77" s="22" t="str">
        <f t="shared" si="22"/>
        <v/>
      </c>
      <c r="W77" s="83" t="str">
        <f t="shared" si="18"/>
        <v/>
      </c>
      <c r="X77" s="27" cm="1">
        <f t="array" ref="X77">_xlfn.IFS(AND(W77&gt;='Punten verdeling'!$C$24,W77&lt;='Punten verdeling'!$D$24),DRIFT_U,AND(W77&gt;'Punten verdeling'!C$25,W77&lt;='Punten verdeling'!D$25),DRIFT_G,AND(W77&gt;'Punten verdeling'!C$26,W77&lt;='Punten verdeling'!D$26),DRIFT_V,W77&gt;'Punten verdeling'!C$27,DRIFT_O)</f>
        <v>0</v>
      </c>
    </row>
    <row r="78" spans="2:24" x14ac:dyDescent="0.2">
      <c r="B78" s="12" t="str">
        <f>$B$21</f>
        <v>Fludioxonil</v>
      </c>
      <c r="C78" s="40">
        <v>56.14</v>
      </c>
      <c r="D78" s="46"/>
      <c r="E78" s="48"/>
      <c r="F78" s="48"/>
      <c r="G78" s="45"/>
      <c r="H78" s="40" t="str">
        <f t="shared" si="19"/>
        <v/>
      </c>
      <c r="I78" s="32" t="str">
        <f t="shared" si="17"/>
        <v/>
      </c>
      <c r="L78" s="19" t="str">
        <f t="shared" si="20"/>
        <v>Fludioxonil</v>
      </c>
      <c r="M78" s="40" t="str">
        <f>IF(VLOOKUP($L78,KAL_standaard_4_01[],7,FALSE)="","",VLOOKUP($L78,KAL_standaard_4_01[],7,FALSE))</f>
        <v/>
      </c>
      <c r="N78" s="69" t="str">
        <f>IF(VLOOKUP($L78,KAL_standaard_4_02[],7,FALSE)="","",VLOOKUP($L78,KAL_standaard_4_02[],7,FALSE))</f>
        <v/>
      </c>
      <c r="O78" s="22" t="str">
        <f>IF(VLOOKUP($L78,KAL_standaard_4_03[],7,FALSE)="","",VLOOKUP($L78,KAL_standaard_4_03[],7,FALSE))</f>
        <v/>
      </c>
      <c r="P78" s="22" t="str">
        <f>IF(VLOOKUP($L78,KAL_standaard_4_04[],7,FALSE)="","",VLOOKUP($L78,KAL_standaard_4_04[],7,FALSE))</f>
        <v/>
      </c>
      <c r="Q78" s="22" t="str">
        <f>IF(VLOOKUP($L78,KAL_standaard_4_05[],7,FALSE)="","",VLOOKUP($L78,KAL_standaard_4_05[],7,FALSE))</f>
        <v/>
      </c>
      <c r="R78" s="22" t="str">
        <f>IF(VLOOKUP($L78,KAL_standaard_4_06[],7,FALSE)="","",VLOOKUP($L78,KAL_standaard_4_06[],7,FALSE))</f>
        <v/>
      </c>
      <c r="S78" s="22" t="str">
        <f>IF(VLOOKUP($L78,KAL_standaard_4_07[],7,FALSE)="","",VLOOKUP($L78,KAL_standaard_4_07[],7,FALSE))</f>
        <v/>
      </c>
      <c r="T78" s="22" t="str">
        <f>IF(VLOOKUP($L78,KAL_standaard_4_08[],7,FALSE)="","",VLOOKUP($L78,KAL_standaard_4_08[],7,FALSE))</f>
        <v/>
      </c>
      <c r="U78" s="28">
        <f t="shared" si="21"/>
        <v>0</v>
      </c>
      <c r="V78" s="22" t="str">
        <f t="shared" si="22"/>
        <v/>
      </c>
      <c r="W78" s="83" t="str">
        <f t="shared" si="18"/>
        <v/>
      </c>
      <c r="X78" s="27" cm="1">
        <f t="array" ref="X78">_xlfn.IFS(AND(W78&gt;='Punten verdeling'!$C$24,W78&lt;='Punten verdeling'!$D$24),DRIFT_U,AND(W78&gt;'Punten verdeling'!C$25,W78&lt;='Punten verdeling'!D$25),DRIFT_G,AND(W78&gt;'Punten verdeling'!C$26,W78&lt;='Punten verdeling'!D$26),DRIFT_V,W78&gt;'Punten verdeling'!C$27,DRIFT_O)</f>
        <v>0</v>
      </c>
    </row>
    <row r="79" spans="2:24" x14ac:dyDescent="0.2">
      <c r="B79" s="12" t="str">
        <f>$B$22</f>
        <v>Mesotrione</v>
      </c>
      <c r="C79" s="40">
        <v>56.369599999999998</v>
      </c>
      <c r="D79" s="46"/>
      <c r="E79" s="48"/>
      <c r="F79" s="48"/>
      <c r="G79" s="45"/>
      <c r="H79" s="40" t="str">
        <f t="shared" si="19"/>
        <v/>
      </c>
      <c r="I79" s="32" t="str">
        <f t="shared" si="17"/>
        <v/>
      </c>
      <c r="L79" s="19" t="str">
        <f t="shared" si="20"/>
        <v>Mesotrione</v>
      </c>
      <c r="M79" s="40" t="str">
        <f>IF(VLOOKUP($L79,KAL_standaard_4_01[],7,FALSE)="","",VLOOKUP($L79,KAL_standaard_4_01[],7,FALSE))</f>
        <v/>
      </c>
      <c r="N79" s="69" t="str">
        <f>IF(VLOOKUP($L79,KAL_standaard_4_02[],7,FALSE)="","",VLOOKUP($L79,KAL_standaard_4_02[],7,FALSE))</f>
        <v/>
      </c>
      <c r="O79" s="22" t="str">
        <f>IF(VLOOKUP($L79,KAL_standaard_4_03[],7,FALSE)="","",VLOOKUP($L79,KAL_standaard_4_03[],7,FALSE))</f>
        <v/>
      </c>
      <c r="P79" s="22" t="str">
        <f>IF(VLOOKUP($L79,KAL_standaard_4_04[],7,FALSE)="","",VLOOKUP($L79,KAL_standaard_4_04[],7,FALSE))</f>
        <v/>
      </c>
      <c r="Q79" s="22" t="str">
        <f>IF(VLOOKUP($L79,KAL_standaard_4_05[],7,FALSE)="","",VLOOKUP($L79,KAL_standaard_4_05[],7,FALSE))</f>
        <v/>
      </c>
      <c r="R79" s="22" t="str">
        <f>IF(VLOOKUP($L79,KAL_standaard_4_06[],7,FALSE)="","",VLOOKUP($L79,KAL_standaard_4_06[],7,FALSE))</f>
        <v/>
      </c>
      <c r="S79" s="22" t="str">
        <f>IF(VLOOKUP($L79,KAL_standaard_4_07[],7,FALSE)="","",VLOOKUP($L79,KAL_standaard_4_07[],7,FALSE))</f>
        <v/>
      </c>
      <c r="T79" s="22" t="str">
        <f>IF(VLOOKUP($L79,KAL_standaard_4_08[],7,FALSE)="","",VLOOKUP($L79,KAL_standaard_4_08[],7,FALSE))</f>
        <v/>
      </c>
      <c r="U79" s="28">
        <f t="shared" si="21"/>
        <v>0</v>
      </c>
      <c r="V79" s="22" t="str">
        <f t="shared" si="22"/>
        <v/>
      </c>
      <c r="W79" s="83" t="str">
        <f t="shared" si="18"/>
        <v/>
      </c>
      <c r="X79" s="27" cm="1">
        <f t="array" ref="X79">_xlfn.IFS(AND(W79&gt;='Punten verdeling'!$C$24,W79&lt;='Punten verdeling'!$D$24),DRIFT_U,AND(W79&gt;'Punten verdeling'!C$25,W79&lt;='Punten verdeling'!D$25),DRIFT_G,AND(W79&gt;'Punten verdeling'!C$26,W79&lt;='Punten verdeling'!D$26),DRIFT_V,W79&gt;'Punten verdeling'!C$27,DRIFT_O)</f>
        <v>0</v>
      </c>
    </row>
    <row r="80" spans="2:24" x14ac:dyDescent="0.2">
      <c r="B80" s="12" t="str">
        <f>$B$23</f>
        <v>Methoxyfenozide</v>
      </c>
      <c r="C80" s="40">
        <v>56.330399999999997</v>
      </c>
      <c r="D80" s="46"/>
      <c r="E80" s="48"/>
      <c r="F80" s="48"/>
      <c r="G80" s="45"/>
      <c r="H80" s="40" t="str">
        <f t="shared" si="19"/>
        <v/>
      </c>
      <c r="I80" s="32" t="str">
        <f t="shared" si="17"/>
        <v/>
      </c>
      <c r="L80" s="19" t="str">
        <f t="shared" si="20"/>
        <v>Methoxyfenozide</v>
      </c>
      <c r="M80" s="40" t="str">
        <f>IF(VLOOKUP($L80,KAL_standaard_4_01[],7,FALSE)="","",VLOOKUP($L80,KAL_standaard_4_01[],7,FALSE))</f>
        <v/>
      </c>
      <c r="N80" s="69" t="str">
        <f>IF(VLOOKUP($L80,KAL_standaard_4_02[],7,FALSE)="","",VLOOKUP($L80,KAL_standaard_4_02[],7,FALSE))</f>
        <v/>
      </c>
      <c r="O80" s="22" t="str">
        <f>IF(VLOOKUP($L80,KAL_standaard_4_03[],7,FALSE)="","",VLOOKUP($L80,KAL_standaard_4_03[],7,FALSE))</f>
        <v/>
      </c>
      <c r="P80" s="22" t="str">
        <f>IF(VLOOKUP($L80,KAL_standaard_4_04[],7,FALSE)="","",VLOOKUP($L80,KAL_standaard_4_04[],7,FALSE))</f>
        <v/>
      </c>
      <c r="Q80" s="22" t="str">
        <f>IF(VLOOKUP($L80,KAL_standaard_4_05[],7,FALSE)="","",VLOOKUP($L80,KAL_standaard_4_05[],7,FALSE))</f>
        <v/>
      </c>
      <c r="R80" s="22" t="str">
        <f>IF(VLOOKUP($L80,KAL_standaard_4_06[],7,FALSE)="","",VLOOKUP($L80,KAL_standaard_4_06[],7,FALSE))</f>
        <v/>
      </c>
      <c r="S80" s="22" t="str">
        <f>IF(VLOOKUP($L80,KAL_standaard_4_07[],7,FALSE)="","",VLOOKUP($L80,KAL_standaard_4_07[],7,FALSE))</f>
        <v/>
      </c>
      <c r="T80" s="22" t="str">
        <f>IF(VLOOKUP($L80,KAL_standaard_4_08[],7,FALSE)="","",VLOOKUP($L80,KAL_standaard_4_08[],7,FALSE))</f>
        <v/>
      </c>
      <c r="U80" s="28">
        <f t="shared" si="21"/>
        <v>0</v>
      </c>
      <c r="V80" s="22" t="str">
        <f t="shared" si="22"/>
        <v/>
      </c>
      <c r="W80" s="83" t="str">
        <f t="shared" si="18"/>
        <v/>
      </c>
      <c r="X80" s="27" cm="1">
        <f t="array" ref="X80">_xlfn.IFS(AND(W80&gt;='Punten verdeling'!$C$24,W80&lt;='Punten verdeling'!$D$24),DRIFT_U,AND(W80&gt;'Punten verdeling'!C$25,W80&lt;='Punten verdeling'!D$25),DRIFT_G,AND(W80&gt;'Punten verdeling'!C$26,W80&lt;='Punten verdeling'!D$26),DRIFT_V,W80&gt;'Punten verdeling'!C$27,DRIFT_O)</f>
        <v>0</v>
      </c>
    </row>
    <row r="81" spans="2:24" x14ac:dyDescent="0.2">
      <c r="B81" s="12" t="str">
        <f>$B$24</f>
        <v>Oxamyl</v>
      </c>
      <c r="C81" s="40">
        <v>56.5824</v>
      </c>
      <c r="D81" s="46"/>
      <c r="E81" s="48"/>
      <c r="F81" s="48"/>
      <c r="G81" s="45"/>
      <c r="H81" s="40" t="str">
        <f t="shared" si="19"/>
        <v/>
      </c>
      <c r="I81" s="32" t="str">
        <f t="shared" si="17"/>
        <v/>
      </c>
      <c r="L81" s="19" t="str">
        <f t="shared" si="20"/>
        <v>Oxamyl</v>
      </c>
      <c r="M81" s="40" t="str">
        <f>IF(VLOOKUP($L81,KAL_standaard_4_01[],7,FALSE)="","",VLOOKUP($L81,KAL_standaard_4_01[],7,FALSE))</f>
        <v/>
      </c>
      <c r="N81" s="69" t="str">
        <f>IF(VLOOKUP($L81,KAL_standaard_4_02[],7,FALSE)="","",VLOOKUP($L81,KAL_standaard_4_02[],7,FALSE))</f>
        <v/>
      </c>
      <c r="O81" s="22" t="str">
        <f>IF(VLOOKUP($L81,KAL_standaard_4_03[],7,FALSE)="","",VLOOKUP($L81,KAL_standaard_4_03[],7,FALSE))</f>
        <v/>
      </c>
      <c r="P81" s="22" t="str">
        <f>IF(VLOOKUP($L81,KAL_standaard_4_04[],7,FALSE)="","",VLOOKUP($L81,KAL_standaard_4_04[],7,FALSE))</f>
        <v/>
      </c>
      <c r="Q81" s="22" t="str">
        <f>IF(VLOOKUP($L81,KAL_standaard_4_05[],7,FALSE)="","",VLOOKUP($L81,KAL_standaard_4_05[],7,FALSE))</f>
        <v/>
      </c>
      <c r="R81" s="22" t="str">
        <f>IF(VLOOKUP($L81,KAL_standaard_4_06[],7,FALSE)="","",VLOOKUP($L81,KAL_standaard_4_06[],7,FALSE))</f>
        <v/>
      </c>
      <c r="S81" s="22" t="str">
        <f>IF(VLOOKUP($L81,KAL_standaard_4_07[],7,FALSE)="","",VLOOKUP($L81,KAL_standaard_4_07[],7,FALSE))</f>
        <v/>
      </c>
      <c r="T81" s="22" t="str">
        <f>IF(VLOOKUP($L81,KAL_standaard_4_08[],7,FALSE)="","",VLOOKUP($L81,KAL_standaard_4_08[],7,FALSE))</f>
        <v/>
      </c>
      <c r="U81" s="28">
        <f t="shared" si="21"/>
        <v>0</v>
      </c>
      <c r="V81" s="22" t="str">
        <f t="shared" si="22"/>
        <v/>
      </c>
      <c r="W81" s="83" t="str">
        <f t="shared" si="18"/>
        <v/>
      </c>
      <c r="X81" s="27" cm="1">
        <f t="array" ref="X81">_xlfn.IFS(AND(W81&gt;='Punten verdeling'!$C$24,W81&lt;='Punten verdeling'!$D$24),DRIFT_U,AND(W81&gt;'Punten verdeling'!C$25,W81&lt;='Punten verdeling'!D$25),DRIFT_G,AND(W81&gt;'Punten verdeling'!C$26,W81&lt;='Punten verdeling'!D$26),DRIFT_V,W81&gt;'Punten verdeling'!C$27,DRIFT_O)</f>
        <v>0</v>
      </c>
    </row>
    <row r="82" spans="2:24" x14ac:dyDescent="0.2">
      <c r="B82" s="13" t="str">
        <f>$B$25</f>
        <v>Triallaat</v>
      </c>
      <c r="C82" s="41">
        <v>55.8992</v>
      </c>
      <c r="D82" s="46"/>
      <c r="E82" s="48"/>
      <c r="F82" s="48"/>
      <c r="G82" s="45"/>
      <c r="H82" s="41" t="str">
        <f t="shared" si="19"/>
        <v/>
      </c>
      <c r="I82" s="32" t="str">
        <f t="shared" si="17"/>
        <v/>
      </c>
      <c r="L82" s="19" t="str">
        <f t="shared" si="20"/>
        <v>Triallaat</v>
      </c>
      <c r="M82" s="40" t="str">
        <f>IF(VLOOKUP($L82,KAL_standaard_4_01[],7,FALSE)="","",VLOOKUP($L82,KAL_standaard_4_01[],7,FALSE))</f>
        <v/>
      </c>
      <c r="N82" s="69" t="str">
        <f>IF(VLOOKUP($L82,KAL_standaard_4_02[],7,FALSE)="","",VLOOKUP($L82,KAL_standaard_4_02[],7,FALSE))</f>
        <v/>
      </c>
      <c r="O82" s="22" t="str">
        <f>IF(VLOOKUP($L82,KAL_standaard_4_03[],7,FALSE)="","",VLOOKUP($L82,KAL_standaard_4_03[],7,FALSE))</f>
        <v/>
      </c>
      <c r="P82" s="22" t="str">
        <f>IF(VLOOKUP($L82,KAL_standaard_4_04[],7,FALSE)="","",VLOOKUP($L82,KAL_standaard_4_04[],7,FALSE))</f>
        <v/>
      </c>
      <c r="Q82" s="22" t="str">
        <f>IF(VLOOKUP($L82,KAL_standaard_4_05[],7,FALSE)="","",VLOOKUP($L82,KAL_standaard_4_05[],7,FALSE))</f>
        <v/>
      </c>
      <c r="R82" s="22" t="str">
        <f>IF(VLOOKUP($L82,KAL_standaard_4_06[],7,FALSE)="","",VLOOKUP($L82,KAL_standaard_4_06[],7,FALSE))</f>
        <v/>
      </c>
      <c r="S82" s="22" t="str">
        <f>IF(VLOOKUP($L82,KAL_standaard_4_07[],7,FALSE)="","",VLOOKUP($L82,KAL_standaard_4_07[],7,FALSE))</f>
        <v/>
      </c>
      <c r="T82" s="22" t="str">
        <f>IF(VLOOKUP($L82,KAL_standaard_4_08[],7,FALSE)="","",VLOOKUP($L82,KAL_standaard_4_08[],7,FALSE))</f>
        <v/>
      </c>
      <c r="U82" s="28">
        <f t="shared" si="21"/>
        <v>0</v>
      </c>
      <c r="V82" s="22" t="str">
        <f t="shared" si="22"/>
        <v/>
      </c>
      <c r="W82" s="83" t="str">
        <f t="shared" si="18"/>
        <v/>
      </c>
      <c r="X82" s="27" cm="1">
        <f t="array" ref="X82">_xlfn.IFS(AND(W82&gt;='Punten verdeling'!$C$24,W82&lt;='Punten verdeling'!$D$24),DRIFT_U,AND(W82&gt;'Punten verdeling'!C$25,W82&lt;='Punten verdeling'!D$25),DRIFT_G,AND(W82&gt;'Punten verdeling'!C$26,W82&lt;='Punten verdeling'!D$26),DRIFT_V,W82&gt;'Punten verdeling'!C$27,DRIFT_O)</f>
        <v>0</v>
      </c>
    </row>
    <row r="83" spans="2:24" x14ac:dyDescent="0.2">
      <c r="W83" s="10" t="s">
        <v>107</v>
      </c>
      <c r="X83" s="3">
        <f>SUM(X67:X82)</f>
        <v>0</v>
      </c>
    </row>
    <row r="84" spans="2:24" ht="20.25" x14ac:dyDescent="0.3">
      <c r="B84" s="8" t="s">
        <v>29</v>
      </c>
      <c r="L84" s="4" t="s">
        <v>185</v>
      </c>
    </row>
    <row r="85" spans="2:24" ht="39" thickBot="1" x14ac:dyDescent="0.25">
      <c r="B85" s="15" t="s">
        <v>2</v>
      </c>
      <c r="C85" s="16" t="s">
        <v>3</v>
      </c>
      <c r="D85" s="16" t="s">
        <v>4</v>
      </c>
      <c r="E85" s="16" t="s">
        <v>161</v>
      </c>
      <c r="F85" s="16" t="s">
        <v>162</v>
      </c>
      <c r="G85" s="16" t="s">
        <v>5</v>
      </c>
      <c r="H85" s="43" t="s">
        <v>6</v>
      </c>
      <c r="I85" s="17" t="s">
        <v>7</v>
      </c>
      <c r="L85" s="25" t="s">
        <v>2</v>
      </c>
      <c r="M85" s="24" t="s">
        <v>100</v>
      </c>
      <c r="N85" s="68" t="s">
        <v>88</v>
      </c>
      <c r="O85" s="24" t="s">
        <v>104</v>
      </c>
      <c r="P85" s="24" t="s">
        <v>105</v>
      </c>
      <c r="Q85" s="24" t="s">
        <v>106</v>
      </c>
      <c r="R85" s="35"/>
      <c r="S85" s="35"/>
      <c r="T85" s="35"/>
      <c r="U85" s="35"/>
      <c r="V85" s="35"/>
      <c r="W85" s="35"/>
    </row>
    <row r="86" spans="2:24" ht="13.5" thickTop="1" x14ac:dyDescent="0.2">
      <c r="B86" s="14" t="str">
        <f>$B$10</f>
        <v>Amisulbrom</v>
      </c>
      <c r="C86" s="22">
        <v>120.52799999999999</v>
      </c>
      <c r="D86" s="45"/>
      <c r="E86" s="47"/>
      <c r="F86" s="47"/>
      <c r="G86" s="45"/>
      <c r="H86" s="22" t="str">
        <f t="shared" ref="H86:H101" si="23">IF(G86="","",100*G86/C86)</f>
        <v/>
      </c>
      <c r="I86" s="32" t="str">
        <f t="shared" ref="I86:I101" si="24">IFERROR(MIN(E86,F86)/MAX(E86,F86)*100,"")</f>
        <v/>
      </c>
      <c r="L86" s="20" t="str">
        <f t="shared" ref="L86:L101" si="25">L67</f>
        <v>Amisulbrom</v>
      </c>
      <c r="M86" s="22" t="str">
        <f>IFERROR(AVERAGE(M48:O48),"")</f>
        <v/>
      </c>
      <c r="N86" s="69" t="str">
        <f>VLOOKUP(L86,KAL_1_2xvv01[],8)</f>
        <v/>
      </c>
      <c r="O86" s="38" t="str">
        <f>IF(M86="","",IF(M86&lt;10,50,30))</f>
        <v/>
      </c>
      <c r="P86" s="27" t="str">
        <f>IF(OR(M86="",N86=""),"",IF(AND(N86&gt;=M86-(M86*O86/100),N86&lt;=M86+(M86*O86/100)),"ja","nee"))</f>
        <v/>
      </c>
      <c r="Q86" s="27">
        <f t="shared" ref="Q86:Q101" si="26">IF(P86="ja",GS_ja,0)</f>
        <v>0</v>
      </c>
      <c r="R86" s="6"/>
      <c r="S86" s="6"/>
      <c r="T86" s="6"/>
      <c r="U86" s="6"/>
      <c r="V86" s="6"/>
    </row>
    <row r="87" spans="2:24" x14ac:dyDescent="0.2">
      <c r="B87" s="12" t="str">
        <f>$B$11</f>
        <v>Clothianidine</v>
      </c>
      <c r="C87" s="40">
        <v>119.304</v>
      </c>
      <c r="D87" s="46"/>
      <c r="E87" s="48"/>
      <c r="F87" s="48"/>
      <c r="G87" s="45"/>
      <c r="H87" s="40" t="str">
        <f t="shared" si="23"/>
        <v/>
      </c>
      <c r="I87" s="32" t="str">
        <f t="shared" si="24"/>
        <v/>
      </c>
      <c r="L87" s="19" t="str">
        <f t="shared" si="25"/>
        <v>Clothianidine</v>
      </c>
      <c r="M87" s="40" t="str">
        <f t="shared" ref="M87:M101" si="27">IFERROR(AVERAGE(M49:O49),"")</f>
        <v/>
      </c>
      <c r="N87" s="69" t="str">
        <f>VLOOKUP(L87,KAL_1_2xvv01[],8)</f>
        <v/>
      </c>
      <c r="O87" s="38" t="str">
        <f t="shared" ref="O87:O101" si="28">IF(M87="","",IF(M87&lt;10,50,30))</f>
        <v/>
      </c>
      <c r="P87" s="27" t="str">
        <f t="shared" ref="P87:P101" si="29">IF(OR(M87="",N87=""),"",IF(AND(N87&gt;=M87-(M87*O87/100),N87&lt;=M87+(M87*O87/100)),"ja","nee"))</f>
        <v/>
      </c>
      <c r="Q87" s="27">
        <f t="shared" si="26"/>
        <v>0</v>
      </c>
      <c r="R87" s="6"/>
      <c r="S87" s="6"/>
      <c r="T87" s="6"/>
      <c r="U87" s="6"/>
      <c r="V87" s="6"/>
    </row>
    <row r="88" spans="2:24" x14ac:dyDescent="0.2">
      <c r="B88" s="12" t="str">
        <f>$B$12</f>
        <v>Cyazofamide</v>
      </c>
      <c r="C88" s="40">
        <v>120.04799999999999</v>
      </c>
      <c r="D88" s="46"/>
      <c r="E88" s="48"/>
      <c r="F88" s="48"/>
      <c r="G88" s="45"/>
      <c r="H88" s="40" t="str">
        <f t="shared" si="23"/>
        <v/>
      </c>
      <c r="I88" s="32" t="str">
        <f t="shared" si="24"/>
        <v/>
      </c>
      <c r="L88" s="19" t="str">
        <f t="shared" si="25"/>
        <v>Cyazofamide</v>
      </c>
      <c r="M88" s="40" t="str">
        <f t="shared" si="27"/>
        <v/>
      </c>
      <c r="N88" s="69" t="str">
        <f>VLOOKUP(L88,KAL_1_2xvv01[],8)</f>
        <v/>
      </c>
      <c r="O88" s="38" t="str">
        <f t="shared" si="28"/>
        <v/>
      </c>
      <c r="P88" s="27" t="str">
        <f t="shared" si="29"/>
        <v/>
      </c>
      <c r="Q88" s="27">
        <f t="shared" si="26"/>
        <v>0</v>
      </c>
      <c r="R88" s="6"/>
      <c r="S88" s="6"/>
      <c r="T88" s="6"/>
      <c r="U88" s="6"/>
      <c r="V88" s="6"/>
    </row>
    <row r="89" spans="2:24" x14ac:dyDescent="0.2">
      <c r="B89" s="12" t="str">
        <f>$B$13</f>
        <v>Cymoxanil</v>
      </c>
      <c r="C89" s="40">
        <v>119.74799999999999</v>
      </c>
      <c r="D89" s="46"/>
      <c r="E89" s="48"/>
      <c r="F89" s="48"/>
      <c r="G89" s="45"/>
      <c r="H89" s="40" t="str">
        <f t="shared" si="23"/>
        <v/>
      </c>
      <c r="I89" s="32" t="str">
        <f t="shared" si="24"/>
        <v/>
      </c>
      <c r="L89" s="19" t="str">
        <f t="shared" si="25"/>
        <v>Cymoxanil</v>
      </c>
      <c r="M89" s="40" t="str">
        <f t="shared" si="27"/>
        <v/>
      </c>
      <c r="N89" s="69" t="str">
        <f>VLOOKUP(L89,KAL_1_2xvv01[],8)</f>
        <v/>
      </c>
      <c r="O89" s="38" t="str">
        <f t="shared" si="28"/>
        <v/>
      </c>
      <c r="P89" s="27" t="str">
        <f t="shared" si="29"/>
        <v/>
      </c>
      <c r="Q89" s="27">
        <f t="shared" si="26"/>
        <v>0</v>
      </c>
      <c r="R89" s="6"/>
      <c r="S89" s="6"/>
      <c r="T89" s="6"/>
      <c r="U89" s="6"/>
      <c r="V89" s="6"/>
    </row>
    <row r="90" spans="2:24" x14ac:dyDescent="0.2">
      <c r="B90" s="12" t="str">
        <f>$B$14</f>
        <v>Desmedifam</v>
      </c>
      <c r="C90" s="40">
        <v>120.31200000000004</v>
      </c>
      <c r="D90" s="46"/>
      <c r="E90" s="48"/>
      <c r="F90" s="48"/>
      <c r="G90" s="45"/>
      <c r="H90" s="40" t="str">
        <f t="shared" si="23"/>
        <v/>
      </c>
      <c r="I90" s="32" t="str">
        <f t="shared" si="24"/>
        <v/>
      </c>
      <c r="L90" s="19" t="str">
        <f t="shared" si="25"/>
        <v>Desmedifam</v>
      </c>
      <c r="M90" s="40" t="str">
        <f t="shared" si="27"/>
        <v/>
      </c>
      <c r="N90" s="69" t="str">
        <f>VLOOKUP(L90,KAL_1_2xvv01[],8)</f>
        <v/>
      </c>
      <c r="O90" s="38" t="str">
        <f t="shared" si="28"/>
        <v/>
      </c>
      <c r="P90" s="27" t="str">
        <f t="shared" si="29"/>
        <v/>
      </c>
      <c r="Q90" s="27">
        <f t="shared" si="26"/>
        <v>0</v>
      </c>
      <c r="R90" s="6"/>
      <c r="S90" s="6"/>
      <c r="T90" s="6"/>
      <c r="U90" s="6"/>
      <c r="V90" s="6"/>
    </row>
    <row r="91" spans="2:24" x14ac:dyDescent="0.2">
      <c r="B91" s="12" t="str">
        <f>$B$15</f>
        <v>Fenmedifam</v>
      </c>
      <c r="C91" s="40">
        <v>119.904</v>
      </c>
      <c r="D91" s="46"/>
      <c r="E91" s="48"/>
      <c r="F91" s="48"/>
      <c r="G91" s="45"/>
      <c r="H91" s="40" t="str">
        <f t="shared" si="23"/>
        <v/>
      </c>
      <c r="I91" s="32" t="str">
        <f t="shared" si="24"/>
        <v/>
      </c>
      <c r="L91" s="19" t="str">
        <f t="shared" si="25"/>
        <v>Fenmedifam</v>
      </c>
      <c r="M91" s="40" t="str">
        <f t="shared" si="27"/>
        <v/>
      </c>
      <c r="N91" s="69" t="str">
        <f>VLOOKUP(L91,KAL_1_2xvv01[],8)</f>
        <v/>
      </c>
      <c r="O91" s="38" t="str">
        <f t="shared" si="28"/>
        <v/>
      </c>
      <c r="P91" s="27" t="str">
        <f t="shared" si="29"/>
        <v/>
      </c>
      <c r="Q91" s="27">
        <f t="shared" si="26"/>
        <v>0</v>
      </c>
      <c r="R91" s="6"/>
      <c r="S91" s="6"/>
      <c r="T91" s="6"/>
      <c r="U91" s="6"/>
      <c r="V91" s="6"/>
    </row>
    <row r="92" spans="2:24" x14ac:dyDescent="0.2">
      <c r="B92" s="12" t="str">
        <f>$B$16</f>
        <v>Fenoxycarb</v>
      </c>
      <c r="C92" s="40">
        <v>122.44800000000001</v>
      </c>
      <c r="D92" s="46"/>
      <c r="E92" s="48"/>
      <c r="F92" s="48"/>
      <c r="G92" s="45"/>
      <c r="H92" s="40" t="str">
        <f t="shared" si="23"/>
        <v/>
      </c>
      <c r="I92" s="32" t="str">
        <f t="shared" si="24"/>
        <v/>
      </c>
      <c r="L92" s="19" t="str">
        <f t="shared" si="25"/>
        <v>Fenoxycarb</v>
      </c>
      <c r="M92" s="40" t="str">
        <f t="shared" si="27"/>
        <v/>
      </c>
      <c r="N92" s="69" t="str">
        <f>VLOOKUP(L92,KAL_1_2xvv01[],8)</f>
        <v/>
      </c>
      <c r="O92" s="38" t="str">
        <f t="shared" si="28"/>
        <v/>
      </c>
      <c r="P92" s="27" t="str">
        <f t="shared" si="29"/>
        <v/>
      </c>
      <c r="Q92" s="27">
        <f t="shared" si="26"/>
        <v>0</v>
      </c>
      <c r="R92" s="6"/>
      <c r="S92" s="6"/>
      <c r="T92" s="6"/>
      <c r="U92" s="6"/>
      <c r="V92" s="6"/>
    </row>
    <row r="93" spans="2:24" x14ac:dyDescent="0.2">
      <c r="B93" s="12" t="str">
        <f>$B$17</f>
        <v>Fipronil</v>
      </c>
      <c r="C93" s="40">
        <v>120.15600000000001</v>
      </c>
      <c r="D93" s="46"/>
      <c r="E93" s="48"/>
      <c r="F93" s="48"/>
      <c r="G93" s="45"/>
      <c r="H93" s="40" t="str">
        <f t="shared" si="23"/>
        <v/>
      </c>
      <c r="I93" s="32" t="str">
        <f t="shared" si="24"/>
        <v/>
      </c>
      <c r="L93" s="19" t="str">
        <f t="shared" si="25"/>
        <v>Fipronil</v>
      </c>
      <c r="M93" s="40" t="str">
        <f t="shared" si="27"/>
        <v/>
      </c>
      <c r="N93" s="69" t="str">
        <f>VLOOKUP(L93,KAL_1_2xvv01[],8)</f>
        <v/>
      </c>
      <c r="O93" s="38" t="str">
        <f t="shared" si="28"/>
        <v/>
      </c>
      <c r="P93" s="27" t="str">
        <f t="shared" si="29"/>
        <v/>
      </c>
      <c r="Q93" s="27">
        <f t="shared" si="26"/>
        <v>0</v>
      </c>
      <c r="R93" s="6"/>
      <c r="S93" s="6"/>
      <c r="T93" s="6"/>
      <c r="U93" s="6"/>
      <c r="V93" s="6"/>
    </row>
    <row r="94" spans="2:24" x14ac:dyDescent="0.2">
      <c r="B94" s="12" t="str">
        <f>$B$18</f>
        <v>Florasulam</v>
      </c>
      <c r="C94" s="40">
        <v>120.61200000000002</v>
      </c>
      <c r="D94" s="46"/>
      <c r="E94" s="48"/>
      <c r="F94" s="48"/>
      <c r="G94" s="45"/>
      <c r="H94" s="40" t="str">
        <f t="shared" si="23"/>
        <v/>
      </c>
      <c r="I94" s="32" t="str">
        <f t="shared" si="24"/>
        <v/>
      </c>
      <c r="L94" s="19" t="str">
        <f t="shared" si="25"/>
        <v>Florasulam</v>
      </c>
      <c r="M94" s="40" t="str">
        <f t="shared" si="27"/>
        <v/>
      </c>
      <c r="N94" s="69" t="str">
        <f>VLOOKUP(L94,KAL_1_2xvv01[],8)</f>
        <v/>
      </c>
      <c r="O94" s="38" t="str">
        <f t="shared" si="28"/>
        <v/>
      </c>
      <c r="P94" s="27" t="str">
        <f t="shared" si="29"/>
        <v/>
      </c>
      <c r="Q94" s="27">
        <f t="shared" si="26"/>
        <v>0</v>
      </c>
      <c r="R94" s="6"/>
      <c r="S94" s="6"/>
      <c r="T94" s="6"/>
      <c r="U94" s="6"/>
      <c r="V94" s="6"/>
    </row>
    <row r="95" spans="2:24" x14ac:dyDescent="0.2">
      <c r="B95" s="12" t="str">
        <f>$B$19</f>
        <v>Fluazifop-P-butyl</v>
      </c>
      <c r="C95" s="40">
        <v>120.78</v>
      </c>
      <c r="D95" s="46"/>
      <c r="E95" s="48"/>
      <c r="F95" s="48"/>
      <c r="G95" s="45"/>
      <c r="H95" s="40" t="str">
        <f t="shared" si="23"/>
        <v/>
      </c>
      <c r="I95" s="32" t="str">
        <f t="shared" si="24"/>
        <v/>
      </c>
      <c r="L95" s="19" t="str">
        <f t="shared" si="25"/>
        <v>Fluazifop-P-butyl</v>
      </c>
      <c r="M95" s="40" t="str">
        <f t="shared" si="27"/>
        <v/>
      </c>
      <c r="N95" s="69" t="str">
        <f>VLOOKUP(L95,KAL_1_2xvv01[],8)</f>
        <v/>
      </c>
      <c r="O95" s="38" t="str">
        <f t="shared" si="28"/>
        <v/>
      </c>
      <c r="P95" s="27" t="str">
        <f t="shared" si="29"/>
        <v/>
      </c>
      <c r="Q95" s="27">
        <f t="shared" si="26"/>
        <v>0</v>
      </c>
      <c r="R95" s="6"/>
      <c r="S95" s="6"/>
      <c r="T95" s="6"/>
      <c r="U95" s="6"/>
      <c r="V95" s="6"/>
    </row>
    <row r="96" spans="2:24" x14ac:dyDescent="0.2">
      <c r="B96" s="12" t="str">
        <f>$B$20</f>
        <v>Fluazinam</v>
      </c>
      <c r="C96" s="40">
        <v>121.15199999999999</v>
      </c>
      <c r="D96" s="46"/>
      <c r="E96" s="48"/>
      <c r="F96" s="48"/>
      <c r="G96" s="45"/>
      <c r="H96" s="40" t="str">
        <f t="shared" si="23"/>
        <v/>
      </c>
      <c r="I96" s="32" t="str">
        <f t="shared" si="24"/>
        <v/>
      </c>
      <c r="L96" s="19" t="str">
        <f t="shared" si="25"/>
        <v>Fluazinam</v>
      </c>
      <c r="M96" s="40" t="str">
        <f t="shared" si="27"/>
        <v/>
      </c>
      <c r="N96" s="69" t="str">
        <f>VLOOKUP(L96,KAL_1_2xvv01[],8)</f>
        <v/>
      </c>
      <c r="O96" s="38" t="str">
        <f t="shared" si="28"/>
        <v/>
      </c>
      <c r="P96" s="27" t="str">
        <f t="shared" si="29"/>
        <v/>
      </c>
      <c r="Q96" s="27">
        <f t="shared" si="26"/>
        <v>0</v>
      </c>
      <c r="R96" s="6"/>
      <c r="S96" s="6"/>
      <c r="T96" s="6"/>
      <c r="U96" s="6"/>
      <c r="V96" s="6"/>
    </row>
    <row r="97" spans="2:23" x14ac:dyDescent="0.2">
      <c r="B97" s="12" t="str">
        <f>$B$21</f>
        <v>Fludioxonil</v>
      </c>
      <c r="C97" s="40">
        <v>120.30000000000001</v>
      </c>
      <c r="D97" s="46"/>
      <c r="E97" s="48"/>
      <c r="F97" s="48"/>
      <c r="G97" s="45"/>
      <c r="H97" s="40" t="str">
        <f t="shared" si="23"/>
        <v/>
      </c>
      <c r="I97" s="32" t="str">
        <f t="shared" si="24"/>
        <v/>
      </c>
      <c r="L97" s="19" t="str">
        <f t="shared" si="25"/>
        <v>Fludioxonil</v>
      </c>
      <c r="M97" s="40" t="str">
        <f t="shared" si="27"/>
        <v/>
      </c>
      <c r="N97" s="69" t="str">
        <f>VLOOKUP(L97,KAL_1_2xvv01[],8)</f>
        <v/>
      </c>
      <c r="O97" s="38" t="str">
        <f t="shared" si="28"/>
        <v/>
      </c>
      <c r="P97" s="27" t="str">
        <f t="shared" si="29"/>
        <v/>
      </c>
      <c r="Q97" s="27">
        <f t="shared" si="26"/>
        <v>0</v>
      </c>
      <c r="R97" s="6"/>
      <c r="S97" s="6"/>
      <c r="T97" s="6"/>
      <c r="U97" s="6"/>
      <c r="V97" s="6"/>
    </row>
    <row r="98" spans="2:23" x14ac:dyDescent="0.2">
      <c r="B98" s="12" t="str">
        <f>$B$22</f>
        <v>Mesotrione</v>
      </c>
      <c r="C98" s="40">
        <v>120.79200000000002</v>
      </c>
      <c r="D98" s="46"/>
      <c r="E98" s="48"/>
      <c r="F98" s="48"/>
      <c r="G98" s="45"/>
      <c r="H98" s="40" t="str">
        <f t="shared" si="23"/>
        <v/>
      </c>
      <c r="I98" s="32" t="str">
        <f t="shared" si="24"/>
        <v/>
      </c>
      <c r="L98" s="19" t="str">
        <f t="shared" si="25"/>
        <v>Mesotrione</v>
      </c>
      <c r="M98" s="40" t="str">
        <f t="shared" si="27"/>
        <v/>
      </c>
      <c r="N98" s="69" t="str">
        <f>VLOOKUP(L98,KAL_1_2xvv01[],8)</f>
        <v/>
      </c>
      <c r="O98" s="38" t="str">
        <f t="shared" si="28"/>
        <v/>
      </c>
      <c r="P98" s="27" t="str">
        <f t="shared" si="29"/>
        <v/>
      </c>
      <c r="Q98" s="27">
        <f t="shared" si="26"/>
        <v>0</v>
      </c>
      <c r="R98" s="6"/>
      <c r="S98" s="6"/>
      <c r="T98" s="6"/>
      <c r="U98" s="6"/>
      <c r="V98" s="6"/>
    </row>
    <row r="99" spans="2:23" x14ac:dyDescent="0.2">
      <c r="B99" s="12" t="str">
        <f>$B$23</f>
        <v>Methoxyfenozide</v>
      </c>
      <c r="C99" s="40">
        <v>120.70800000000001</v>
      </c>
      <c r="D99" s="46"/>
      <c r="E99" s="48"/>
      <c r="F99" s="48"/>
      <c r="G99" s="45"/>
      <c r="H99" s="40" t="str">
        <f t="shared" si="23"/>
        <v/>
      </c>
      <c r="I99" s="32" t="str">
        <f t="shared" si="24"/>
        <v/>
      </c>
      <c r="L99" s="19" t="str">
        <f t="shared" si="25"/>
        <v>Methoxyfenozide</v>
      </c>
      <c r="M99" s="40" t="str">
        <f t="shared" si="27"/>
        <v/>
      </c>
      <c r="N99" s="69" t="str">
        <f>VLOOKUP(L99,KAL_1_2xvv01[],8)</f>
        <v/>
      </c>
      <c r="O99" s="38" t="str">
        <f t="shared" si="28"/>
        <v/>
      </c>
      <c r="P99" s="27" t="str">
        <f t="shared" si="29"/>
        <v/>
      </c>
      <c r="Q99" s="27">
        <f t="shared" si="26"/>
        <v>0</v>
      </c>
      <c r="R99" s="6"/>
      <c r="S99" s="6"/>
      <c r="T99" s="6"/>
      <c r="U99" s="6"/>
      <c r="V99" s="6"/>
    </row>
    <row r="100" spans="2:23" x14ac:dyDescent="0.2">
      <c r="B100" s="12" t="str">
        <f>$B$24</f>
        <v>Oxamyl</v>
      </c>
      <c r="C100" s="40">
        <v>121.24799999999999</v>
      </c>
      <c r="D100" s="46"/>
      <c r="E100" s="48"/>
      <c r="F100" s="48"/>
      <c r="G100" s="45"/>
      <c r="H100" s="40" t="str">
        <f t="shared" si="23"/>
        <v/>
      </c>
      <c r="I100" s="32" t="str">
        <f t="shared" si="24"/>
        <v/>
      </c>
      <c r="L100" s="19" t="str">
        <f t="shared" si="25"/>
        <v>Oxamyl</v>
      </c>
      <c r="M100" s="40" t="str">
        <f t="shared" si="27"/>
        <v/>
      </c>
      <c r="N100" s="69" t="str">
        <f>VLOOKUP(L100,KAL_1_2xvv01[],8)</f>
        <v/>
      </c>
      <c r="O100" s="38" t="str">
        <f t="shared" si="28"/>
        <v/>
      </c>
      <c r="P100" s="27" t="str">
        <f t="shared" si="29"/>
        <v/>
      </c>
      <c r="Q100" s="27">
        <f t="shared" si="26"/>
        <v>0</v>
      </c>
      <c r="R100" s="6"/>
      <c r="S100" s="6"/>
      <c r="T100" s="6"/>
      <c r="U100" s="6"/>
      <c r="V100" s="6"/>
    </row>
    <row r="101" spans="2:23" x14ac:dyDescent="0.2">
      <c r="B101" s="13" t="str">
        <f>$B$25</f>
        <v>Triallaat</v>
      </c>
      <c r="C101" s="41">
        <v>119.78400000000003</v>
      </c>
      <c r="D101" s="46"/>
      <c r="E101" s="48"/>
      <c r="F101" s="48"/>
      <c r="G101" s="45"/>
      <c r="H101" s="41" t="str">
        <f t="shared" si="23"/>
        <v/>
      </c>
      <c r="I101" s="32" t="str">
        <f t="shared" si="24"/>
        <v/>
      </c>
      <c r="L101" s="19" t="str">
        <f t="shared" si="25"/>
        <v>Triallaat</v>
      </c>
      <c r="M101" s="40" t="str">
        <f t="shared" si="27"/>
        <v/>
      </c>
      <c r="N101" s="69" t="str">
        <f>VLOOKUP(L101,KAL_1_2xvv01[],8)</f>
        <v/>
      </c>
      <c r="O101" s="38" t="str">
        <f t="shared" si="28"/>
        <v/>
      </c>
      <c r="P101" s="27" t="str">
        <f t="shared" si="29"/>
        <v/>
      </c>
      <c r="Q101" s="27">
        <f t="shared" si="26"/>
        <v>0</v>
      </c>
      <c r="R101" s="6"/>
      <c r="S101" s="6"/>
      <c r="T101" s="6"/>
      <c r="U101" s="6"/>
      <c r="V101" s="6"/>
    </row>
    <row r="102" spans="2:23" x14ac:dyDescent="0.2">
      <c r="P102" s="10" t="s">
        <v>107</v>
      </c>
      <c r="Q102" s="3">
        <f>SUM(Q86:Q101)</f>
        <v>0</v>
      </c>
    </row>
    <row r="103" spans="2:23" ht="20.25" x14ac:dyDescent="0.3">
      <c r="B103" s="8" t="s">
        <v>30</v>
      </c>
      <c r="L103" s="4" t="s">
        <v>184</v>
      </c>
    </row>
    <row r="104" spans="2:23" ht="39" thickBot="1" x14ac:dyDescent="0.25">
      <c r="B104" s="15" t="s">
        <v>2</v>
      </c>
      <c r="C104" s="16" t="s">
        <v>3</v>
      </c>
      <c r="D104" s="16" t="s">
        <v>4</v>
      </c>
      <c r="E104" s="16" t="s">
        <v>161</v>
      </c>
      <c r="F104" s="16" t="s">
        <v>162</v>
      </c>
      <c r="G104" s="16" t="s">
        <v>5</v>
      </c>
      <c r="H104" s="43" t="s">
        <v>6</v>
      </c>
      <c r="I104" s="17" t="s">
        <v>7</v>
      </c>
      <c r="L104" s="25" t="s">
        <v>2</v>
      </c>
      <c r="M104" s="24" t="s">
        <v>100</v>
      </c>
      <c r="N104" s="68" t="s">
        <v>88</v>
      </c>
      <c r="O104" s="24" t="s">
        <v>104</v>
      </c>
      <c r="P104" s="24" t="s">
        <v>105</v>
      </c>
      <c r="Q104" s="24" t="s">
        <v>106</v>
      </c>
      <c r="R104" s="35"/>
      <c r="S104" s="35"/>
      <c r="T104" s="35"/>
      <c r="U104" s="35"/>
      <c r="V104" s="35"/>
      <c r="W104" s="35"/>
    </row>
    <row r="105" spans="2:23" ht="13.5" thickTop="1" x14ac:dyDescent="0.2">
      <c r="B105" s="14" t="str">
        <f>$B$10</f>
        <v>Amisulbrom</v>
      </c>
      <c r="C105" s="22">
        <v>241.05599999999998</v>
      </c>
      <c r="D105" s="45"/>
      <c r="E105" s="47"/>
      <c r="F105" s="47"/>
      <c r="G105" s="45"/>
      <c r="H105" s="22" t="str">
        <f t="shared" ref="H105:H120" si="30">IF(G105="","",100*G105/C105)</f>
        <v/>
      </c>
      <c r="I105" s="32" t="str">
        <f t="shared" ref="I105:I120" si="31">IFERROR(MIN(E105,F105)/MAX(E105,F105)*100,"")</f>
        <v/>
      </c>
      <c r="L105" s="20" t="str">
        <f t="shared" ref="L105:L120" si="32">L86</f>
        <v>Amisulbrom</v>
      </c>
      <c r="M105" s="22" t="str">
        <f t="shared" ref="M105:M120" si="33">IFERROR(AVERAGE(M48:O48),"")</f>
        <v/>
      </c>
      <c r="N105" s="69" t="str">
        <f>VLOOKUP(L105,KAL_1_5xvv01[],8)</f>
        <v/>
      </c>
      <c r="O105" s="38" t="str">
        <f>IF(M105="","",IF(M105&lt;10,50,30))</f>
        <v/>
      </c>
      <c r="P105" s="27" t="str">
        <f>IF(OR(M105="",N105=""),"",IF(AND(N105&gt;=M105-(M105*O105/100),N105&lt;=M105+(M105*O105/100)),"ja","nee"))</f>
        <v/>
      </c>
      <c r="Q105" s="27">
        <f t="shared" ref="Q105:Q120" si="34">IF(P105="ja",GS_ja,0)</f>
        <v>0</v>
      </c>
      <c r="R105" s="6"/>
      <c r="S105" s="6"/>
      <c r="T105" s="6"/>
      <c r="U105" s="6"/>
      <c r="V105" s="6"/>
    </row>
    <row r="106" spans="2:23" x14ac:dyDescent="0.2">
      <c r="B106" s="12" t="str">
        <f>$B$11</f>
        <v>Clothianidine</v>
      </c>
      <c r="C106" s="40">
        <v>238.608</v>
      </c>
      <c r="D106" s="46"/>
      <c r="E106" s="48"/>
      <c r="F106" s="48"/>
      <c r="G106" s="45"/>
      <c r="H106" s="40" t="str">
        <f t="shared" si="30"/>
        <v/>
      </c>
      <c r="I106" s="32" t="str">
        <f t="shared" si="31"/>
        <v/>
      </c>
      <c r="L106" s="19" t="str">
        <f t="shared" si="32"/>
        <v>Clothianidine</v>
      </c>
      <c r="M106" s="40" t="str">
        <f t="shared" si="33"/>
        <v/>
      </c>
      <c r="N106" s="69" t="str">
        <f>VLOOKUP(L106,KAL_1_5xvv01[],8)</f>
        <v/>
      </c>
      <c r="O106" s="38" t="str">
        <f t="shared" ref="O106:O120" si="35">IF(M106="","",IF(M106&lt;10,50,30))</f>
        <v/>
      </c>
      <c r="P106" s="27" t="str">
        <f t="shared" ref="P106:P120" si="36">IF(OR(M106="",N106=""),"",IF(AND(N106&gt;=M106-(M106*O106/100),N106&lt;=M106+(M106*O106/100)),"ja","nee"))</f>
        <v/>
      </c>
      <c r="Q106" s="27">
        <f t="shared" si="34"/>
        <v>0</v>
      </c>
      <c r="R106" s="6"/>
      <c r="S106" s="6"/>
      <c r="T106" s="6"/>
      <c r="U106" s="6"/>
      <c r="V106" s="6"/>
    </row>
    <row r="107" spans="2:23" x14ac:dyDescent="0.2">
      <c r="B107" s="12" t="str">
        <f>$B$12</f>
        <v>Cyazofamide</v>
      </c>
      <c r="C107" s="40">
        <v>240.09599999999998</v>
      </c>
      <c r="D107" s="46"/>
      <c r="E107" s="48"/>
      <c r="F107" s="48"/>
      <c r="G107" s="45"/>
      <c r="H107" s="40" t="str">
        <f t="shared" si="30"/>
        <v/>
      </c>
      <c r="I107" s="32" t="str">
        <f t="shared" si="31"/>
        <v/>
      </c>
      <c r="L107" s="19" t="str">
        <f t="shared" si="32"/>
        <v>Cyazofamide</v>
      </c>
      <c r="M107" s="40" t="str">
        <f t="shared" si="33"/>
        <v/>
      </c>
      <c r="N107" s="69" t="str">
        <f>VLOOKUP(L107,KAL_1_5xvv01[],8)</f>
        <v/>
      </c>
      <c r="O107" s="38" t="str">
        <f t="shared" si="35"/>
        <v/>
      </c>
      <c r="P107" s="27" t="str">
        <f t="shared" si="36"/>
        <v/>
      </c>
      <c r="Q107" s="27">
        <f t="shared" si="34"/>
        <v>0</v>
      </c>
      <c r="R107" s="6"/>
      <c r="S107" s="6"/>
      <c r="T107" s="6"/>
      <c r="U107" s="6"/>
      <c r="V107" s="6"/>
    </row>
    <row r="108" spans="2:23" x14ac:dyDescent="0.2">
      <c r="B108" s="12" t="str">
        <f>$B$13</f>
        <v>Cymoxanil</v>
      </c>
      <c r="C108" s="40">
        <v>239.49599999999998</v>
      </c>
      <c r="D108" s="46"/>
      <c r="E108" s="48"/>
      <c r="F108" s="48"/>
      <c r="G108" s="45"/>
      <c r="H108" s="40" t="str">
        <f t="shared" si="30"/>
        <v/>
      </c>
      <c r="I108" s="32" t="str">
        <f t="shared" si="31"/>
        <v/>
      </c>
      <c r="L108" s="19" t="str">
        <f t="shared" si="32"/>
        <v>Cymoxanil</v>
      </c>
      <c r="M108" s="40" t="str">
        <f t="shared" si="33"/>
        <v/>
      </c>
      <c r="N108" s="69" t="str">
        <f>VLOOKUP(L108,KAL_1_5xvv01[],8)</f>
        <v/>
      </c>
      <c r="O108" s="38" t="str">
        <f t="shared" si="35"/>
        <v/>
      </c>
      <c r="P108" s="27" t="str">
        <f t="shared" si="36"/>
        <v/>
      </c>
      <c r="Q108" s="27">
        <f t="shared" si="34"/>
        <v>0</v>
      </c>
      <c r="R108" s="6"/>
      <c r="S108" s="6"/>
      <c r="T108" s="6"/>
      <c r="U108" s="6"/>
      <c r="V108" s="6"/>
    </row>
    <row r="109" spans="2:23" x14ac:dyDescent="0.2">
      <c r="B109" s="12" t="str">
        <f>$B$14</f>
        <v>Desmedifam</v>
      </c>
      <c r="C109" s="40">
        <v>240.62400000000008</v>
      </c>
      <c r="D109" s="46"/>
      <c r="E109" s="48"/>
      <c r="F109" s="48"/>
      <c r="G109" s="45"/>
      <c r="H109" s="40" t="str">
        <f t="shared" si="30"/>
        <v/>
      </c>
      <c r="I109" s="32" t="str">
        <f t="shared" si="31"/>
        <v/>
      </c>
      <c r="L109" s="19" t="str">
        <f t="shared" si="32"/>
        <v>Desmedifam</v>
      </c>
      <c r="M109" s="40" t="str">
        <f t="shared" si="33"/>
        <v/>
      </c>
      <c r="N109" s="69" t="str">
        <f>VLOOKUP(L109,KAL_1_5xvv01[],8)</f>
        <v/>
      </c>
      <c r="O109" s="38" t="str">
        <f t="shared" si="35"/>
        <v/>
      </c>
      <c r="P109" s="27" t="str">
        <f t="shared" si="36"/>
        <v/>
      </c>
      <c r="Q109" s="27">
        <f t="shared" si="34"/>
        <v>0</v>
      </c>
      <c r="R109" s="6"/>
      <c r="S109" s="6"/>
      <c r="T109" s="6"/>
      <c r="U109" s="6"/>
      <c r="V109" s="6"/>
    </row>
    <row r="110" spans="2:23" x14ac:dyDescent="0.2">
      <c r="B110" s="12" t="str">
        <f>$B$15</f>
        <v>Fenmedifam</v>
      </c>
      <c r="C110" s="40">
        <v>239.80799999999999</v>
      </c>
      <c r="D110" s="46"/>
      <c r="E110" s="48"/>
      <c r="F110" s="48"/>
      <c r="G110" s="45"/>
      <c r="H110" s="40" t="str">
        <f t="shared" si="30"/>
        <v/>
      </c>
      <c r="I110" s="32" t="str">
        <f t="shared" si="31"/>
        <v/>
      </c>
      <c r="L110" s="19" t="str">
        <f t="shared" si="32"/>
        <v>Fenmedifam</v>
      </c>
      <c r="M110" s="40" t="str">
        <f t="shared" si="33"/>
        <v/>
      </c>
      <c r="N110" s="69" t="str">
        <f>VLOOKUP(L110,KAL_1_5xvv01[],8)</f>
        <v/>
      </c>
      <c r="O110" s="38" t="str">
        <f t="shared" si="35"/>
        <v/>
      </c>
      <c r="P110" s="27" t="str">
        <f t="shared" si="36"/>
        <v/>
      </c>
      <c r="Q110" s="27">
        <f t="shared" si="34"/>
        <v>0</v>
      </c>
      <c r="R110" s="6"/>
      <c r="S110" s="6"/>
      <c r="T110" s="6"/>
      <c r="U110" s="6"/>
      <c r="V110" s="6"/>
    </row>
    <row r="111" spans="2:23" x14ac:dyDescent="0.2">
      <c r="B111" s="12" t="str">
        <f>$B$16</f>
        <v>Fenoxycarb</v>
      </c>
      <c r="C111" s="40">
        <v>244.89600000000002</v>
      </c>
      <c r="D111" s="46"/>
      <c r="E111" s="48"/>
      <c r="F111" s="48"/>
      <c r="G111" s="45"/>
      <c r="H111" s="40" t="str">
        <f t="shared" si="30"/>
        <v/>
      </c>
      <c r="I111" s="32" t="str">
        <f t="shared" si="31"/>
        <v/>
      </c>
      <c r="L111" s="19" t="str">
        <f t="shared" si="32"/>
        <v>Fenoxycarb</v>
      </c>
      <c r="M111" s="40" t="str">
        <f t="shared" si="33"/>
        <v/>
      </c>
      <c r="N111" s="69" t="str">
        <f>VLOOKUP(L111,KAL_1_5xvv01[],8)</f>
        <v/>
      </c>
      <c r="O111" s="38" t="str">
        <f t="shared" si="35"/>
        <v/>
      </c>
      <c r="P111" s="27" t="str">
        <f t="shared" si="36"/>
        <v/>
      </c>
      <c r="Q111" s="27">
        <f t="shared" si="34"/>
        <v>0</v>
      </c>
      <c r="R111" s="6"/>
      <c r="S111" s="6"/>
      <c r="T111" s="6"/>
      <c r="U111" s="6"/>
      <c r="V111" s="6"/>
    </row>
    <row r="112" spans="2:23" x14ac:dyDescent="0.2">
      <c r="B112" s="12" t="str">
        <f>$B$17</f>
        <v>Fipronil</v>
      </c>
      <c r="C112" s="40">
        <v>240.31200000000001</v>
      </c>
      <c r="D112" s="46"/>
      <c r="E112" s="48"/>
      <c r="F112" s="48"/>
      <c r="G112" s="45"/>
      <c r="H112" s="40" t="str">
        <f t="shared" si="30"/>
        <v/>
      </c>
      <c r="I112" s="32" t="str">
        <f t="shared" si="31"/>
        <v/>
      </c>
      <c r="L112" s="19" t="str">
        <f t="shared" si="32"/>
        <v>Fipronil</v>
      </c>
      <c r="M112" s="40" t="str">
        <f t="shared" si="33"/>
        <v/>
      </c>
      <c r="N112" s="69" t="str">
        <f>VLOOKUP(L112,KAL_1_5xvv01[],8)</f>
        <v/>
      </c>
      <c r="O112" s="38" t="str">
        <f t="shared" si="35"/>
        <v/>
      </c>
      <c r="P112" s="27" t="str">
        <f t="shared" si="36"/>
        <v/>
      </c>
      <c r="Q112" s="27">
        <f t="shared" si="34"/>
        <v>0</v>
      </c>
      <c r="R112" s="6"/>
      <c r="S112" s="6"/>
      <c r="T112" s="6"/>
      <c r="U112" s="6"/>
      <c r="V112" s="6"/>
    </row>
    <row r="113" spans="2:22" x14ac:dyDescent="0.2">
      <c r="B113" s="12" t="str">
        <f>$B$18</f>
        <v>Florasulam</v>
      </c>
      <c r="C113" s="40">
        <v>241.22400000000005</v>
      </c>
      <c r="D113" s="46"/>
      <c r="E113" s="48"/>
      <c r="F113" s="48"/>
      <c r="G113" s="45"/>
      <c r="H113" s="40" t="str">
        <f t="shared" si="30"/>
        <v/>
      </c>
      <c r="I113" s="32" t="str">
        <f t="shared" si="31"/>
        <v/>
      </c>
      <c r="L113" s="19" t="str">
        <f t="shared" si="32"/>
        <v>Florasulam</v>
      </c>
      <c r="M113" s="40" t="str">
        <f t="shared" si="33"/>
        <v/>
      </c>
      <c r="N113" s="69" t="str">
        <f>VLOOKUP(L113,KAL_1_5xvv01[],8)</f>
        <v/>
      </c>
      <c r="O113" s="38" t="str">
        <f t="shared" si="35"/>
        <v/>
      </c>
      <c r="P113" s="27" t="str">
        <f t="shared" si="36"/>
        <v/>
      </c>
      <c r="Q113" s="27">
        <f t="shared" si="34"/>
        <v>0</v>
      </c>
      <c r="R113" s="6"/>
      <c r="S113" s="6"/>
      <c r="T113" s="6"/>
      <c r="U113" s="6"/>
      <c r="V113" s="6"/>
    </row>
    <row r="114" spans="2:22" x14ac:dyDescent="0.2">
      <c r="B114" s="12" t="str">
        <f>$B$19</f>
        <v>Fluazifop-P-butyl</v>
      </c>
      <c r="C114" s="40">
        <v>241.56</v>
      </c>
      <c r="D114" s="46"/>
      <c r="E114" s="48"/>
      <c r="F114" s="48"/>
      <c r="G114" s="45"/>
      <c r="H114" s="40" t="str">
        <f t="shared" si="30"/>
        <v/>
      </c>
      <c r="I114" s="32" t="str">
        <f t="shared" si="31"/>
        <v/>
      </c>
      <c r="L114" s="19" t="str">
        <f t="shared" si="32"/>
        <v>Fluazifop-P-butyl</v>
      </c>
      <c r="M114" s="40" t="str">
        <f t="shared" si="33"/>
        <v/>
      </c>
      <c r="N114" s="69" t="str">
        <f>VLOOKUP(L114,KAL_1_5xvv01[],8)</f>
        <v/>
      </c>
      <c r="O114" s="38" t="str">
        <f t="shared" si="35"/>
        <v/>
      </c>
      <c r="P114" s="27" t="str">
        <f t="shared" si="36"/>
        <v/>
      </c>
      <c r="Q114" s="27">
        <f t="shared" si="34"/>
        <v>0</v>
      </c>
      <c r="R114" s="6"/>
      <c r="S114" s="6"/>
      <c r="T114" s="6"/>
      <c r="U114" s="6"/>
      <c r="V114" s="6"/>
    </row>
    <row r="115" spans="2:22" x14ac:dyDescent="0.2">
      <c r="B115" s="12" t="str">
        <f>$B$20</f>
        <v>Fluazinam</v>
      </c>
      <c r="C115" s="40">
        <v>242.30399999999997</v>
      </c>
      <c r="D115" s="46"/>
      <c r="E115" s="48"/>
      <c r="F115" s="48"/>
      <c r="G115" s="45"/>
      <c r="H115" s="40" t="str">
        <f t="shared" si="30"/>
        <v/>
      </c>
      <c r="I115" s="32" t="str">
        <f t="shared" si="31"/>
        <v/>
      </c>
      <c r="L115" s="19" t="str">
        <f t="shared" si="32"/>
        <v>Fluazinam</v>
      </c>
      <c r="M115" s="40" t="str">
        <f t="shared" si="33"/>
        <v/>
      </c>
      <c r="N115" s="69" t="str">
        <f>VLOOKUP(L115,KAL_1_5xvv01[],8)</f>
        <v/>
      </c>
      <c r="O115" s="38" t="str">
        <f t="shared" si="35"/>
        <v/>
      </c>
      <c r="P115" s="27" t="str">
        <f t="shared" si="36"/>
        <v/>
      </c>
      <c r="Q115" s="27">
        <f t="shared" si="34"/>
        <v>0</v>
      </c>
      <c r="R115" s="6"/>
      <c r="S115" s="6"/>
      <c r="T115" s="6"/>
      <c r="U115" s="6"/>
      <c r="V115" s="6"/>
    </row>
    <row r="116" spans="2:22" x14ac:dyDescent="0.2">
      <c r="B116" s="12" t="str">
        <f>$B$21</f>
        <v>Fludioxonil</v>
      </c>
      <c r="C116" s="40">
        <v>240.60000000000002</v>
      </c>
      <c r="D116" s="46"/>
      <c r="E116" s="48"/>
      <c r="F116" s="48"/>
      <c r="G116" s="45"/>
      <c r="H116" s="40" t="str">
        <f t="shared" si="30"/>
        <v/>
      </c>
      <c r="I116" s="32" t="str">
        <f t="shared" si="31"/>
        <v/>
      </c>
      <c r="L116" s="19" t="str">
        <f t="shared" si="32"/>
        <v>Fludioxonil</v>
      </c>
      <c r="M116" s="40" t="str">
        <f t="shared" si="33"/>
        <v/>
      </c>
      <c r="N116" s="69" t="str">
        <f>VLOOKUP(L116,KAL_1_5xvv01[],8)</f>
        <v/>
      </c>
      <c r="O116" s="38" t="str">
        <f t="shared" si="35"/>
        <v/>
      </c>
      <c r="P116" s="27" t="str">
        <f t="shared" si="36"/>
        <v/>
      </c>
      <c r="Q116" s="27">
        <f t="shared" si="34"/>
        <v>0</v>
      </c>
      <c r="R116" s="6"/>
      <c r="S116" s="6"/>
      <c r="T116" s="6"/>
      <c r="U116" s="6"/>
      <c r="V116" s="6"/>
    </row>
    <row r="117" spans="2:22" x14ac:dyDescent="0.2">
      <c r="B117" s="12" t="str">
        <f>$B$22</f>
        <v>Mesotrione</v>
      </c>
      <c r="C117" s="40">
        <v>241.58400000000003</v>
      </c>
      <c r="D117" s="46"/>
      <c r="E117" s="48"/>
      <c r="F117" s="48"/>
      <c r="G117" s="45"/>
      <c r="H117" s="40" t="str">
        <f t="shared" si="30"/>
        <v/>
      </c>
      <c r="I117" s="32" t="str">
        <f t="shared" si="31"/>
        <v/>
      </c>
      <c r="L117" s="19" t="str">
        <f t="shared" si="32"/>
        <v>Mesotrione</v>
      </c>
      <c r="M117" s="40" t="str">
        <f t="shared" si="33"/>
        <v/>
      </c>
      <c r="N117" s="69" t="str">
        <f>VLOOKUP(L117,KAL_1_5xvv01[],8)</f>
        <v/>
      </c>
      <c r="O117" s="38" t="str">
        <f t="shared" si="35"/>
        <v/>
      </c>
      <c r="P117" s="27" t="str">
        <f t="shared" si="36"/>
        <v/>
      </c>
      <c r="Q117" s="27">
        <f t="shared" si="34"/>
        <v>0</v>
      </c>
      <c r="R117" s="6"/>
      <c r="S117" s="6"/>
      <c r="T117" s="6"/>
      <c r="U117" s="6"/>
      <c r="V117" s="6"/>
    </row>
    <row r="118" spans="2:22" x14ac:dyDescent="0.2">
      <c r="B118" s="12" t="str">
        <f>$B$23</f>
        <v>Methoxyfenozide</v>
      </c>
      <c r="C118" s="40">
        <v>241.41600000000003</v>
      </c>
      <c r="D118" s="46"/>
      <c r="E118" s="48"/>
      <c r="F118" s="48"/>
      <c r="G118" s="45"/>
      <c r="H118" s="40" t="str">
        <f t="shared" si="30"/>
        <v/>
      </c>
      <c r="I118" s="32" t="str">
        <f t="shared" si="31"/>
        <v/>
      </c>
      <c r="L118" s="19" t="str">
        <f t="shared" si="32"/>
        <v>Methoxyfenozide</v>
      </c>
      <c r="M118" s="40" t="str">
        <f t="shared" si="33"/>
        <v/>
      </c>
      <c r="N118" s="69" t="str">
        <f>VLOOKUP(L118,KAL_1_5xvv01[],8)</f>
        <v/>
      </c>
      <c r="O118" s="38" t="str">
        <f t="shared" si="35"/>
        <v/>
      </c>
      <c r="P118" s="27" t="str">
        <f t="shared" si="36"/>
        <v/>
      </c>
      <c r="Q118" s="27">
        <f t="shared" si="34"/>
        <v>0</v>
      </c>
      <c r="R118" s="6"/>
      <c r="S118" s="6"/>
      <c r="T118" s="6"/>
      <c r="U118" s="6"/>
      <c r="V118" s="6"/>
    </row>
    <row r="119" spans="2:22" x14ac:dyDescent="0.2">
      <c r="B119" s="12" t="str">
        <f>$B$24</f>
        <v>Oxamyl</v>
      </c>
      <c r="C119" s="40">
        <v>242.49599999999998</v>
      </c>
      <c r="D119" s="46"/>
      <c r="E119" s="48"/>
      <c r="F119" s="48"/>
      <c r="G119" s="45"/>
      <c r="H119" s="40" t="str">
        <f t="shared" si="30"/>
        <v/>
      </c>
      <c r="I119" s="32" t="str">
        <f t="shared" si="31"/>
        <v/>
      </c>
      <c r="L119" s="19" t="str">
        <f t="shared" si="32"/>
        <v>Oxamyl</v>
      </c>
      <c r="M119" s="40" t="str">
        <f t="shared" si="33"/>
        <v/>
      </c>
      <c r="N119" s="69" t="str">
        <f>VLOOKUP(L119,KAL_1_5xvv01[],8)</f>
        <v/>
      </c>
      <c r="O119" s="38" t="str">
        <f t="shared" si="35"/>
        <v/>
      </c>
      <c r="P119" s="27" t="str">
        <f t="shared" si="36"/>
        <v/>
      </c>
      <c r="Q119" s="27">
        <f t="shared" si="34"/>
        <v>0</v>
      </c>
      <c r="R119" s="6"/>
      <c r="S119" s="6"/>
      <c r="T119" s="6"/>
      <c r="U119" s="6"/>
      <c r="V119" s="6"/>
    </row>
    <row r="120" spans="2:22" x14ac:dyDescent="0.2">
      <c r="B120" s="13" t="str">
        <f>$B$25</f>
        <v>Triallaat</v>
      </c>
      <c r="C120" s="41">
        <v>239.56800000000007</v>
      </c>
      <c r="D120" s="46"/>
      <c r="E120" s="48"/>
      <c r="F120" s="48"/>
      <c r="G120" s="45"/>
      <c r="H120" s="41" t="str">
        <f t="shared" si="30"/>
        <v/>
      </c>
      <c r="I120" s="32" t="str">
        <f t="shared" si="31"/>
        <v/>
      </c>
      <c r="L120" s="19" t="str">
        <f t="shared" si="32"/>
        <v>Triallaat</v>
      </c>
      <c r="M120" s="40" t="str">
        <f t="shared" si="33"/>
        <v/>
      </c>
      <c r="N120" s="69" t="str">
        <f>VLOOKUP(L120,KAL_1_5xvv01[],8)</f>
        <v/>
      </c>
      <c r="O120" s="38" t="str">
        <f t="shared" si="35"/>
        <v/>
      </c>
      <c r="P120" s="27" t="str">
        <f t="shared" si="36"/>
        <v/>
      </c>
      <c r="Q120" s="27">
        <f t="shared" si="34"/>
        <v>0</v>
      </c>
      <c r="R120" s="6"/>
      <c r="S120" s="6"/>
      <c r="T120" s="6"/>
      <c r="U120" s="6"/>
      <c r="V120" s="6"/>
    </row>
    <row r="121" spans="2:22" x14ac:dyDescent="0.2">
      <c r="P121" s="10" t="s">
        <v>107</v>
      </c>
      <c r="Q121" s="3">
        <f>SUM(Q105:Q120)</f>
        <v>0</v>
      </c>
    </row>
    <row r="122" spans="2:22" ht="20.25" x14ac:dyDescent="0.3">
      <c r="B122" s="8" t="s">
        <v>31</v>
      </c>
    </row>
    <row r="123" spans="2:22" ht="39" thickBot="1" x14ac:dyDescent="0.25">
      <c r="B123" s="15" t="s">
        <v>2</v>
      </c>
      <c r="C123" s="16" t="s">
        <v>3</v>
      </c>
      <c r="D123" s="16" t="s">
        <v>4</v>
      </c>
      <c r="E123" s="16" t="s">
        <v>161</v>
      </c>
      <c r="F123" s="16" t="s">
        <v>162</v>
      </c>
      <c r="G123" s="16" t="s">
        <v>5</v>
      </c>
      <c r="H123" s="43" t="s">
        <v>6</v>
      </c>
      <c r="I123" s="17" t="s">
        <v>7</v>
      </c>
    </row>
    <row r="124" spans="2:22" ht="13.5" thickTop="1" x14ac:dyDescent="0.2">
      <c r="B124" s="14" t="str">
        <f>$B$10</f>
        <v>Amisulbrom</v>
      </c>
      <c r="C124" s="22">
        <v>482.11199999999997</v>
      </c>
      <c r="D124" s="45"/>
      <c r="E124" s="47"/>
      <c r="F124" s="47"/>
      <c r="G124" s="45"/>
      <c r="H124" s="22" t="str">
        <f t="shared" ref="H124:H139" si="37">IF(G124="","",100*G124/C124)</f>
        <v/>
      </c>
      <c r="I124" s="32" t="str">
        <f t="shared" ref="I124:I139" si="38">IFERROR(MIN(E124,F124)/MAX(E124,F124)*100,"")</f>
        <v/>
      </c>
    </row>
    <row r="125" spans="2:22" x14ac:dyDescent="0.2">
      <c r="B125" s="12" t="str">
        <f>$B$11</f>
        <v>Clothianidine</v>
      </c>
      <c r="C125" s="40">
        <v>477.21600000000001</v>
      </c>
      <c r="D125" s="46"/>
      <c r="E125" s="48"/>
      <c r="F125" s="48"/>
      <c r="G125" s="45"/>
      <c r="H125" s="40" t="str">
        <f t="shared" si="37"/>
        <v/>
      </c>
      <c r="I125" s="32" t="str">
        <f t="shared" si="38"/>
        <v/>
      </c>
    </row>
    <row r="126" spans="2:22" x14ac:dyDescent="0.2">
      <c r="B126" s="12" t="str">
        <f>$B$12</f>
        <v>Cyazofamide</v>
      </c>
      <c r="C126" s="40">
        <v>480.19199999999995</v>
      </c>
      <c r="D126" s="46"/>
      <c r="E126" s="48"/>
      <c r="F126" s="48"/>
      <c r="G126" s="45"/>
      <c r="H126" s="40" t="str">
        <f t="shared" si="37"/>
        <v/>
      </c>
      <c r="I126" s="32" t="str">
        <f t="shared" si="38"/>
        <v/>
      </c>
    </row>
    <row r="127" spans="2:22" x14ac:dyDescent="0.2">
      <c r="B127" s="12" t="str">
        <f>$B$13</f>
        <v>Cymoxanil</v>
      </c>
      <c r="C127" s="40">
        <v>478.99199999999996</v>
      </c>
      <c r="D127" s="46"/>
      <c r="E127" s="48"/>
      <c r="F127" s="48"/>
      <c r="G127" s="45"/>
      <c r="H127" s="40" t="str">
        <f t="shared" si="37"/>
        <v/>
      </c>
      <c r="I127" s="32" t="str">
        <f t="shared" si="38"/>
        <v/>
      </c>
    </row>
    <row r="128" spans="2:22" x14ac:dyDescent="0.2">
      <c r="B128" s="12" t="str">
        <f>$B$14</f>
        <v>Desmedifam</v>
      </c>
      <c r="C128" s="40">
        <v>481.24800000000016</v>
      </c>
      <c r="D128" s="46"/>
      <c r="E128" s="48"/>
      <c r="F128" s="48"/>
      <c r="G128" s="45"/>
      <c r="H128" s="40" t="str">
        <f t="shared" si="37"/>
        <v/>
      </c>
      <c r="I128" s="32" t="str">
        <f t="shared" si="38"/>
        <v/>
      </c>
    </row>
    <row r="129" spans="2:9" x14ac:dyDescent="0.2">
      <c r="B129" s="12" t="str">
        <f>$B$15</f>
        <v>Fenmedifam</v>
      </c>
      <c r="C129" s="40">
        <v>479.61599999999999</v>
      </c>
      <c r="D129" s="46"/>
      <c r="E129" s="48"/>
      <c r="F129" s="48"/>
      <c r="G129" s="45"/>
      <c r="H129" s="40" t="str">
        <f t="shared" si="37"/>
        <v/>
      </c>
      <c r="I129" s="32" t="str">
        <f t="shared" si="38"/>
        <v/>
      </c>
    </row>
    <row r="130" spans="2:9" x14ac:dyDescent="0.2">
      <c r="B130" s="12" t="str">
        <f>$B$16</f>
        <v>Fenoxycarb</v>
      </c>
      <c r="C130" s="40">
        <v>489.79200000000003</v>
      </c>
      <c r="D130" s="46"/>
      <c r="E130" s="48"/>
      <c r="F130" s="48"/>
      <c r="G130" s="45"/>
      <c r="H130" s="40" t="str">
        <f t="shared" si="37"/>
        <v/>
      </c>
      <c r="I130" s="32" t="str">
        <f t="shared" si="38"/>
        <v/>
      </c>
    </row>
    <row r="131" spans="2:9" x14ac:dyDescent="0.2">
      <c r="B131" s="12" t="str">
        <f>$B$17</f>
        <v>Fipronil</v>
      </c>
      <c r="C131" s="40">
        <v>480.62400000000002</v>
      </c>
      <c r="D131" s="46"/>
      <c r="E131" s="48"/>
      <c r="F131" s="48"/>
      <c r="G131" s="45"/>
      <c r="H131" s="40" t="str">
        <f t="shared" si="37"/>
        <v/>
      </c>
      <c r="I131" s="32" t="str">
        <f t="shared" si="38"/>
        <v/>
      </c>
    </row>
    <row r="132" spans="2:9" x14ac:dyDescent="0.2">
      <c r="B132" s="12" t="str">
        <f>$B$18</f>
        <v>Florasulam</v>
      </c>
      <c r="C132" s="40">
        <v>482.44800000000009</v>
      </c>
      <c r="D132" s="46"/>
      <c r="E132" s="48"/>
      <c r="F132" s="48"/>
      <c r="G132" s="45"/>
      <c r="H132" s="40" t="str">
        <f t="shared" si="37"/>
        <v/>
      </c>
      <c r="I132" s="32" t="str">
        <f t="shared" si="38"/>
        <v/>
      </c>
    </row>
    <row r="133" spans="2:9" x14ac:dyDescent="0.2">
      <c r="B133" s="12" t="str">
        <f>$B$19</f>
        <v>Fluazifop-P-butyl</v>
      </c>
      <c r="C133" s="40">
        <v>483.12</v>
      </c>
      <c r="D133" s="46"/>
      <c r="E133" s="48"/>
      <c r="F133" s="48"/>
      <c r="G133" s="45"/>
      <c r="H133" s="40" t="str">
        <f t="shared" si="37"/>
        <v/>
      </c>
      <c r="I133" s="32" t="str">
        <f t="shared" si="38"/>
        <v/>
      </c>
    </row>
    <row r="134" spans="2:9" x14ac:dyDescent="0.2">
      <c r="B134" s="12" t="str">
        <f>$B$20</f>
        <v>Fluazinam</v>
      </c>
      <c r="C134" s="40">
        <v>484.60799999999995</v>
      </c>
      <c r="D134" s="46"/>
      <c r="E134" s="48"/>
      <c r="F134" s="48"/>
      <c r="G134" s="45"/>
      <c r="H134" s="40" t="str">
        <f t="shared" si="37"/>
        <v/>
      </c>
      <c r="I134" s="32" t="str">
        <f t="shared" si="38"/>
        <v/>
      </c>
    </row>
    <row r="135" spans="2:9" x14ac:dyDescent="0.2">
      <c r="B135" s="12" t="str">
        <f>$B$21</f>
        <v>Fludioxonil</v>
      </c>
      <c r="C135" s="40">
        <v>481.20000000000005</v>
      </c>
      <c r="D135" s="46"/>
      <c r="E135" s="48"/>
      <c r="F135" s="48"/>
      <c r="G135" s="45"/>
      <c r="H135" s="40" t="str">
        <f t="shared" si="37"/>
        <v/>
      </c>
      <c r="I135" s="32" t="str">
        <f t="shared" si="38"/>
        <v/>
      </c>
    </row>
    <row r="136" spans="2:9" x14ac:dyDescent="0.2">
      <c r="B136" s="12" t="str">
        <f>$B$22</f>
        <v>Mesotrione</v>
      </c>
      <c r="C136" s="40">
        <v>483.16800000000006</v>
      </c>
      <c r="D136" s="46"/>
      <c r="E136" s="48"/>
      <c r="F136" s="48"/>
      <c r="G136" s="45"/>
      <c r="H136" s="40" t="str">
        <f t="shared" si="37"/>
        <v/>
      </c>
      <c r="I136" s="32" t="str">
        <f t="shared" si="38"/>
        <v/>
      </c>
    </row>
    <row r="137" spans="2:9" x14ac:dyDescent="0.2">
      <c r="B137" s="12" t="str">
        <f>$B$23</f>
        <v>Methoxyfenozide</v>
      </c>
      <c r="C137" s="40">
        <v>482.83200000000005</v>
      </c>
      <c r="D137" s="46"/>
      <c r="E137" s="48"/>
      <c r="F137" s="48"/>
      <c r="G137" s="45"/>
      <c r="H137" s="40" t="str">
        <f t="shared" si="37"/>
        <v/>
      </c>
      <c r="I137" s="32" t="str">
        <f t="shared" si="38"/>
        <v/>
      </c>
    </row>
    <row r="138" spans="2:9" x14ac:dyDescent="0.2">
      <c r="B138" s="12" t="str">
        <f>$B$24</f>
        <v>Oxamyl</v>
      </c>
      <c r="C138" s="40">
        <v>484.99199999999996</v>
      </c>
      <c r="D138" s="46"/>
      <c r="E138" s="48"/>
      <c r="F138" s="48"/>
      <c r="G138" s="45"/>
      <c r="H138" s="40" t="str">
        <f t="shared" si="37"/>
        <v/>
      </c>
      <c r="I138" s="32" t="str">
        <f t="shared" si="38"/>
        <v/>
      </c>
    </row>
    <row r="139" spans="2:9" x14ac:dyDescent="0.2">
      <c r="B139" s="13" t="str">
        <f>$B$25</f>
        <v>Triallaat</v>
      </c>
      <c r="C139" s="41">
        <v>479.13600000000014</v>
      </c>
      <c r="D139" s="46"/>
      <c r="E139" s="48"/>
      <c r="F139" s="48"/>
      <c r="G139" s="45"/>
      <c r="H139" s="41" t="str">
        <f t="shared" si="37"/>
        <v/>
      </c>
      <c r="I139" s="32" t="str">
        <f t="shared" si="38"/>
        <v/>
      </c>
    </row>
    <row r="141" spans="2:9" ht="20.25" x14ac:dyDescent="0.3">
      <c r="B141" s="8" t="s">
        <v>32</v>
      </c>
    </row>
    <row r="142" spans="2:9" ht="39" thickBot="1" x14ac:dyDescent="0.25">
      <c r="B142" s="15" t="s">
        <v>2</v>
      </c>
      <c r="C142" s="16" t="s">
        <v>3</v>
      </c>
      <c r="D142" s="16" t="s">
        <v>4</v>
      </c>
      <c r="E142" s="16" t="s">
        <v>161</v>
      </c>
      <c r="F142" s="16" t="s">
        <v>162</v>
      </c>
      <c r="G142" s="16" t="s">
        <v>5</v>
      </c>
      <c r="H142" s="43" t="s">
        <v>6</v>
      </c>
      <c r="I142" s="17" t="s">
        <v>7</v>
      </c>
    </row>
    <row r="143" spans="2:9" ht="13.5" thickTop="1" x14ac:dyDescent="0.2">
      <c r="B143" s="14" t="str">
        <f>$B$10</f>
        <v>Amisulbrom</v>
      </c>
      <c r="C143" s="27" t="s">
        <v>9</v>
      </c>
      <c r="D143" s="45"/>
      <c r="E143" s="47"/>
      <c r="F143" s="47"/>
      <c r="G143" s="45"/>
      <c r="H143" s="22" t="s">
        <v>10</v>
      </c>
      <c r="I143" s="32" t="str">
        <f t="shared" ref="I143:I158" si="39">IFERROR(MIN(E143,F143)/MAX(E143,F143)*100,"")</f>
        <v/>
      </c>
    </row>
    <row r="144" spans="2:9" x14ac:dyDescent="0.2">
      <c r="B144" s="12" t="str">
        <f>$B$11</f>
        <v>Clothianidine</v>
      </c>
      <c r="C144" s="28" t="s">
        <v>9</v>
      </c>
      <c r="D144" s="46"/>
      <c r="E144" s="48"/>
      <c r="F144" s="48"/>
      <c r="G144" s="45"/>
      <c r="H144" s="40" t="s">
        <v>10</v>
      </c>
      <c r="I144" s="32" t="str">
        <f t="shared" si="39"/>
        <v/>
      </c>
    </row>
    <row r="145" spans="2:10" x14ac:dyDescent="0.2">
      <c r="B145" s="12" t="str">
        <f>$B$12</f>
        <v>Cyazofamide</v>
      </c>
      <c r="C145" s="28" t="s">
        <v>9</v>
      </c>
      <c r="D145" s="46"/>
      <c r="E145" s="48"/>
      <c r="F145" s="48"/>
      <c r="G145" s="45"/>
      <c r="H145" s="40" t="s">
        <v>10</v>
      </c>
      <c r="I145" s="32" t="str">
        <f t="shared" si="39"/>
        <v/>
      </c>
    </row>
    <row r="146" spans="2:10" x14ac:dyDescent="0.2">
      <c r="B146" s="12" t="str">
        <f>$B$13</f>
        <v>Cymoxanil</v>
      </c>
      <c r="C146" s="28" t="s">
        <v>9</v>
      </c>
      <c r="D146" s="46"/>
      <c r="E146" s="48"/>
      <c r="F146" s="48"/>
      <c r="G146" s="45"/>
      <c r="H146" s="40" t="s">
        <v>10</v>
      </c>
      <c r="I146" s="32" t="str">
        <f t="shared" si="39"/>
        <v/>
      </c>
    </row>
    <row r="147" spans="2:10" x14ac:dyDescent="0.2">
      <c r="B147" s="12" t="str">
        <f>$B$14</f>
        <v>Desmedifam</v>
      </c>
      <c r="C147" s="28" t="s">
        <v>9</v>
      </c>
      <c r="D147" s="46"/>
      <c r="E147" s="48"/>
      <c r="F147" s="48"/>
      <c r="G147" s="45"/>
      <c r="H147" s="40" t="s">
        <v>10</v>
      </c>
      <c r="I147" s="32" t="str">
        <f t="shared" si="39"/>
        <v/>
      </c>
    </row>
    <row r="148" spans="2:10" x14ac:dyDescent="0.2">
      <c r="B148" s="12" t="str">
        <f>$B$15</f>
        <v>Fenmedifam</v>
      </c>
      <c r="C148" s="28" t="s">
        <v>9</v>
      </c>
      <c r="D148" s="46"/>
      <c r="E148" s="48"/>
      <c r="F148" s="48"/>
      <c r="G148" s="45"/>
      <c r="H148" s="40" t="s">
        <v>10</v>
      </c>
      <c r="I148" s="32" t="str">
        <f t="shared" si="39"/>
        <v/>
      </c>
    </row>
    <row r="149" spans="2:10" x14ac:dyDescent="0.2">
      <c r="B149" s="12" t="str">
        <f>$B$16</f>
        <v>Fenoxycarb</v>
      </c>
      <c r="C149" s="28" t="s">
        <v>9</v>
      </c>
      <c r="D149" s="46"/>
      <c r="E149" s="48"/>
      <c r="F149" s="48"/>
      <c r="G149" s="45"/>
      <c r="H149" s="40" t="s">
        <v>10</v>
      </c>
      <c r="I149" s="32" t="str">
        <f t="shared" si="39"/>
        <v/>
      </c>
    </row>
    <row r="150" spans="2:10" x14ac:dyDescent="0.2">
      <c r="B150" s="12" t="str">
        <f>$B$17</f>
        <v>Fipronil</v>
      </c>
      <c r="C150" s="28" t="s">
        <v>9</v>
      </c>
      <c r="D150" s="46"/>
      <c r="E150" s="48"/>
      <c r="F150" s="48"/>
      <c r="G150" s="45"/>
      <c r="H150" s="40" t="s">
        <v>10</v>
      </c>
      <c r="I150" s="32" t="str">
        <f t="shared" si="39"/>
        <v/>
      </c>
    </row>
    <row r="151" spans="2:10" x14ac:dyDescent="0.2">
      <c r="B151" s="12" t="str">
        <f>$B$18</f>
        <v>Florasulam</v>
      </c>
      <c r="C151" s="28" t="s">
        <v>9</v>
      </c>
      <c r="D151" s="46"/>
      <c r="E151" s="48"/>
      <c r="F151" s="48"/>
      <c r="G151" s="45"/>
      <c r="H151" s="40" t="s">
        <v>10</v>
      </c>
      <c r="I151" s="32" t="str">
        <f t="shared" si="39"/>
        <v/>
      </c>
    </row>
    <row r="152" spans="2:10" x14ac:dyDescent="0.2">
      <c r="B152" s="12" t="str">
        <f>$B$19</f>
        <v>Fluazifop-P-butyl</v>
      </c>
      <c r="C152" s="28" t="s">
        <v>9</v>
      </c>
      <c r="D152" s="46"/>
      <c r="E152" s="48"/>
      <c r="F152" s="48"/>
      <c r="G152" s="45"/>
      <c r="H152" s="40" t="s">
        <v>10</v>
      </c>
      <c r="I152" s="32" t="str">
        <f t="shared" si="39"/>
        <v/>
      </c>
    </row>
    <row r="153" spans="2:10" x14ac:dyDescent="0.2">
      <c r="B153" s="12" t="str">
        <f>$B$20</f>
        <v>Fluazinam</v>
      </c>
      <c r="C153" s="28" t="s">
        <v>9</v>
      </c>
      <c r="D153" s="46"/>
      <c r="E153" s="48"/>
      <c r="F153" s="48"/>
      <c r="G153" s="45"/>
      <c r="H153" s="40" t="s">
        <v>10</v>
      </c>
      <c r="I153" s="32" t="str">
        <f t="shared" si="39"/>
        <v/>
      </c>
    </row>
    <row r="154" spans="2:10" x14ac:dyDescent="0.2">
      <c r="B154" s="12" t="str">
        <f>$B$21</f>
        <v>Fludioxonil</v>
      </c>
      <c r="C154" s="28" t="s">
        <v>9</v>
      </c>
      <c r="D154" s="46"/>
      <c r="E154" s="48"/>
      <c r="F154" s="48"/>
      <c r="G154" s="45"/>
      <c r="H154" s="40" t="s">
        <v>10</v>
      </c>
      <c r="I154" s="32" t="str">
        <f t="shared" si="39"/>
        <v/>
      </c>
    </row>
    <row r="155" spans="2:10" x14ac:dyDescent="0.2">
      <c r="B155" s="12" t="str">
        <f>$B$22</f>
        <v>Mesotrione</v>
      </c>
      <c r="C155" s="28" t="s">
        <v>9</v>
      </c>
      <c r="D155" s="46"/>
      <c r="E155" s="48"/>
      <c r="F155" s="48"/>
      <c r="G155" s="45"/>
      <c r="H155" s="40" t="s">
        <v>10</v>
      </c>
      <c r="I155" s="32" t="str">
        <f t="shared" si="39"/>
        <v/>
      </c>
    </row>
    <row r="156" spans="2:10" x14ac:dyDescent="0.2">
      <c r="B156" s="12" t="str">
        <f>$B$23</f>
        <v>Methoxyfenozide</v>
      </c>
      <c r="C156" s="28" t="s">
        <v>9</v>
      </c>
      <c r="D156" s="46"/>
      <c r="E156" s="48"/>
      <c r="F156" s="48"/>
      <c r="G156" s="45"/>
      <c r="H156" s="40" t="s">
        <v>10</v>
      </c>
      <c r="I156" s="32" t="str">
        <f t="shared" si="39"/>
        <v/>
      </c>
    </row>
    <row r="157" spans="2:10" x14ac:dyDescent="0.2">
      <c r="B157" s="12" t="str">
        <f>$B$24</f>
        <v>Oxamyl</v>
      </c>
      <c r="C157" s="28" t="s">
        <v>9</v>
      </c>
      <c r="D157" s="46"/>
      <c r="E157" s="48"/>
      <c r="F157" s="48"/>
      <c r="G157" s="45"/>
      <c r="H157" s="40" t="s">
        <v>10</v>
      </c>
      <c r="I157" s="32" t="str">
        <f t="shared" si="39"/>
        <v/>
      </c>
    </row>
    <row r="158" spans="2:10" x14ac:dyDescent="0.2">
      <c r="B158" s="13" t="str">
        <f>$B$25</f>
        <v>Triallaat</v>
      </c>
      <c r="C158" s="33" t="s">
        <v>9</v>
      </c>
      <c r="D158" s="46"/>
      <c r="E158" s="48"/>
      <c r="F158" s="48"/>
      <c r="G158" s="45"/>
      <c r="H158" s="41" t="s">
        <v>10</v>
      </c>
      <c r="I158" s="32" t="str">
        <f t="shared" si="39"/>
        <v/>
      </c>
    </row>
    <row r="159" spans="2:10" x14ac:dyDescent="0.2">
      <c r="B159" s="10"/>
      <c r="C159" s="11"/>
      <c r="D159" s="11"/>
      <c r="E159" s="11"/>
      <c r="F159" s="11"/>
      <c r="G159" s="11"/>
      <c r="H159" s="78"/>
      <c r="I159" s="11"/>
      <c r="J159" s="74"/>
    </row>
    <row r="160" spans="2:10" ht="20.25" x14ac:dyDescent="0.3">
      <c r="B160" s="8" t="s">
        <v>33</v>
      </c>
    </row>
    <row r="161" spans="2:9" ht="39" thickBot="1" x14ac:dyDescent="0.25">
      <c r="B161" s="15" t="s">
        <v>2</v>
      </c>
      <c r="C161" s="16" t="s">
        <v>3</v>
      </c>
      <c r="D161" s="16" t="s">
        <v>4</v>
      </c>
      <c r="E161" s="16" t="s">
        <v>161</v>
      </c>
      <c r="F161" s="16" t="s">
        <v>162</v>
      </c>
      <c r="G161" s="16" t="s">
        <v>5</v>
      </c>
      <c r="H161" s="43" t="s">
        <v>6</v>
      </c>
      <c r="I161" s="17" t="s">
        <v>7</v>
      </c>
    </row>
    <row r="162" spans="2:9" ht="13.5" thickTop="1" x14ac:dyDescent="0.2">
      <c r="B162" s="14" t="str">
        <f>$B$10</f>
        <v>Amisulbrom</v>
      </c>
      <c r="C162" s="27" t="s">
        <v>9</v>
      </c>
      <c r="D162" s="45"/>
      <c r="E162" s="47"/>
      <c r="F162" s="47"/>
      <c r="G162" s="45"/>
      <c r="H162" s="22" t="s">
        <v>10</v>
      </c>
      <c r="I162" s="32" t="str">
        <f t="shared" ref="I162:I177" si="40">IFERROR(MIN(E162,F162)/MAX(E162,F162)*100,"")</f>
        <v/>
      </c>
    </row>
    <row r="163" spans="2:9" x14ac:dyDescent="0.2">
      <c r="B163" s="12" t="str">
        <f>$B$11</f>
        <v>Clothianidine</v>
      </c>
      <c r="C163" s="28" t="s">
        <v>9</v>
      </c>
      <c r="D163" s="46"/>
      <c r="E163" s="48"/>
      <c r="F163" s="48"/>
      <c r="G163" s="45"/>
      <c r="H163" s="40" t="s">
        <v>10</v>
      </c>
      <c r="I163" s="32" t="str">
        <f t="shared" si="40"/>
        <v/>
      </c>
    </row>
    <row r="164" spans="2:9" x14ac:dyDescent="0.2">
      <c r="B164" s="12" t="str">
        <f>$B$12</f>
        <v>Cyazofamide</v>
      </c>
      <c r="C164" s="28" t="s">
        <v>9</v>
      </c>
      <c r="D164" s="46"/>
      <c r="E164" s="48"/>
      <c r="F164" s="48"/>
      <c r="G164" s="45"/>
      <c r="H164" s="40" t="s">
        <v>10</v>
      </c>
      <c r="I164" s="32" t="str">
        <f t="shared" si="40"/>
        <v/>
      </c>
    </row>
    <row r="165" spans="2:9" x14ac:dyDescent="0.2">
      <c r="B165" s="12" t="str">
        <f>$B$13</f>
        <v>Cymoxanil</v>
      </c>
      <c r="C165" s="28" t="s">
        <v>9</v>
      </c>
      <c r="D165" s="46"/>
      <c r="E165" s="48"/>
      <c r="F165" s="48"/>
      <c r="G165" s="45"/>
      <c r="H165" s="40" t="s">
        <v>10</v>
      </c>
      <c r="I165" s="32" t="str">
        <f t="shared" si="40"/>
        <v/>
      </c>
    </row>
    <row r="166" spans="2:9" x14ac:dyDescent="0.2">
      <c r="B166" s="12" t="str">
        <f>$B$14</f>
        <v>Desmedifam</v>
      </c>
      <c r="C166" s="28" t="s">
        <v>9</v>
      </c>
      <c r="D166" s="46"/>
      <c r="E166" s="48"/>
      <c r="F166" s="48"/>
      <c r="G166" s="45"/>
      <c r="H166" s="40" t="s">
        <v>10</v>
      </c>
      <c r="I166" s="32" t="str">
        <f t="shared" si="40"/>
        <v/>
      </c>
    </row>
    <row r="167" spans="2:9" x14ac:dyDescent="0.2">
      <c r="B167" s="12" t="str">
        <f>$B$15</f>
        <v>Fenmedifam</v>
      </c>
      <c r="C167" s="28" t="s">
        <v>9</v>
      </c>
      <c r="D167" s="46"/>
      <c r="E167" s="48"/>
      <c r="F167" s="48"/>
      <c r="G167" s="45"/>
      <c r="H167" s="40" t="s">
        <v>10</v>
      </c>
      <c r="I167" s="32" t="str">
        <f t="shared" si="40"/>
        <v/>
      </c>
    </row>
    <row r="168" spans="2:9" x14ac:dyDescent="0.2">
      <c r="B168" s="12" t="str">
        <f>$B$16</f>
        <v>Fenoxycarb</v>
      </c>
      <c r="C168" s="28" t="s">
        <v>9</v>
      </c>
      <c r="D168" s="46"/>
      <c r="E168" s="48"/>
      <c r="F168" s="48"/>
      <c r="G168" s="45"/>
      <c r="H168" s="40" t="s">
        <v>10</v>
      </c>
      <c r="I168" s="32" t="str">
        <f t="shared" si="40"/>
        <v/>
      </c>
    </row>
    <row r="169" spans="2:9" x14ac:dyDescent="0.2">
      <c r="B169" s="12" t="str">
        <f>$B$17</f>
        <v>Fipronil</v>
      </c>
      <c r="C169" s="28" t="s">
        <v>9</v>
      </c>
      <c r="D169" s="46"/>
      <c r="E169" s="48"/>
      <c r="F169" s="48"/>
      <c r="G169" s="45"/>
      <c r="H169" s="40" t="s">
        <v>10</v>
      </c>
      <c r="I169" s="32" t="str">
        <f t="shared" si="40"/>
        <v/>
      </c>
    </row>
    <row r="170" spans="2:9" x14ac:dyDescent="0.2">
      <c r="B170" s="12" t="str">
        <f>$B$18</f>
        <v>Florasulam</v>
      </c>
      <c r="C170" s="28" t="s">
        <v>9</v>
      </c>
      <c r="D170" s="46"/>
      <c r="E170" s="48"/>
      <c r="F170" s="48"/>
      <c r="G170" s="45"/>
      <c r="H170" s="40" t="s">
        <v>10</v>
      </c>
      <c r="I170" s="32" t="str">
        <f t="shared" si="40"/>
        <v/>
      </c>
    </row>
    <row r="171" spans="2:9" x14ac:dyDescent="0.2">
      <c r="B171" s="12" t="str">
        <f>$B$19</f>
        <v>Fluazifop-P-butyl</v>
      </c>
      <c r="C171" s="28" t="s">
        <v>9</v>
      </c>
      <c r="D171" s="46"/>
      <c r="E171" s="48"/>
      <c r="F171" s="48"/>
      <c r="G171" s="45"/>
      <c r="H171" s="40" t="s">
        <v>10</v>
      </c>
      <c r="I171" s="32" t="str">
        <f t="shared" si="40"/>
        <v/>
      </c>
    </row>
    <row r="172" spans="2:9" x14ac:dyDescent="0.2">
      <c r="B172" s="12" t="str">
        <f>$B$20</f>
        <v>Fluazinam</v>
      </c>
      <c r="C172" s="28" t="s">
        <v>9</v>
      </c>
      <c r="D172" s="46"/>
      <c r="E172" s="48"/>
      <c r="F172" s="48"/>
      <c r="G172" s="45"/>
      <c r="H172" s="40" t="s">
        <v>10</v>
      </c>
      <c r="I172" s="32" t="str">
        <f t="shared" si="40"/>
        <v/>
      </c>
    </row>
    <row r="173" spans="2:9" x14ac:dyDescent="0.2">
      <c r="B173" s="12" t="str">
        <f>$B$21</f>
        <v>Fludioxonil</v>
      </c>
      <c r="C173" s="28" t="s">
        <v>9</v>
      </c>
      <c r="D173" s="46"/>
      <c r="E173" s="48"/>
      <c r="F173" s="48"/>
      <c r="G173" s="45"/>
      <c r="H173" s="40" t="s">
        <v>10</v>
      </c>
      <c r="I173" s="32" t="str">
        <f t="shared" si="40"/>
        <v/>
      </c>
    </row>
    <row r="174" spans="2:9" x14ac:dyDescent="0.2">
      <c r="B174" s="12" t="str">
        <f>$B$22</f>
        <v>Mesotrione</v>
      </c>
      <c r="C174" s="28" t="s">
        <v>9</v>
      </c>
      <c r="D174" s="46"/>
      <c r="E174" s="48"/>
      <c r="F174" s="48"/>
      <c r="G174" s="45"/>
      <c r="H174" s="40" t="s">
        <v>10</v>
      </c>
      <c r="I174" s="32" t="str">
        <f t="shared" si="40"/>
        <v/>
      </c>
    </row>
    <row r="175" spans="2:9" x14ac:dyDescent="0.2">
      <c r="B175" s="12" t="str">
        <f>$B$23</f>
        <v>Methoxyfenozide</v>
      </c>
      <c r="C175" s="28" t="s">
        <v>9</v>
      </c>
      <c r="D175" s="46"/>
      <c r="E175" s="48"/>
      <c r="F175" s="48"/>
      <c r="G175" s="45"/>
      <c r="H175" s="40" t="s">
        <v>10</v>
      </c>
      <c r="I175" s="32" t="str">
        <f t="shared" si="40"/>
        <v/>
      </c>
    </row>
    <row r="176" spans="2:9" x14ac:dyDescent="0.2">
      <c r="B176" s="12" t="str">
        <f>$B$24</f>
        <v>Oxamyl</v>
      </c>
      <c r="C176" s="28" t="s">
        <v>9</v>
      </c>
      <c r="D176" s="46"/>
      <c r="E176" s="48"/>
      <c r="F176" s="48"/>
      <c r="G176" s="45"/>
      <c r="H176" s="40" t="s">
        <v>10</v>
      </c>
      <c r="I176" s="32" t="str">
        <f t="shared" si="40"/>
        <v/>
      </c>
    </row>
    <row r="177" spans="2:10" x14ac:dyDescent="0.2">
      <c r="B177" s="13" t="str">
        <f>$B$25</f>
        <v>Triallaat</v>
      </c>
      <c r="C177" s="33" t="s">
        <v>9</v>
      </c>
      <c r="D177" s="46"/>
      <c r="E177" s="48"/>
      <c r="F177" s="48"/>
      <c r="G177" s="45"/>
      <c r="H177" s="41" t="s">
        <v>10</v>
      </c>
      <c r="I177" s="32" t="str">
        <f t="shared" si="40"/>
        <v/>
      </c>
    </row>
    <row r="178" spans="2:10" x14ac:dyDescent="0.2">
      <c r="B178" s="10"/>
      <c r="C178" s="11"/>
      <c r="D178" s="11"/>
      <c r="E178" s="11"/>
      <c r="F178" s="11"/>
      <c r="G178" s="11"/>
      <c r="H178" s="78"/>
      <c r="I178" s="11"/>
      <c r="J178" s="74"/>
    </row>
    <row r="179" spans="2:10" ht="20.25" x14ac:dyDescent="0.3">
      <c r="B179" s="8" t="s">
        <v>80</v>
      </c>
    </row>
    <row r="180" spans="2:10" ht="39" thickBot="1" x14ac:dyDescent="0.25">
      <c r="B180" s="15" t="s">
        <v>2</v>
      </c>
      <c r="C180" s="16" t="s">
        <v>3</v>
      </c>
      <c r="D180" s="16" t="s">
        <v>4</v>
      </c>
      <c r="E180" s="16" t="s">
        <v>161</v>
      </c>
      <c r="F180" s="16" t="s">
        <v>162</v>
      </c>
      <c r="G180" s="16" t="s">
        <v>5</v>
      </c>
      <c r="H180" s="43" t="s">
        <v>6</v>
      </c>
      <c r="I180" s="17" t="s">
        <v>7</v>
      </c>
    </row>
    <row r="181" spans="2:10" ht="13.5" thickTop="1" x14ac:dyDescent="0.2">
      <c r="B181" s="14" t="str">
        <f>$B$10</f>
        <v>Amisulbrom</v>
      </c>
      <c r="C181" s="27" t="s">
        <v>9</v>
      </c>
      <c r="D181" s="45"/>
      <c r="E181" s="47"/>
      <c r="F181" s="47"/>
      <c r="G181" s="45"/>
      <c r="H181" s="22" t="s">
        <v>10</v>
      </c>
      <c r="I181" s="32" t="str">
        <f t="shared" ref="I181:I196" si="41">IFERROR(MIN(E181,F181)/MAX(E181,F181)*100,"")</f>
        <v/>
      </c>
    </row>
    <row r="182" spans="2:10" x14ac:dyDescent="0.2">
      <c r="B182" s="12" t="str">
        <f>$B$11</f>
        <v>Clothianidine</v>
      </c>
      <c r="C182" s="28" t="s">
        <v>9</v>
      </c>
      <c r="D182" s="46"/>
      <c r="E182" s="48"/>
      <c r="F182" s="48"/>
      <c r="G182" s="45"/>
      <c r="H182" s="40" t="s">
        <v>10</v>
      </c>
      <c r="I182" s="32" t="str">
        <f t="shared" si="41"/>
        <v/>
      </c>
    </row>
    <row r="183" spans="2:10" x14ac:dyDescent="0.2">
      <c r="B183" s="12" t="str">
        <f>$B$12</f>
        <v>Cyazofamide</v>
      </c>
      <c r="C183" s="28" t="s">
        <v>9</v>
      </c>
      <c r="D183" s="46"/>
      <c r="E183" s="48"/>
      <c r="F183" s="48"/>
      <c r="G183" s="45"/>
      <c r="H183" s="40" t="s">
        <v>10</v>
      </c>
      <c r="I183" s="32" t="str">
        <f t="shared" si="41"/>
        <v/>
      </c>
    </row>
    <row r="184" spans="2:10" x14ac:dyDescent="0.2">
      <c r="B184" s="12" t="str">
        <f>$B$13</f>
        <v>Cymoxanil</v>
      </c>
      <c r="C184" s="28" t="s">
        <v>9</v>
      </c>
      <c r="D184" s="46"/>
      <c r="E184" s="48"/>
      <c r="F184" s="48"/>
      <c r="G184" s="45"/>
      <c r="H184" s="40" t="s">
        <v>10</v>
      </c>
      <c r="I184" s="32" t="str">
        <f t="shared" si="41"/>
        <v/>
      </c>
    </row>
    <row r="185" spans="2:10" x14ac:dyDescent="0.2">
      <c r="B185" s="12" t="str">
        <f>$B$14</f>
        <v>Desmedifam</v>
      </c>
      <c r="C185" s="28" t="s">
        <v>9</v>
      </c>
      <c r="D185" s="46"/>
      <c r="E185" s="48"/>
      <c r="F185" s="48"/>
      <c r="G185" s="45"/>
      <c r="H185" s="40" t="s">
        <v>10</v>
      </c>
      <c r="I185" s="32" t="str">
        <f t="shared" si="41"/>
        <v/>
      </c>
    </row>
    <row r="186" spans="2:10" x14ac:dyDescent="0.2">
      <c r="B186" s="12" t="str">
        <f>$B$15</f>
        <v>Fenmedifam</v>
      </c>
      <c r="C186" s="28" t="s">
        <v>9</v>
      </c>
      <c r="D186" s="46"/>
      <c r="E186" s="48"/>
      <c r="F186" s="48"/>
      <c r="G186" s="45"/>
      <c r="H186" s="40" t="s">
        <v>10</v>
      </c>
      <c r="I186" s="32" t="str">
        <f t="shared" si="41"/>
        <v/>
      </c>
    </row>
    <row r="187" spans="2:10" x14ac:dyDescent="0.2">
      <c r="B187" s="12" t="str">
        <f>$B$16</f>
        <v>Fenoxycarb</v>
      </c>
      <c r="C187" s="28" t="s">
        <v>9</v>
      </c>
      <c r="D187" s="46"/>
      <c r="E187" s="48"/>
      <c r="F187" s="48"/>
      <c r="G187" s="45"/>
      <c r="H187" s="40" t="s">
        <v>10</v>
      </c>
      <c r="I187" s="32" t="str">
        <f t="shared" si="41"/>
        <v/>
      </c>
    </row>
    <row r="188" spans="2:10" x14ac:dyDescent="0.2">
      <c r="B188" s="12" t="str">
        <f>$B$17</f>
        <v>Fipronil</v>
      </c>
      <c r="C188" s="28" t="s">
        <v>9</v>
      </c>
      <c r="D188" s="46"/>
      <c r="E188" s="48"/>
      <c r="F188" s="48"/>
      <c r="G188" s="45"/>
      <c r="H188" s="40" t="s">
        <v>10</v>
      </c>
      <c r="I188" s="32" t="str">
        <f t="shared" si="41"/>
        <v/>
      </c>
    </row>
    <row r="189" spans="2:10" x14ac:dyDescent="0.2">
      <c r="B189" s="12" t="str">
        <f>$B$18</f>
        <v>Florasulam</v>
      </c>
      <c r="C189" s="28" t="s">
        <v>9</v>
      </c>
      <c r="D189" s="46"/>
      <c r="E189" s="48"/>
      <c r="F189" s="48"/>
      <c r="G189" s="45"/>
      <c r="H189" s="40" t="s">
        <v>10</v>
      </c>
      <c r="I189" s="32" t="str">
        <f t="shared" si="41"/>
        <v/>
      </c>
    </row>
    <row r="190" spans="2:10" x14ac:dyDescent="0.2">
      <c r="B190" s="12" t="str">
        <f>$B$19</f>
        <v>Fluazifop-P-butyl</v>
      </c>
      <c r="C190" s="28" t="s">
        <v>9</v>
      </c>
      <c r="D190" s="46"/>
      <c r="E190" s="48"/>
      <c r="F190" s="48"/>
      <c r="G190" s="45"/>
      <c r="H190" s="40" t="s">
        <v>10</v>
      </c>
      <c r="I190" s="32" t="str">
        <f t="shared" si="41"/>
        <v/>
      </c>
    </row>
    <row r="191" spans="2:10" x14ac:dyDescent="0.2">
      <c r="B191" s="12" t="str">
        <f>$B$20</f>
        <v>Fluazinam</v>
      </c>
      <c r="C191" s="28" t="s">
        <v>9</v>
      </c>
      <c r="D191" s="46"/>
      <c r="E191" s="48"/>
      <c r="F191" s="48"/>
      <c r="G191" s="45"/>
      <c r="H191" s="40" t="s">
        <v>10</v>
      </c>
      <c r="I191" s="32" t="str">
        <f t="shared" si="41"/>
        <v/>
      </c>
    </row>
    <row r="192" spans="2:10" x14ac:dyDescent="0.2">
      <c r="B192" s="12" t="str">
        <f>$B$21</f>
        <v>Fludioxonil</v>
      </c>
      <c r="C192" s="28" t="s">
        <v>9</v>
      </c>
      <c r="D192" s="46"/>
      <c r="E192" s="48"/>
      <c r="F192" s="48"/>
      <c r="G192" s="45"/>
      <c r="H192" s="40" t="s">
        <v>10</v>
      </c>
      <c r="I192" s="32" t="str">
        <f t="shared" si="41"/>
        <v/>
      </c>
    </row>
    <row r="193" spans="2:10" x14ac:dyDescent="0.2">
      <c r="B193" s="12" t="str">
        <f>$B$22</f>
        <v>Mesotrione</v>
      </c>
      <c r="C193" s="28" t="s">
        <v>9</v>
      </c>
      <c r="D193" s="46"/>
      <c r="E193" s="48"/>
      <c r="F193" s="48"/>
      <c r="G193" s="45"/>
      <c r="H193" s="40" t="s">
        <v>10</v>
      </c>
      <c r="I193" s="32" t="str">
        <f t="shared" si="41"/>
        <v/>
      </c>
    </row>
    <row r="194" spans="2:10" x14ac:dyDescent="0.2">
      <c r="B194" s="12" t="str">
        <f>$B$23</f>
        <v>Methoxyfenozide</v>
      </c>
      <c r="C194" s="28" t="s">
        <v>9</v>
      </c>
      <c r="D194" s="46"/>
      <c r="E194" s="48"/>
      <c r="F194" s="48"/>
      <c r="G194" s="45"/>
      <c r="H194" s="40" t="s">
        <v>10</v>
      </c>
      <c r="I194" s="32" t="str">
        <f t="shared" si="41"/>
        <v/>
      </c>
    </row>
    <row r="195" spans="2:10" x14ac:dyDescent="0.2">
      <c r="B195" s="12" t="str">
        <f>$B$24</f>
        <v>Oxamyl</v>
      </c>
      <c r="C195" s="28" t="s">
        <v>9</v>
      </c>
      <c r="D195" s="46"/>
      <c r="E195" s="48"/>
      <c r="F195" s="48"/>
      <c r="G195" s="45"/>
      <c r="H195" s="40" t="s">
        <v>10</v>
      </c>
      <c r="I195" s="32" t="str">
        <f t="shared" si="41"/>
        <v/>
      </c>
    </row>
    <row r="196" spans="2:10" x14ac:dyDescent="0.2">
      <c r="B196" s="13" t="str">
        <f>$B$25</f>
        <v>Triallaat</v>
      </c>
      <c r="C196" s="33" t="s">
        <v>9</v>
      </c>
      <c r="D196" s="46"/>
      <c r="E196" s="48"/>
      <c r="F196" s="48"/>
      <c r="G196" s="45"/>
      <c r="H196" s="41" t="s">
        <v>10</v>
      </c>
      <c r="I196" s="32" t="str">
        <f t="shared" si="41"/>
        <v/>
      </c>
    </row>
    <row r="197" spans="2:10" x14ac:dyDescent="0.2">
      <c r="B197" s="10"/>
      <c r="C197" s="11"/>
      <c r="D197" s="11"/>
      <c r="E197" s="11"/>
      <c r="F197" s="11"/>
      <c r="G197" s="11"/>
      <c r="H197" s="78"/>
      <c r="I197" s="11"/>
      <c r="J197" s="74"/>
    </row>
    <row r="198" spans="2:10" ht="20.25" x14ac:dyDescent="0.3">
      <c r="B198" s="8" t="s">
        <v>79</v>
      </c>
    </row>
    <row r="199" spans="2:10" ht="39" thickBot="1" x14ac:dyDescent="0.25">
      <c r="B199" s="15" t="s">
        <v>2</v>
      </c>
      <c r="C199" s="16" t="s">
        <v>3</v>
      </c>
      <c r="D199" s="16" t="s">
        <v>4</v>
      </c>
      <c r="E199" s="16" t="s">
        <v>161</v>
      </c>
      <c r="F199" s="16" t="s">
        <v>162</v>
      </c>
      <c r="G199" s="16" t="s">
        <v>5</v>
      </c>
      <c r="H199" s="43" t="s">
        <v>6</v>
      </c>
      <c r="I199" s="17" t="s">
        <v>7</v>
      </c>
    </row>
    <row r="200" spans="2:10" ht="13.5" thickTop="1" x14ac:dyDescent="0.2">
      <c r="B200" s="14" t="str">
        <f>$B$10</f>
        <v>Amisulbrom</v>
      </c>
      <c r="C200" s="27" t="s">
        <v>9</v>
      </c>
      <c r="D200" s="45"/>
      <c r="E200" s="47"/>
      <c r="F200" s="47"/>
      <c r="G200" s="45"/>
      <c r="H200" s="22" t="s">
        <v>10</v>
      </c>
      <c r="I200" s="32" t="str">
        <f t="shared" ref="I200:I215" si="42">IFERROR(MIN(E200,F200)/MAX(E200,F200)*100,"")</f>
        <v/>
      </c>
    </row>
    <row r="201" spans="2:10" x14ac:dyDescent="0.2">
      <c r="B201" s="12" t="str">
        <f>$B$11</f>
        <v>Clothianidine</v>
      </c>
      <c r="C201" s="28" t="s">
        <v>9</v>
      </c>
      <c r="D201" s="46"/>
      <c r="E201" s="48"/>
      <c r="F201" s="48"/>
      <c r="G201" s="45"/>
      <c r="H201" s="40" t="s">
        <v>10</v>
      </c>
      <c r="I201" s="32" t="str">
        <f t="shared" si="42"/>
        <v/>
      </c>
    </row>
    <row r="202" spans="2:10" x14ac:dyDescent="0.2">
      <c r="B202" s="12" t="str">
        <f>$B$12</f>
        <v>Cyazofamide</v>
      </c>
      <c r="C202" s="28" t="s">
        <v>9</v>
      </c>
      <c r="D202" s="46"/>
      <c r="E202" s="48"/>
      <c r="F202" s="48"/>
      <c r="G202" s="45"/>
      <c r="H202" s="40" t="s">
        <v>10</v>
      </c>
      <c r="I202" s="32" t="str">
        <f t="shared" si="42"/>
        <v/>
      </c>
    </row>
    <row r="203" spans="2:10" x14ac:dyDescent="0.2">
      <c r="B203" s="12" t="str">
        <f>$B$13</f>
        <v>Cymoxanil</v>
      </c>
      <c r="C203" s="28" t="s">
        <v>9</v>
      </c>
      <c r="D203" s="46"/>
      <c r="E203" s="48"/>
      <c r="F203" s="48"/>
      <c r="G203" s="45"/>
      <c r="H203" s="40" t="s">
        <v>10</v>
      </c>
      <c r="I203" s="32" t="str">
        <f t="shared" si="42"/>
        <v/>
      </c>
    </row>
    <row r="204" spans="2:10" x14ac:dyDescent="0.2">
      <c r="B204" s="12" t="str">
        <f>$B$14</f>
        <v>Desmedifam</v>
      </c>
      <c r="C204" s="28" t="s">
        <v>9</v>
      </c>
      <c r="D204" s="46"/>
      <c r="E204" s="48"/>
      <c r="F204" s="48"/>
      <c r="G204" s="45"/>
      <c r="H204" s="40" t="s">
        <v>10</v>
      </c>
      <c r="I204" s="32" t="str">
        <f t="shared" si="42"/>
        <v/>
      </c>
    </row>
    <row r="205" spans="2:10" x14ac:dyDescent="0.2">
      <c r="B205" s="12" t="str">
        <f>$B$15</f>
        <v>Fenmedifam</v>
      </c>
      <c r="C205" s="28" t="s">
        <v>9</v>
      </c>
      <c r="D205" s="46"/>
      <c r="E205" s="48"/>
      <c r="F205" s="48"/>
      <c r="G205" s="45"/>
      <c r="H205" s="40" t="s">
        <v>10</v>
      </c>
      <c r="I205" s="32" t="str">
        <f t="shared" si="42"/>
        <v/>
      </c>
    </row>
    <row r="206" spans="2:10" x14ac:dyDescent="0.2">
      <c r="B206" s="12" t="str">
        <f>$B$16</f>
        <v>Fenoxycarb</v>
      </c>
      <c r="C206" s="28" t="s">
        <v>9</v>
      </c>
      <c r="D206" s="46"/>
      <c r="E206" s="48"/>
      <c r="F206" s="48"/>
      <c r="G206" s="45"/>
      <c r="H206" s="40" t="s">
        <v>10</v>
      </c>
      <c r="I206" s="32" t="str">
        <f t="shared" si="42"/>
        <v/>
      </c>
    </row>
    <row r="207" spans="2:10" x14ac:dyDescent="0.2">
      <c r="B207" s="12" t="str">
        <f>$B$17</f>
        <v>Fipronil</v>
      </c>
      <c r="C207" s="28" t="s">
        <v>9</v>
      </c>
      <c r="D207" s="46"/>
      <c r="E207" s="48"/>
      <c r="F207" s="48"/>
      <c r="G207" s="45"/>
      <c r="H207" s="40" t="s">
        <v>10</v>
      </c>
      <c r="I207" s="32" t="str">
        <f t="shared" si="42"/>
        <v/>
      </c>
    </row>
    <row r="208" spans="2:10" x14ac:dyDescent="0.2">
      <c r="B208" s="12" t="str">
        <f>$B$18</f>
        <v>Florasulam</v>
      </c>
      <c r="C208" s="28" t="s">
        <v>9</v>
      </c>
      <c r="D208" s="46"/>
      <c r="E208" s="48"/>
      <c r="F208" s="48"/>
      <c r="G208" s="45"/>
      <c r="H208" s="40" t="s">
        <v>10</v>
      </c>
      <c r="I208" s="32" t="str">
        <f t="shared" si="42"/>
        <v/>
      </c>
    </row>
    <row r="209" spans="2:10" x14ac:dyDescent="0.2">
      <c r="B209" s="12" t="str">
        <f>$B$19</f>
        <v>Fluazifop-P-butyl</v>
      </c>
      <c r="C209" s="28" t="s">
        <v>9</v>
      </c>
      <c r="D209" s="46"/>
      <c r="E209" s="48"/>
      <c r="F209" s="48"/>
      <c r="G209" s="45"/>
      <c r="H209" s="40" t="s">
        <v>10</v>
      </c>
      <c r="I209" s="32" t="str">
        <f t="shared" si="42"/>
        <v/>
      </c>
    </row>
    <row r="210" spans="2:10" x14ac:dyDescent="0.2">
      <c r="B210" s="12" t="str">
        <f>$B$20</f>
        <v>Fluazinam</v>
      </c>
      <c r="C210" s="28" t="s">
        <v>9</v>
      </c>
      <c r="D210" s="46"/>
      <c r="E210" s="48"/>
      <c r="F210" s="48"/>
      <c r="G210" s="45"/>
      <c r="H210" s="40" t="s">
        <v>10</v>
      </c>
      <c r="I210" s="32" t="str">
        <f t="shared" si="42"/>
        <v/>
      </c>
    </row>
    <row r="211" spans="2:10" x14ac:dyDescent="0.2">
      <c r="B211" s="12" t="str">
        <f>$B$21</f>
        <v>Fludioxonil</v>
      </c>
      <c r="C211" s="28" t="s">
        <v>9</v>
      </c>
      <c r="D211" s="46"/>
      <c r="E211" s="48"/>
      <c r="F211" s="48"/>
      <c r="G211" s="45"/>
      <c r="H211" s="40" t="s">
        <v>10</v>
      </c>
      <c r="I211" s="32" t="str">
        <f t="shared" si="42"/>
        <v/>
      </c>
    </row>
    <row r="212" spans="2:10" x14ac:dyDescent="0.2">
      <c r="B212" s="12" t="str">
        <f>$B$22</f>
        <v>Mesotrione</v>
      </c>
      <c r="C212" s="28" t="s">
        <v>9</v>
      </c>
      <c r="D212" s="46"/>
      <c r="E212" s="48"/>
      <c r="F212" s="48"/>
      <c r="G212" s="45"/>
      <c r="H212" s="40" t="s">
        <v>10</v>
      </c>
      <c r="I212" s="32" t="str">
        <f t="shared" si="42"/>
        <v/>
      </c>
    </row>
    <row r="213" spans="2:10" x14ac:dyDescent="0.2">
      <c r="B213" s="12" t="str">
        <f>$B$23</f>
        <v>Methoxyfenozide</v>
      </c>
      <c r="C213" s="28" t="s">
        <v>9</v>
      </c>
      <c r="D213" s="46"/>
      <c r="E213" s="48"/>
      <c r="F213" s="48"/>
      <c r="G213" s="45"/>
      <c r="H213" s="40" t="s">
        <v>10</v>
      </c>
      <c r="I213" s="32" t="str">
        <f t="shared" si="42"/>
        <v/>
      </c>
    </row>
    <row r="214" spans="2:10" x14ac:dyDescent="0.2">
      <c r="B214" s="12" t="str">
        <f>$B$24</f>
        <v>Oxamyl</v>
      </c>
      <c r="C214" s="28" t="s">
        <v>9</v>
      </c>
      <c r="D214" s="46"/>
      <c r="E214" s="48"/>
      <c r="F214" s="48"/>
      <c r="G214" s="45"/>
      <c r="H214" s="40" t="s">
        <v>10</v>
      </c>
      <c r="I214" s="32" t="str">
        <f t="shared" si="42"/>
        <v/>
      </c>
    </row>
    <row r="215" spans="2:10" x14ac:dyDescent="0.2">
      <c r="B215" s="13" t="str">
        <f>$B$25</f>
        <v>Triallaat</v>
      </c>
      <c r="C215" s="33" t="s">
        <v>9</v>
      </c>
      <c r="D215" s="46"/>
      <c r="E215" s="48"/>
      <c r="F215" s="48"/>
      <c r="G215" s="45"/>
      <c r="H215" s="41" t="s">
        <v>10</v>
      </c>
      <c r="I215" s="32" t="str">
        <f t="shared" si="42"/>
        <v/>
      </c>
    </row>
    <row r="216" spans="2:10" x14ac:dyDescent="0.2">
      <c r="B216" s="10"/>
      <c r="C216" s="11"/>
      <c r="J216" s="74"/>
    </row>
    <row r="217" spans="2:10" ht="20.25" x14ac:dyDescent="0.3">
      <c r="B217" s="8" t="s">
        <v>34</v>
      </c>
    </row>
    <row r="218" spans="2:10" ht="39" thickBot="1" x14ac:dyDescent="0.25">
      <c r="B218" s="15" t="s">
        <v>2</v>
      </c>
      <c r="C218" s="16" t="s">
        <v>3</v>
      </c>
      <c r="D218" s="16" t="s">
        <v>4</v>
      </c>
      <c r="E218" s="16" t="s">
        <v>161</v>
      </c>
      <c r="F218" s="16" t="s">
        <v>162</v>
      </c>
      <c r="G218" s="16" t="s">
        <v>5</v>
      </c>
      <c r="H218" s="43" t="s">
        <v>6</v>
      </c>
      <c r="I218" s="17" t="s">
        <v>7</v>
      </c>
    </row>
    <row r="219" spans="2:10" ht="13.5" thickTop="1" x14ac:dyDescent="0.2">
      <c r="B219" s="14" t="str">
        <f>$B$10</f>
        <v>Amisulbrom</v>
      </c>
      <c r="C219" s="22">
        <v>12.0528</v>
      </c>
      <c r="D219" s="45"/>
      <c r="E219" s="47"/>
      <c r="F219" s="47"/>
      <c r="G219" s="45"/>
      <c r="H219" s="22" t="str">
        <f t="shared" ref="H219:H234" si="43">IF(G219="","",100*G219/C219)</f>
        <v/>
      </c>
      <c r="I219" s="32" t="str">
        <f t="shared" ref="I219:I234" si="44">IFERROR(MIN(E219,F219)/MAX(E219,F219)*100,"")</f>
        <v/>
      </c>
    </row>
    <row r="220" spans="2:10" x14ac:dyDescent="0.2">
      <c r="B220" s="12" t="str">
        <f>$B$11</f>
        <v>Clothianidine</v>
      </c>
      <c r="C220" s="40">
        <v>11.930399999999997</v>
      </c>
      <c r="D220" s="46"/>
      <c r="E220" s="48"/>
      <c r="F220" s="48"/>
      <c r="G220" s="45"/>
      <c r="H220" s="40" t="str">
        <f t="shared" si="43"/>
        <v/>
      </c>
      <c r="I220" s="32" t="str">
        <f t="shared" si="44"/>
        <v/>
      </c>
    </row>
    <row r="221" spans="2:10" x14ac:dyDescent="0.2">
      <c r="B221" s="12" t="str">
        <f>$B$12</f>
        <v>Cyazofamide</v>
      </c>
      <c r="C221" s="40">
        <v>12.004799999999999</v>
      </c>
      <c r="D221" s="46"/>
      <c r="E221" s="48"/>
      <c r="F221" s="48"/>
      <c r="G221" s="45"/>
      <c r="H221" s="40" t="str">
        <f t="shared" si="43"/>
        <v/>
      </c>
      <c r="I221" s="32" t="str">
        <f t="shared" si="44"/>
        <v/>
      </c>
    </row>
    <row r="222" spans="2:10" x14ac:dyDescent="0.2">
      <c r="B222" s="12" t="str">
        <f>$B$13</f>
        <v>Cymoxanil</v>
      </c>
      <c r="C222" s="40">
        <v>11.9748</v>
      </c>
      <c r="D222" s="46"/>
      <c r="E222" s="48"/>
      <c r="F222" s="48"/>
      <c r="G222" s="45"/>
      <c r="H222" s="40" t="str">
        <f t="shared" si="43"/>
        <v/>
      </c>
      <c r="I222" s="32" t="str">
        <f t="shared" si="44"/>
        <v/>
      </c>
    </row>
    <row r="223" spans="2:10" x14ac:dyDescent="0.2">
      <c r="B223" s="12" t="str">
        <f>$B$14</f>
        <v>Desmedifam</v>
      </c>
      <c r="C223" s="40">
        <v>12.031200000000002</v>
      </c>
      <c r="D223" s="46"/>
      <c r="E223" s="48"/>
      <c r="F223" s="48"/>
      <c r="G223" s="45"/>
      <c r="H223" s="40" t="str">
        <f t="shared" si="43"/>
        <v/>
      </c>
      <c r="I223" s="32" t="str">
        <f t="shared" si="44"/>
        <v/>
      </c>
    </row>
    <row r="224" spans="2:10" x14ac:dyDescent="0.2">
      <c r="B224" s="12" t="str">
        <f>$B$15</f>
        <v>Fenmedifam</v>
      </c>
      <c r="C224" s="40">
        <v>11.990400000000001</v>
      </c>
      <c r="D224" s="46"/>
      <c r="E224" s="48"/>
      <c r="F224" s="48"/>
      <c r="G224" s="45"/>
      <c r="H224" s="40" t="str">
        <f t="shared" si="43"/>
        <v/>
      </c>
      <c r="I224" s="32" t="str">
        <f t="shared" si="44"/>
        <v/>
      </c>
    </row>
    <row r="225" spans="2:9" x14ac:dyDescent="0.2">
      <c r="B225" s="12" t="str">
        <f>$B$16</f>
        <v>Fenoxycarb</v>
      </c>
      <c r="C225" s="40">
        <v>12.2448</v>
      </c>
      <c r="D225" s="46"/>
      <c r="E225" s="48"/>
      <c r="F225" s="48"/>
      <c r="G225" s="45"/>
      <c r="H225" s="40" t="str">
        <f t="shared" si="43"/>
        <v/>
      </c>
      <c r="I225" s="32" t="str">
        <f t="shared" si="44"/>
        <v/>
      </c>
    </row>
    <row r="226" spans="2:9" x14ac:dyDescent="0.2">
      <c r="B226" s="12" t="str">
        <f>$B$17</f>
        <v>Fipronil</v>
      </c>
      <c r="C226" s="40">
        <v>12.015599999999997</v>
      </c>
      <c r="D226" s="46"/>
      <c r="E226" s="48"/>
      <c r="F226" s="48"/>
      <c r="G226" s="45"/>
      <c r="H226" s="40" t="str">
        <f t="shared" si="43"/>
        <v/>
      </c>
      <c r="I226" s="32" t="str">
        <f t="shared" si="44"/>
        <v/>
      </c>
    </row>
    <row r="227" spans="2:9" x14ac:dyDescent="0.2">
      <c r="B227" s="12" t="str">
        <f>$B$18</f>
        <v>Florasulam</v>
      </c>
      <c r="C227" s="40">
        <v>12.061200000000001</v>
      </c>
      <c r="D227" s="46"/>
      <c r="E227" s="48"/>
      <c r="F227" s="48"/>
      <c r="G227" s="45"/>
      <c r="H227" s="40" t="str">
        <f t="shared" si="43"/>
        <v/>
      </c>
      <c r="I227" s="32" t="str">
        <f t="shared" si="44"/>
        <v/>
      </c>
    </row>
    <row r="228" spans="2:9" x14ac:dyDescent="0.2">
      <c r="B228" s="12" t="str">
        <f>$B$19</f>
        <v>Fluazifop-P-butyl</v>
      </c>
      <c r="C228" s="40">
        <v>12.077999999999999</v>
      </c>
      <c r="D228" s="46"/>
      <c r="E228" s="48"/>
      <c r="F228" s="48"/>
      <c r="G228" s="45"/>
      <c r="H228" s="40" t="str">
        <f t="shared" si="43"/>
        <v/>
      </c>
      <c r="I228" s="32" t="str">
        <f t="shared" si="44"/>
        <v/>
      </c>
    </row>
    <row r="229" spans="2:9" x14ac:dyDescent="0.2">
      <c r="B229" s="12" t="str">
        <f>$B$20</f>
        <v>Fluazinam</v>
      </c>
      <c r="C229" s="40">
        <v>12.115199999999998</v>
      </c>
      <c r="D229" s="46"/>
      <c r="E229" s="48"/>
      <c r="F229" s="48"/>
      <c r="G229" s="45"/>
      <c r="H229" s="40" t="str">
        <f t="shared" si="43"/>
        <v/>
      </c>
      <c r="I229" s="32" t="str">
        <f t="shared" si="44"/>
        <v/>
      </c>
    </row>
    <row r="230" spans="2:9" x14ac:dyDescent="0.2">
      <c r="B230" s="12" t="str">
        <f>$B$21</f>
        <v>Fludioxonil</v>
      </c>
      <c r="C230" s="40">
        <v>12.03</v>
      </c>
      <c r="D230" s="46"/>
      <c r="E230" s="48"/>
      <c r="F230" s="48"/>
      <c r="G230" s="45"/>
      <c r="H230" s="40" t="str">
        <f t="shared" si="43"/>
        <v/>
      </c>
      <c r="I230" s="32" t="str">
        <f t="shared" si="44"/>
        <v/>
      </c>
    </row>
    <row r="231" spans="2:9" x14ac:dyDescent="0.2">
      <c r="B231" s="12" t="str">
        <f>$B$22</f>
        <v>Mesotrione</v>
      </c>
      <c r="C231" s="40">
        <v>12.079199999999998</v>
      </c>
      <c r="D231" s="46"/>
      <c r="E231" s="48"/>
      <c r="F231" s="48"/>
      <c r="G231" s="45"/>
      <c r="H231" s="40" t="str">
        <f t="shared" si="43"/>
        <v/>
      </c>
      <c r="I231" s="32" t="str">
        <f t="shared" si="44"/>
        <v/>
      </c>
    </row>
    <row r="232" spans="2:9" x14ac:dyDescent="0.2">
      <c r="B232" s="12" t="str">
        <f>$B$23</f>
        <v>Methoxyfenozide</v>
      </c>
      <c r="C232" s="40">
        <v>12.070799999999998</v>
      </c>
      <c r="D232" s="46"/>
      <c r="E232" s="48"/>
      <c r="F232" s="48"/>
      <c r="G232" s="45"/>
      <c r="H232" s="40" t="str">
        <f t="shared" si="43"/>
        <v/>
      </c>
      <c r="I232" s="32" t="str">
        <f t="shared" si="44"/>
        <v/>
      </c>
    </row>
    <row r="233" spans="2:9" x14ac:dyDescent="0.2">
      <c r="B233" s="12" t="str">
        <f>$B$24</f>
        <v>Oxamyl</v>
      </c>
      <c r="C233" s="40">
        <v>12.124800000000002</v>
      </c>
      <c r="D233" s="46"/>
      <c r="E233" s="48"/>
      <c r="F233" s="48"/>
      <c r="G233" s="45"/>
      <c r="H233" s="40" t="str">
        <f t="shared" si="43"/>
        <v/>
      </c>
      <c r="I233" s="32" t="str">
        <f t="shared" si="44"/>
        <v/>
      </c>
    </row>
    <row r="234" spans="2:9" x14ac:dyDescent="0.2">
      <c r="B234" s="13" t="str">
        <f>$B$25</f>
        <v>Triallaat</v>
      </c>
      <c r="C234" s="41">
        <v>11.978400000000001</v>
      </c>
      <c r="D234" s="46"/>
      <c r="E234" s="48"/>
      <c r="F234" s="48"/>
      <c r="G234" s="45"/>
      <c r="H234" s="41" t="str">
        <f t="shared" si="43"/>
        <v/>
      </c>
      <c r="I234" s="32" t="str">
        <f t="shared" si="44"/>
        <v/>
      </c>
    </row>
    <row r="236" spans="2:9" ht="20.25" x14ac:dyDescent="0.3">
      <c r="B236" s="8" t="s">
        <v>35</v>
      </c>
    </row>
    <row r="237" spans="2:9" ht="39" thickBot="1" x14ac:dyDescent="0.25">
      <c r="B237" s="15" t="s">
        <v>2</v>
      </c>
      <c r="C237" s="16" t="s">
        <v>3</v>
      </c>
      <c r="D237" s="16" t="s">
        <v>4</v>
      </c>
      <c r="E237" s="16" t="s">
        <v>161</v>
      </c>
      <c r="F237" s="16" t="s">
        <v>162</v>
      </c>
      <c r="G237" s="16" t="s">
        <v>5</v>
      </c>
      <c r="H237" s="43" t="s">
        <v>6</v>
      </c>
      <c r="I237" s="17" t="s">
        <v>7</v>
      </c>
    </row>
    <row r="238" spans="2:9" ht="13.5" thickTop="1" x14ac:dyDescent="0.2">
      <c r="B238" s="14" t="str">
        <f>$B$10</f>
        <v>Amisulbrom</v>
      </c>
      <c r="C238" s="22">
        <f>VLOOKUP(OW_A_additie_laag02[[#This Row],[Component]],OW_A_additie_laag01[],2,FALSE)</f>
        <v>12.0528</v>
      </c>
      <c r="D238" s="45"/>
      <c r="E238" s="47"/>
      <c r="F238" s="47"/>
      <c r="G238" s="45"/>
      <c r="H238" s="22" t="str">
        <f t="shared" ref="H238:H253" si="45">IF(G238="","",100*G238/C238)</f>
        <v/>
      </c>
      <c r="I238" s="32" t="str">
        <f t="shared" ref="I238:I253" si="46">IFERROR(MIN(E238,F238)/MAX(E238,F238)*100,"")</f>
        <v/>
      </c>
    </row>
    <row r="239" spans="2:9" x14ac:dyDescent="0.2">
      <c r="B239" s="12" t="str">
        <f>$B$11</f>
        <v>Clothianidine</v>
      </c>
      <c r="C239" s="40">
        <f>VLOOKUP(OW_A_additie_laag02[[#This Row],[Component]],OW_A_additie_laag01[],2,FALSE)</f>
        <v>11.930399999999997</v>
      </c>
      <c r="D239" s="46"/>
      <c r="E239" s="48"/>
      <c r="F239" s="48"/>
      <c r="G239" s="45"/>
      <c r="H239" s="40" t="str">
        <f t="shared" si="45"/>
        <v/>
      </c>
      <c r="I239" s="32" t="str">
        <f t="shared" si="46"/>
        <v/>
      </c>
    </row>
    <row r="240" spans="2:9" x14ac:dyDescent="0.2">
      <c r="B240" s="12" t="str">
        <f>$B$12</f>
        <v>Cyazofamide</v>
      </c>
      <c r="C240" s="40">
        <f>VLOOKUP(OW_A_additie_laag02[[#This Row],[Component]],OW_A_additie_laag01[],2,FALSE)</f>
        <v>12.004799999999999</v>
      </c>
      <c r="D240" s="46"/>
      <c r="E240" s="48"/>
      <c r="F240" s="48"/>
      <c r="G240" s="45"/>
      <c r="H240" s="40" t="str">
        <f t="shared" si="45"/>
        <v/>
      </c>
      <c r="I240" s="32" t="str">
        <f t="shared" si="46"/>
        <v/>
      </c>
    </row>
    <row r="241" spans="2:9" x14ac:dyDescent="0.2">
      <c r="B241" s="12" t="str">
        <f>$B$13</f>
        <v>Cymoxanil</v>
      </c>
      <c r="C241" s="40">
        <f>VLOOKUP(OW_A_additie_laag02[[#This Row],[Component]],OW_A_additie_laag01[],2,FALSE)</f>
        <v>11.9748</v>
      </c>
      <c r="D241" s="46"/>
      <c r="E241" s="48"/>
      <c r="F241" s="48"/>
      <c r="G241" s="45"/>
      <c r="H241" s="40" t="str">
        <f t="shared" si="45"/>
        <v/>
      </c>
      <c r="I241" s="32" t="str">
        <f t="shared" si="46"/>
        <v/>
      </c>
    </row>
    <row r="242" spans="2:9" x14ac:dyDescent="0.2">
      <c r="B242" s="12" t="str">
        <f>$B$14</f>
        <v>Desmedifam</v>
      </c>
      <c r="C242" s="40">
        <f>VLOOKUP(OW_A_additie_laag02[[#This Row],[Component]],OW_A_additie_laag01[],2,FALSE)</f>
        <v>12.031200000000002</v>
      </c>
      <c r="D242" s="46"/>
      <c r="E242" s="48"/>
      <c r="F242" s="48"/>
      <c r="G242" s="45"/>
      <c r="H242" s="40" t="str">
        <f t="shared" si="45"/>
        <v/>
      </c>
      <c r="I242" s="32" t="str">
        <f t="shared" si="46"/>
        <v/>
      </c>
    </row>
    <row r="243" spans="2:9" x14ac:dyDescent="0.2">
      <c r="B243" s="12" t="str">
        <f>$B$15</f>
        <v>Fenmedifam</v>
      </c>
      <c r="C243" s="40">
        <f>VLOOKUP(OW_A_additie_laag02[[#This Row],[Component]],OW_A_additie_laag01[],2,FALSE)</f>
        <v>11.990400000000001</v>
      </c>
      <c r="D243" s="46"/>
      <c r="E243" s="48"/>
      <c r="F243" s="48"/>
      <c r="G243" s="45"/>
      <c r="H243" s="40" t="str">
        <f t="shared" si="45"/>
        <v/>
      </c>
      <c r="I243" s="32" t="str">
        <f t="shared" si="46"/>
        <v/>
      </c>
    </row>
    <row r="244" spans="2:9" x14ac:dyDescent="0.2">
      <c r="B244" s="12" t="str">
        <f>$B$16</f>
        <v>Fenoxycarb</v>
      </c>
      <c r="C244" s="40">
        <f>VLOOKUP(OW_A_additie_laag02[[#This Row],[Component]],OW_A_additie_laag01[],2,FALSE)</f>
        <v>12.2448</v>
      </c>
      <c r="D244" s="46"/>
      <c r="E244" s="48"/>
      <c r="F244" s="48"/>
      <c r="G244" s="45"/>
      <c r="H244" s="40" t="str">
        <f t="shared" si="45"/>
        <v/>
      </c>
      <c r="I244" s="32" t="str">
        <f t="shared" si="46"/>
        <v/>
      </c>
    </row>
    <row r="245" spans="2:9" x14ac:dyDescent="0.2">
      <c r="B245" s="12" t="str">
        <f>$B$17</f>
        <v>Fipronil</v>
      </c>
      <c r="C245" s="40">
        <f>VLOOKUP(OW_A_additie_laag02[[#This Row],[Component]],OW_A_additie_laag01[],2,FALSE)</f>
        <v>12.015599999999997</v>
      </c>
      <c r="D245" s="46"/>
      <c r="E245" s="48"/>
      <c r="F245" s="48"/>
      <c r="G245" s="45"/>
      <c r="H245" s="40" t="str">
        <f t="shared" si="45"/>
        <v/>
      </c>
      <c r="I245" s="32" t="str">
        <f t="shared" si="46"/>
        <v/>
      </c>
    </row>
    <row r="246" spans="2:9" x14ac:dyDescent="0.2">
      <c r="B246" s="12" t="str">
        <f>$B$18</f>
        <v>Florasulam</v>
      </c>
      <c r="C246" s="40">
        <f>VLOOKUP(OW_A_additie_laag02[[#This Row],[Component]],OW_A_additie_laag01[],2,FALSE)</f>
        <v>12.061200000000001</v>
      </c>
      <c r="D246" s="46"/>
      <c r="E246" s="48"/>
      <c r="F246" s="48"/>
      <c r="G246" s="45"/>
      <c r="H246" s="40" t="str">
        <f t="shared" si="45"/>
        <v/>
      </c>
      <c r="I246" s="32" t="str">
        <f t="shared" si="46"/>
        <v/>
      </c>
    </row>
    <row r="247" spans="2:9" x14ac:dyDescent="0.2">
      <c r="B247" s="12" t="str">
        <f>$B$19</f>
        <v>Fluazifop-P-butyl</v>
      </c>
      <c r="C247" s="40">
        <f>VLOOKUP(OW_A_additie_laag02[[#This Row],[Component]],OW_A_additie_laag01[],2,FALSE)</f>
        <v>12.077999999999999</v>
      </c>
      <c r="D247" s="46"/>
      <c r="E247" s="48"/>
      <c r="F247" s="48"/>
      <c r="G247" s="45"/>
      <c r="H247" s="40" t="str">
        <f t="shared" si="45"/>
        <v/>
      </c>
      <c r="I247" s="32" t="str">
        <f t="shared" si="46"/>
        <v/>
      </c>
    </row>
    <row r="248" spans="2:9" x14ac:dyDescent="0.2">
      <c r="B248" s="12" t="str">
        <f>$B$20</f>
        <v>Fluazinam</v>
      </c>
      <c r="C248" s="40">
        <f>VLOOKUP(OW_A_additie_laag02[[#This Row],[Component]],OW_A_additie_laag01[],2,FALSE)</f>
        <v>12.115199999999998</v>
      </c>
      <c r="D248" s="46"/>
      <c r="E248" s="48"/>
      <c r="F248" s="48"/>
      <c r="G248" s="45"/>
      <c r="H248" s="40" t="str">
        <f t="shared" si="45"/>
        <v/>
      </c>
      <c r="I248" s="32" t="str">
        <f t="shared" si="46"/>
        <v/>
      </c>
    </row>
    <row r="249" spans="2:9" x14ac:dyDescent="0.2">
      <c r="B249" s="12" t="str">
        <f>$B$21</f>
        <v>Fludioxonil</v>
      </c>
      <c r="C249" s="40">
        <f>VLOOKUP(OW_A_additie_laag02[[#This Row],[Component]],OW_A_additie_laag01[],2,FALSE)</f>
        <v>12.03</v>
      </c>
      <c r="D249" s="46"/>
      <c r="E249" s="48"/>
      <c r="F249" s="48"/>
      <c r="G249" s="45"/>
      <c r="H249" s="40" t="str">
        <f t="shared" si="45"/>
        <v/>
      </c>
      <c r="I249" s="32" t="str">
        <f t="shared" si="46"/>
        <v/>
      </c>
    </row>
    <row r="250" spans="2:9" x14ac:dyDescent="0.2">
      <c r="B250" s="12" t="str">
        <f>$B$22</f>
        <v>Mesotrione</v>
      </c>
      <c r="C250" s="40">
        <f>VLOOKUP(OW_A_additie_laag02[[#This Row],[Component]],OW_A_additie_laag01[],2,FALSE)</f>
        <v>12.079199999999998</v>
      </c>
      <c r="D250" s="46"/>
      <c r="E250" s="48"/>
      <c r="F250" s="48"/>
      <c r="G250" s="45"/>
      <c r="H250" s="40" t="str">
        <f t="shared" si="45"/>
        <v/>
      </c>
      <c r="I250" s="32" t="str">
        <f t="shared" si="46"/>
        <v/>
      </c>
    </row>
    <row r="251" spans="2:9" x14ac:dyDescent="0.2">
      <c r="B251" s="12" t="str">
        <f>$B$23</f>
        <v>Methoxyfenozide</v>
      </c>
      <c r="C251" s="40">
        <f>VLOOKUP(OW_A_additie_laag02[[#This Row],[Component]],OW_A_additie_laag01[],2,FALSE)</f>
        <v>12.070799999999998</v>
      </c>
      <c r="D251" s="46"/>
      <c r="E251" s="48"/>
      <c r="F251" s="48"/>
      <c r="G251" s="45"/>
      <c r="H251" s="40" t="str">
        <f t="shared" si="45"/>
        <v/>
      </c>
      <c r="I251" s="32" t="str">
        <f t="shared" si="46"/>
        <v/>
      </c>
    </row>
    <row r="252" spans="2:9" x14ac:dyDescent="0.2">
      <c r="B252" s="12" t="str">
        <f>$B$24</f>
        <v>Oxamyl</v>
      </c>
      <c r="C252" s="40">
        <f>VLOOKUP(OW_A_additie_laag02[[#This Row],[Component]],OW_A_additie_laag01[],2,FALSE)</f>
        <v>12.124800000000002</v>
      </c>
      <c r="D252" s="46"/>
      <c r="E252" s="48"/>
      <c r="F252" s="48"/>
      <c r="G252" s="45"/>
      <c r="H252" s="40" t="str">
        <f t="shared" si="45"/>
        <v/>
      </c>
      <c r="I252" s="32" t="str">
        <f t="shared" si="46"/>
        <v/>
      </c>
    </row>
    <row r="253" spans="2:9" x14ac:dyDescent="0.2">
      <c r="B253" s="13" t="str">
        <f>$B$25</f>
        <v>Triallaat</v>
      </c>
      <c r="C253" s="41">
        <f>VLOOKUP(OW_A_additie_laag02[[#This Row],[Component]],OW_A_additie_laag01[],2,FALSE)</f>
        <v>11.978400000000001</v>
      </c>
      <c r="D253" s="46"/>
      <c r="E253" s="48"/>
      <c r="F253" s="48"/>
      <c r="G253" s="45"/>
      <c r="H253" s="41" t="str">
        <f t="shared" si="45"/>
        <v/>
      </c>
      <c r="I253" s="32" t="str">
        <f t="shared" si="46"/>
        <v/>
      </c>
    </row>
    <row r="254" spans="2:9" x14ac:dyDescent="0.2">
      <c r="C254" s="42"/>
    </row>
    <row r="255" spans="2:9" ht="20.25" x14ac:dyDescent="0.3">
      <c r="B255" s="8" t="s">
        <v>36</v>
      </c>
      <c r="C255" s="42"/>
    </row>
    <row r="256" spans="2:9" ht="39" thickBot="1" x14ac:dyDescent="0.25">
      <c r="B256" s="15" t="s">
        <v>2</v>
      </c>
      <c r="C256" s="16" t="s">
        <v>3</v>
      </c>
      <c r="D256" s="16" t="s">
        <v>4</v>
      </c>
      <c r="E256" s="16" t="s">
        <v>161</v>
      </c>
      <c r="F256" s="16" t="s">
        <v>162</v>
      </c>
      <c r="G256" s="16" t="s">
        <v>5</v>
      </c>
      <c r="H256" s="43" t="s">
        <v>6</v>
      </c>
      <c r="I256" s="17" t="s">
        <v>7</v>
      </c>
    </row>
    <row r="257" spans="2:9" ht="13.5" thickTop="1" x14ac:dyDescent="0.2">
      <c r="B257" s="14" t="str">
        <f>$B$10</f>
        <v>Amisulbrom</v>
      </c>
      <c r="C257" s="22">
        <f>VLOOKUP(OW_A_additie_laag03[[#This Row],[Component]],OW_A_additie_laag01[],2,FALSE)</f>
        <v>12.0528</v>
      </c>
      <c r="D257" s="45"/>
      <c r="E257" s="47"/>
      <c r="F257" s="47"/>
      <c r="G257" s="45"/>
      <c r="H257" s="22" t="str">
        <f t="shared" ref="H257:H272" si="47">IF(G257="","",100*G257/C257)</f>
        <v/>
      </c>
      <c r="I257" s="32" t="str">
        <f t="shared" ref="I257:I272" si="48">IFERROR(MIN(E257,F257)/MAX(E257,F257)*100,"")</f>
        <v/>
      </c>
    </row>
    <row r="258" spans="2:9" x14ac:dyDescent="0.2">
      <c r="B258" s="12" t="str">
        <f>$B$11</f>
        <v>Clothianidine</v>
      </c>
      <c r="C258" s="40">
        <f>VLOOKUP(OW_A_additie_laag03[[#This Row],[Component]],OW_A_additie_laag01[],2,FALSE)</f>
        <v>11.930399999999997</v>
      </c>
      <c r="D258" s="46"/>
      <c r="E258" s="48"/>
      <c r="F258" s="48"/>
      <c r="G258" s="45"/>
      <c r="H258" s="40" t="str">
        <f t="shared" si="47"/>
        <v/>
      </c>
      <c r="I258" s="32" t="str">
        <f t="shared" si="48"/>
        <v/>
      </c>
    </row>
    <row r="259" spans="2:9" x14ac:dyDescent="0.2">
      <c r="B259" s="12" t="str">
        <f>$B$12</f>
        <v>Cyazofamide</v>
      </c>
      <c r="C259" s="40">
        <f>VLOOKUP(OW_A_additie_laag03[[#This Row],[Component]],OW_A_additie_laag01[],2,FALSE)</f>
        <v>12.004799999999999</v>
      </c>
      <c r="D259" s="46"/>
      <c r="E259" s="48"/>
      <c r="F259" s="48"/>
      <c r="G259" s="45"/>
      <c r="H259" s="40" t="str">
        <f t="shared" si="47"/>
        <v/>
      </c>
      <c r="I259" s="32" t="str">
        <f t="shared" si="48"/>
        <v/>
      </c>
    </row>
    <row r="260" spans="2:9" x14ac:dyDescent="0.2">
      <c r="B260" s="12" t="str">
        <f>$B$13</f>
        <v>Cymoxanil</v>
      </c>
      <c r="C260" s="40">
        <f>VLOOKUP(OW_A_additie_laag03[[#This Row],[Component]],OW_A_additie_laag01[],2,FALSE)</f>
        <v>11.9748</v>
      </c>
      <c r="D260" s="46"/>
      <c r="E260" s="48"/>
      <c r="F260" s="48"/>
      <c r="G260" s="45"/>
      <c r="H260" s="40" t="str">
        <f t="shared" si="47"/>
        <v/>
      </c>
      <c r="I260" s="32" t="str">
        <f t="shared" si="48"/>
        <v/>
      </c>
    </row>
    <row r="261" spans="2:9" x14ac:dyDescent="0.2">
      <c r="B261" s="12" t="str">
        <f>$B$14</f>
        <v>Desmedifam</v>
      </c>
      <c r="C261" s="40">
        <f>VLOOKUP(OW_A_additie_laag03[[#This Row],[Component]],OW_A_additie_laag01[],2,FALSE)</f>
        <v>12.031200000000002</v>
      </c>
      <c r="D261" s="46"/>
      <c r="E261" s="48"/>
      <c r="F261" s="48"/>
      <c r="G261" s="45"/>
      <c r="H261" s="40" t="str">
        <f t="shared" si="47"/>
        <v/>
      </c>
      <c r="I261" s="32" t="str">
        <f t="shared" si="48"/>
        <v/>
      </c>
    </row>
    <row r="262" spans="2:9" x14ac:dyDescent="0.2">
      <c r="B262" s="12" t="str">
        <f>$B$15</f>
        <v>Fenmedifam</v>
      </c>
      <c r="C262" s="40">
        <f>VLOOKUP(OW_A_additie_laag03[[#This Row],[Component]],OW_A_additie_laag01[],2,FALSE)</f>
        <v>11.990400000000001</v>
      </c>
      <c r="D262" s="46"/>
      <c r="E262" s="48"/>
      <c r="F262" s="48"/>
      <c r="G262" s="45"/>
      <c r="H262" s="40" t="str">
        <f t="shared" si="47"/>
        <v/>
      </c>
      <c r="I262" s="32" t="str">
        <f t="shared" si="48"/>
        <v/>
      </c>
    </row>
    <row r="263" spans="2:9" x14ac:dyDescent="0.2">
      <c r="B263" s="12" t="str">
        <f>$B$16</f>
        <v>Fenoxycarb</v>
      </c>
      <c r="C263" s="40">
        <f>VLOOKUP(OW_A_additie_laag03[[#This Row],[Component]],OW_A_additie_laag01[],2,FALSE)</f>
        <v>12.2448</v>
      </c>
      <c r="D263" s="46"/>
      <c r="E263" s="48"/>
      <c r="F263" s="48"/>
      <c r="G263" s="45"/>
      <c r="H263" s="40" t="str">
        <f t="shared" si="47"/>
        <v/>
      </c>
      <c r="I263" s="32" t="str">
        <f t="shared" si="48"/>
        <v/>
      </c>
    </row>
    <row r="264" spans="2:9" x14ac:dyDescent="0.2">
      <c r="B264" s="12" t="str">
        <f>$B$17</f>
        <v>Fipronil</v>
      </c>
      <c r="C264" s="40">
        <f>VLOOKUP(OW_A_additie_laag03[[#This Row],[Component]],OW_A_additie_laag01[],2,FALSE)</f>
        <v>12.015599999999997</v>
      </c>
      <c r="D264" s="46"/>
      <c r="E264" s="48"/>
      <c r="F264" s="48"/>
      <c r="G264" s="45"/>
      <c r="H264" s="40" t="str">
        <f t="shared" si="47"/>
        <v/>
      </c>
      <c r="I264" s="32" t="str">
        <f t="shared" si="48"/>
        <v/>
      </c>
    </row>
    <row r="265" spans="2:9" x14ac:dyDescent="0.2">
      <c r="B265" s="12" t="str">
        <f>$B$18</f>
        <v>Florasulam</v>
      </c>
      <c r="C265" s="40">
        <f>VLOOKUP(OW_A_additie_laag03[[#This Row],[Component]],OW_A_additie_laag01[],2,FALSE)</f>
        <v>12.061200000000001</v>
      </c>
      <c r="D265" s="46"/>
      <c r="E265" s="48"/>
      <c r="F265" s="48"/>
      <c r="G265" s="45"/>
      <c r="H265" s="40" t="str">
        <f t="shared" si="47"/>
        <v/>
      </c>
      <c r="I265" s="32" t="str">
        <f t="shared" si="48"/>
        <v/>
      </c>
    </row>
    <row r="266" spans="2:9" x14ac:dyDescent="0.2">
      <c r="B266" s="12" t="str">
        <f>$B$19</f>
        <v>Fluazifop-P-butyl</v>
      </c>
      <c r="C266" s="40">
        <f>VLOOKUP(OW_A_additie_laag03[[#This Row],[Component]],OW_A_additie_laag01[],2,FALSE)</f>
        <v>12.077999999999999</v>
      </c>
      <c r="D266" s="46"/>
      <c r="E266" s="48"/>
      <c r="F266" s="48"/>
      <c r="G266" s="45"/>
      <c r="H266" s="40" t="str">
        <f t="shared" si="47"/>
        <v/>
      </c>
      <c r="I266" s="32" t="str">
        <f t="shared" si="48"/>
        <v/>
      </c>
    </row>
    <row r="267" spans="2:9" x14ac:dyDescent="0.2">
      <c r="B267" s="12" t="str">
        <f>$B$20</f>
        <v>Fluazinam</v>
      </c>
      <c r="C267" s="40">
        <f>VLOOKUP(OW_A_additie_laag03[[#This Row],[Component]],OW_A_additie_laag01[],2,FALSE)</f>
        <v>12.115199999999998</v>
      </c>
      <c r="D267" s="46"/>
      <c r="E267" s="48"/>
      <c r="F267" s="48"/>
      <c r="G267" s="45"/>
      <c r="H267" s="40" t="str">
        <f t="shared" si="47"/>
        <v/>
      </c>
      <c r="I267" s="32" t="str">
        <f t="shared" si="48"/>
        <v/>
      </c>
    </row>
    <row r="268" spans="2:9" x14ac:dyDescent="0.2">
      <c r="B268" s="12" t="str">
        <f>$B$21</f>
        <v>Fludioxonil</v>
      </c>
      <c r="C268" s="40">
        <f>VLOOKUP(OW_A_additie_laag03[[#This Row],[Component]],OW_A_additie_laag01[],2,FALSE)</f>
        <v>12.03</v>
      </c>
      <c r="D268" s="46"/>
      <c r="E268" s="48"/>
      <c r="F268" s="48"/>
      <c r="G268" s="45"/>
      <c r="H268" s="40" t="str">
        <f t="shared" si="47"/>
        <v/>
      </c>
      <c r="I268" s="32" t="str">
        <f t="shared" si="48"/>
        <v/>
      </c>
    </row>
    <row r="269" spans="2:9" x14ac:dyDescent="0.2">
      <c r="B269" s="12" t="str">
        <f>$B$22</f>
        <v>Mesotrione</v>
      </c>
      <c r="C269" s="40">
        <f>VLOOKUP(OW_A_additie_laag03[[#This Row],[Component]],OW_A_additie_laag01[],2,FALSE)</f>
        <v>12.079199999999998</v>
      </c>
      <c r="D269" s="46"/>
      <c r="E269" s="48"/>
      <c r="F269" s="48"/>
      <c r="G269" s="45"/>
      <c r="H269" s="40" t="str">
        <f t="shared" si="47"/>
        <v/>
      </c>
      <c r="I269" s="32" t="str">
        <f t="shared" si="48"/>
        <v/>
      </c>
    </row>
    <row r="270" spans="2:9" x14ac:dyDescent="0.2">
      <c r="B270" s="12" t="str">
        <f>$B$23</f>
        <v>Methoxyfenozide</v>
      </c>
      <c r="C270" s="40">
        <f>VLOOKUP(OW_A_additie_laag03[[#This Row],[Component]],OW_A_additie_laag01[],2,FALSE)</f>
        <v>12.070799999999998</v>
      </c>
      <c r="D270" s="46"/>
      <c r="E270" s="48"/>
      <c r="F270" s="48"/>
      <c r="G270" s="45"/>
      <c r="H270" s="40" t="str">
        <f t="shared" si="47"/>
        <v/>
      </c>
      <c r="I270" s="32" t="str">
        <f t="shared" si="48"/>
        <v/>
      </c>
    </row>
    <row r="271" spans="2:9" x14ac:dyDescent="0.2">
      <c r="B271" s="12" t="str">
        <f>$B$24</f>
        <v>Oxamyl</v>
      </c>
      <c r="C271" s="40">
        <f>VLOOKUP(OW_A_additie_laag03[[#This Row],[Component]],OW_A_additie_laag01[],2,FALSE)</f>
        <v>12.124800000000002</v>
      </c>
      <c r="D271" s="46"/>
      <c r="E271" s="48"/>
      <c r="F271" s="48"/>
      <c r="G271" s="45"/>
      <c r="H271" s="40" t="str">
        <f t="shared" si="47"/>
        <v/>
      </c>
      <c r="I271" s="32" t="str">
        <f t="shared" si="48"/>
        <v/>
      </c>
    </row>
    <row r="272" spans="2:9" x14ac:dyDescent="0.2">
      <c r="B272" s="13" t="str">
        <f>$B$25</f>
        <v>Triallaat</v>
      </c>
      <c r="C272" s="41">
        <f>VLOOKUP(OW_A_additie_laag03[[#This Row],[Component]],OW_A_additie_laag01[],2,FALSE)</f>
        <v>11.978400000000001</v>
      </c>
      <c r="D272" s="46"/>
      <c r="E272" s="48"/>
      <c r="F272" s="48"/>
      <c r="G272" s="45"/>
      <c r="H272" s="41" t="str">
        <f t="shared" si="47"/>
        <v/>
      </c>
      <c r="I272" s="32" t="str">
        <f t="shared" si="48"/>
        <v/>
      </c>
    </row>
    <row r="273" spans="2:9" x14ac:dyDescent="0.2">
      <c r="C273" s="42"/>
    </row>
    <row r="274" spans="2:9" ht="20.25" x14ac:dyDescent="0.3">
      <c r="B274" s="8" t="s">
        <v>37</v>
      </c>
      <c r="C274" s="42"/>
    </row>
    <row r="275" spans="2:9" ht="39" thickBot="1" x14ac:dyDescent="0.25">
      <c r="B275" s="15" t="s">
        <v>2</v>
      </c>
      <c r="C275" s="16" t="s">
        <v>3</v>
      </c>
      <c r="D275" s="16" t="s">
        <v>4</v>
      </c>
      <c r="E275" s="16" t="s">
        <v>161</v>
      </c>
      <c r="F275" s="16" t="s">
        <v>162</v>
      </c>
      <c r="G275" s="16" t="s">
        <v>5</v>
      </c>
      <c r="H275" s="43" t="s">
        <v>6</v>
      </c>
      <c r="I275" s="17" t="s">
        <v>7</v>
      </c>
    </row>
    <row r="276" spans="2:9" ht="13.5" thickTop="1" x14ac:dyDescent="0.2">
      <c r="B276" s="14" t="str">
        <f>$B$10</f>
        <v>Amisulbrom</v>
      </c>
      <c r="C276" s="22">
        <f>VLOOKUP(OW_A_additie_laag04[[#This Row],[Component]],OW_A_additie_laag01[],2,FALSE)</f>
        <v>12.0528</v>
      </c>
      <c r="D276" s="45"/>
      <c r="E276" s="47"/>
      <c r="F276" s="47"/>
      <c r="G276" s="45"/>
      <c r="H276" s="22" t="str">
        <f t="shared" ref="H276:H291" si="49">IF(G276="","",100*G276/C276)</f>
        <v/>
      </c>
      <c r="I276" s="32" t="str">
        <f t="shared" ref="I276:I291" si="50">IFERROR(MIN(E276,F276)/MAX(E276,F276)*100,"")</f>
        <v/>
      </c>
    </row>
    <row r="277" spans="2:9" x14ac:dyDescent="0.2">
      <c r="B277" s="12" t="str">
        <f>$B$11</f>
        <v>Clothianidine</v>
      </c>
      <c r="C277" s="40">
        <f>VLOOKUP(OW_A_additie_laag04[[#This Row],[Component]],OW_A_additie_laag01[],2,FALSE)</f>
        <v>11.930399999999997</v>
      </c>
      <c r="D277" s="46"/>
      <c r="E277" s="48"/>
      <c r="F277" s="48"/>
      <c r="G277" s="45"/>
      <c r="H277" s="40" t="str">
        <f t="shared" si="49"/>
        <v/>
      </c>
      <c r="I277" s="32" t="str">
        <f t="shared" si="50"/>
        <v/>
      </c>
    </row>
    <row r="278" spans="2:9" x14ac:dyDescent="0.2">
      <c r="B278" s="12" t="str">
        <f>$B$12</f>
        <v>Cyazofamide</v>
      </c>
      <c r="C278" s="40">
        <f>VLOOKUP(OW_A_additie_laag04[[#This Row],[Component]],OW_A_additie_laag01[],2,FALSE)</f>
        <v>12.004799999999999</v>
      </c>
      <c r="D278" s="46"/>
      <c r="E278" s="48"/>
      <c r="F278" s="48"/>
      <c r="G278" s="45"/>
      <c r="H278" s="40" t="str">
        <f t="shared" si="49"/>
        <v/>
      </c>
      <c r="I278" s="32" t="str">
        <f t="shared" si="50"/>
        <v/>
      </c>
    </row>
    <row r="279" spans="2:9" x14ac:dyDescent="0.2">
      <c r="B279" s="12" t="str">
        <f>$B$13</f>
        <v>Cymoxanil</v>
      </c>
      <c r="C279" s="40">
        <f>VLOOKUP(OW_A_additie_laag04[[#This Row],[Component]],OW_A_additie_laag01[],2,FALSE)</f>
        <v>11.9748</v>
      </c>
      <c r="D279" s="46"/>
      <c r="E279" s="48"/>
      <c r="F279" s="48"/>
      <c r="G279" s="45"/>
      <c r="H279" s="40" t="str">
        <f t="shared" si="49"/>
        <v/>
      </c>
      <c r="I279" s="32" t="str">
        <f t="shared" si="50"/>
        <v/>
      </c>
    </row>
    <row r="280" spans="2:9" x14ac:dyDescent="0.2">
      <c r="B280" s="12" t="str">
        <f>$B$14</f>
        <v>Desmedifam</v>
      </c>
      <c r="C280" s="40">
        <f>VLOOKUP(OW_A_additie_laag04[[#This Row],[Component]],OW_A_additie_laag01[],2,FALSE)</f>
        <v>12.031200000000002</v>
      </c>
      <c r="D280" s="46"/>
      <c r="E280" s="48"/>
      <c r="F280" s="48"/>
      <c r="G280" s="45"/>
      <c r="H280" s="40" t="str">
        <f t="shared" si="49"/>
        <v/>
      </c>
      <c r="I280" s="32" t="str">
        <f t="shared" si="50"/>
        <v/>
      </c>
    </row>
    <row r="281" spans="2:9" x14ac:dyDescent="0.2">
      <c r="B281" s="12" t="str">
        <f>$B$15</f>
        <v>Fenmedifam</v>
      </c>
      <c r="C281" s="40">
        <f>VLOOKUP(OW_A_additie_laag04[[#This Row],[Component]],OW_A_additie_laag01[],2,FALSE)</f>
        <v>11.990400000000001</v>
      </c>
      <c r="D281" s="46"/>
      <c r="E281" s="48"/>
      <c r="F281" s="48"/>
      <c r="G281" s="45"/>
      <c r="H281" s="40" t="str">
        <f t="shared" si="49"/>
        <v/>
      </c>
      <c r="I281" s="32" t="str">
        <f t="shared" si="50"/>
        <v/>
      </c>
    </row>
    <row r="282" spans="2:9" x14ac:dyDescent="0.2">
      <c r="B282" s="12" t="str">
        <f>$B$16</f>
        <v>Fenoxycarb</v>
      </c>
      <c r="C282" s="40">
        <f>VLOOKUP(OW_A_additie_laag04[[#This Row],[Component]],OW_A_additie_laag01[],2,FALSE)</f>
        <v>12.2448</v>
      </c>
      <c r="D282" s="46"/>
      <c r="E282" s="48"/>
      <c r="F282" s="48"/>
      <c r="G282" s="45"/>
      <c r="H282" s="40" t="str">
        <f t="shared" si="49"/>
        <v/>
      </c>
      <c r="I282" s="32" t="str">
        <f t="shared" si="50"/>
        <v/>
      </c>
    </row>
    <row r="283" spans="2:9" x14ac:dyDescent="0.2">
      <c r="B283" s="12" t="str">
        <f>$B$17</f>
        <v>Fipronil</v>
      </c>
      <c r="C283" s="40">
        <f>VLOOKUP(OW_A_additie_laag04[[#This Row],[Component]],OW_A_additie_laag01[],2,FALSE)</f>
        <v>12.015599999999997</v>
      </c>
      <c r="D283" s="46"/>
      <c r="E283" s="48"/>
      <c r="F283" s="48"/>
      <c r="G283" s="45"/>
      <c r="H283" s="40" t="str">
        <f t="shared" si="49"/>
        <v/>
      </c>
      <c r="I283" s="32" t="str">
        <f t="shared" si="50"/>
        <v/>
      </c>
    </row>
    <row r="284" spans="2:9" x14ac:dyDescent="0.2">
      <c r="B284" s="12" t="str">
        <f>$B$18</f>
        <v>Florasulam</v>
      </c>
      <c r="C284" s="40">
        <f>VLOOKUP(OW_A_additie_laag04[[#This Row],[Component]],OW_A_additie_laag01[],2,FALSE)</f>
        <v>12.061200000000001</v>
      </c>
      <c r="D284" s="46"/>
      <c r="E284" s="48"/>
      <c r="F284" s="48"/>
      <c r="G284" s="45"/>
      <c r="H284" s="40" t="str">
        <f t="shared" si="49"/>
        <v/>
      </c>
      <c r="I284" s="32" t="str">
        <f t="shared" si="50"/>
        <v/>
      </c>
    </row>
    <row r="285" spans="2:9" x14ac:dyDescent="0.2">
      <c r="B285" s="12" t="str">
        <f>$B$19</f>
        <v>Fluazifop-P-butyl</v>
      </c>
      <c r="C285" s="40">
        <f>VLOOKUP(OW_A_additie_laag04[[#This Row],[Component]],OW_A_additie_laag01[],2,FALSE)</f>
        <v>12.077999999999999</v>
      </c>
      <c r="D285" s="46"/>
      <c r="E285" s="48"/>
      <c r="F285" s="48"/>
      <c r="G285" s="45"/>
      <c r="H285" s="40" t="str">
        <f t="shared" si="49"/>
        <v/>
      </c>
      <c r="I285" s="32" t="str">
        <f t="shared" si="50"/>
        <v/>
      </c>
    </row>
    <row r="286" spans="2:9" x14ac:dyDescent="0.2">
      <c r="B286" s="12" t="str">
        <f>$B$20</f>
        <v>Fluazinam</v>
      </c>
      <c r="C286" s="40">
        <f>VLOOKUP(OW_A_additie_laag04[[#This Row],[Component]],OW_A_additie_laag01[],2,FALSE)</f>
        <v>12.115199999999998</v>
      </c>
      <c r="D286" s="46"/>
      <c r="E286" s="48"/>
      <c r="F286" s="48"/>
      <c r="G286" s="45"/>
      <c r="H286" s="40" t="str">
        <f t="shared" si="49"/>
        <v/>
      </c>
      <c r="I286" s="32" t="str">
        <f t="shared" si="50"/>
        <v/>
      </c>
    </row>
    <row r="287" spans="2:9" x14ac:dyDescent="0.2">
      <c r="B287" s="12" t="str">
        <f>$B$21</f>
        <v>Fludioxonil</v>
      </c>
      <c r="C287" s="40">
        <f>VLOOKUP(OW_A_additie_laag04[[#This Row],[Component]],OW_A_additie_laag01[],2,FALSE)</f>
        <v>12.03</v>
      </c>
      <c r="D287" s="46"/>
      <c r="E287" s="48"/>
      <c r="F287" s="48"/>
      <c r="G287" s="45"/>
      <c r="H287" s="40" t="str">
        <f t="shared" si="49"/>
        <v/>
      </c>
      <c r="I287" s="32" t="str">
        <f t="shared" si="50"/>
        <v/>
      </c>
    </row>
    <row r="288" spans="2:9" x14ac:dyDescent="0.2">
      <c r="B288" s="12" t="str">
        <f>$B$22</f>
        <v>Mesotrione</v>
      </c>
      <c r="C288" s="40">
        <f>VLOOKUP(OW_A_additie_laag04[[#This Row],[Component]],OW_A_additie_laag01[],2,FALSE)</f>
        <v>12.079199999999998</v>
      </c>
      <c r="D288" s="46"/>
      <c r="E288" s="48"/>
      <c r="F288" s="48"/>
      <c r="G288" s="45"/>
      <c r="H288" s="40" t="str">
        <f t="shared" si="49"/>
        <v/>
      </c>
      <c r="I288" s="32" t="str">
        <f t="shared" si="50"/>
        <v/>
      </c>
    </row>
    <row r="289" spans="2:9" x14ac:dyDescent="0.2">
      <c r="B289" s="12" t="str">
        <f>$B$23</f>
        <v>Methoxyfenozide</v>
      </c>
      <c r="C289" s="40">
        <f>VLOOKUP(OW_A_additie_laag04[[#This Row],[Component]],OW_A_additie_laag01[],2,FALSE)</f>
        <v>12.070799999999998</v>
      </c>
      <c r="D289" s="46"/>
      <c r="E289" s="48"/>
      <c r="F289" s="48"/>
      <c r="G289" s="45"/>
      <c r="H289" s="40" t="str">
        <f t="shared" si="49"/>
        <v/>
      </c>
      <c r="I289" s="32" t="str">
        <f t="shared" si="50"/>
        <v/>
      </c>
    </row>
    <row r="290" spans="2:9" x14ac:dyDescent="0.2">
      <c r="B290" s="12" t="str">
        <f>$B$24</f>
        <v>Oxamyl</v>
      </c>
      <c r="C290" s="40">
        <f>VLOOKUP(OW_A_additie_laag04[[#This Row],[Component]],OW_A_additie_laag01[],2,FALSE)</f>
        <v>12.124800000000002</v>
      </c>
      <c r="D290" s="46"/>
      <c r="E290" s="48"/>
      <c r="F290" s="48"/>
      <c r="G290" s="45"/>
      <c r="H290" s="40" t="str">
        <f t="shared" si="49"/>
        <v/>
      </c>
      <c r="I290" s="32" t="str">
        <f t="shared" si="50"/>
        <v/>
      </c>
    </row>
    <row r="291" spans="2:9" x14ac:dyDescent="0.2">
      <c r="B291" s="13" t="str">
        <f>$B$25</f>
        <v>Triallaat</v>
      </c>
      <c r="C291" s="41">
        <f>VLOOKUP(OW_A_additie_laag04[[#This Row],[Component]],OW_A_additie_laag01[],2,FALSE)</f>
        <v>11.978400000000001</v>
      </c>
      <c r="D291" s="46"/>
      <c r="E291" s="48"/>
      <c r="F291" s="48"/>
      <c r="G291" s="45"/>
      <c r="H291" s="41" t="str">
        <f t="shared" si="49"/>
        <v/>
      </c>
      <c r="I291" s="32" t="str">
        <f t="shared" si="50"/>
        <v/>
      </c>
    </row>
    <row r="292" spans="2:9" x14ac:dyDescent="0.2">
      <c r="C292" s="42"/>
    </row>
    <row r="293" spans="2:9" ht="20.25" x14ac:dyDescent="0.3">
      <c r="B293" s="8" t="s">
        <v>38</v>
      </c>
      <c r="C293" s="42"/>
    </row>
    <row r="294" spans="2:9" ht="39" thickBot="1" x14ac:dyDescent="0.25">
      <c r="B294" s="15" t="s">
        <v>2</v>
      </c>
      <c r="C294" s="16" t="s">
        <v>3</v>
      </c>
      <c r="D294" s="16" t="s">
        <v>4</v>
      </c>
      <c r="E294" s="16" t="s">
        <v>161</v>
      </c>
      <c r="F294" s="16" t="s">
        <v>162</v>
      </c>
      <c r="G294" s="16" t="s">
        <v>5</v>
      </c>
      <c r="H294" s="43" t="s">
        <v>6</v>
      </c>
      <c r="I294" s="17" t="s">
        <v>7</v>
      </c>
    </row>
    <row r="295" spans="2:9" ht="13.5" thickTop="1" x14ac:dyDescent="0.2">
      <c r="B295" s="14" t="str">
        <f>$B$10</f>
        <v>Amisulbrom</v>
      </c>
      <c r="C295" s="22">
        <f>VLOOKUP(OW_A_additie_laag05[[#This Row],[Component]],OW_A_additie_laag01[],2,FALSE)</f>
        <v>12.0528</v>
      </c>
      <c r="D295" s="45"/>
      <c r="E295" s="47"/>
      <c r="F295" s="47"/>
      <c r="G295" s="45"/>
      <c r="H295" s="22" t="str">
        <f t="shared" ref="H295:H310" si="51">IF(G295="","",100*G295/C295)</f>
        <v/>
      </c>
      <c r="I295" s="32" t="str">
        <f t="shared" ref="I295:I310" si="52">IFERROR(MIN(E295,F295)/MAX(E295,F295)*100,"")</f>
        <v/>
      </c>
    </row>
    <row r="296" spans="2:9" x14ac:dyDescent="0.2">
      <c r="B296" s="12" t="str">
        <f>$B$11</f>
        <v>Clothianidine</v>
      </c>
      <c r="C296" s="40">
        <f>VLOOKUP(OW_A_additie_laag05[[#This Row],[Component]],OW_A_additie_laag01[],2,FALSE)</f>
        <v>11.930399999999997</v>
      </c>
      <c r="D296" s="46"/>
      <c r="E296" s="48"/>
      <c r="F296" s="48"/>
      <c r="G296" s="45"/>
      <c r="H296" s="40" t="str">
        <f t="shared" si="51"/>
        <v/>
      </c>
      <c r="I296" s="32" t="str">
        <f t="shared" si="52"/>
        <v/>
      </c>
    </row>
    <row r="297" spans="2:9" x14ac:dyDescent="0.2">
      <c r="B297" s="12" t="str">
        <f>$B$12</f>
        <v>Cyazofamide</v>
      </c>
      <c r="C297" s="40">
        <f>VLOOKUP(OW_A_additie_laag05[[#This Row],[Component]],OW_A_additie_laag01[],2,FALSE)</f>
        <v>12.004799999999999</v>
      </c>
      <c r="D297" s="46"/>
      <c r="E297" s="48"/>
      <c r="F297" s="48"/>
      <c r="G297" s="45"/>
      <c r="H297" s="40" t="str">
        <f t="shared" si="51"/>
        <v/>
      </c>
      <c r="I297" s="32" t="str">
        <f t="shared" si="52"/>
        <v/>
      </c>
    </row>
    <row r="298" spans="2:9" x14ac:dyDescent="0.2">
      <c r="B298" s="12" t="str">
        <f>$B$13</f>
        <v>Cymoxanil</v>
      </c>
      <c r="C298" s="40">
        <f>VLOOKUP(OW_A_additie_laag05[[#This Row],[Component]],OW_A_additie_laag01[],2,FALSE)</f>
        <v>11.9748</v>
      </c>
      <c r="D298" s="46"/>
      <c r="E298" s="48"/>
      <c r="F298" s="48"/>
      <c r="G298" s="45"/>
      <c r="H298" s="40" t="str">
        <f t="shared" si="51"/>
        <v/>
      </c>
      <c r="I298" s="32" t="str">
        <f t="shared" si="52"/>
        <v/>
      </c>
    </row>
    <row r="299" spans="2:9" x14ac:dyDescent="0.2">
      <c r="B299" s="12" t="str">
        <f>$B$14</f>
        <v>Desmedifam</v>
      </c>
      <c r="C299" s="40">
        <f>VLOOKUP(OW_A_additie_laag05[[#This Row],[Component]],OW_A_additie_laag01[],2,FALSE)</f>
        <v>12.031200000000002</v>
      </c>
      <c r="D299" s="46"/>
      <c r="E299" s="48"/>
      <c r="F299" s="48"/>
      <c r="G299" s="45"/>
      <c r="H299" s="40" t="str">
        <f t="shared" si="51"/>
        <v/>
      </c>
      <c r="I299" s="32" t="str">
        <f t="shared" si="52"/>
        <v/>
      </c>
    </row>
    <row r="300" spans="2:9" x14ac:dyDescent="0.2">
      <c r="B300" s="12" t="str">
        <f>$B$15</f>
        <v>Fenmedifam</v>
      </c>
      <c r="C300" s="40">
        <f>VLOOKUP(OW_A_additie_laag05[[#This Row],[Component]],OW_A_additie_laag01[],2,FALSE)</f>
        <v>11.990400000000001</v>
      </c>
      <c r="D300" s="46"/>
      <c r="E300" s="48"/>
      <c r="F300" s="48"/>
      <c r="G300" s="45"/>
      <c r="H300" s="40" t="str">
        <f t="shared" si="51"/>
        <v/>
      </c>
      <c r="I300" s="32" t="str">
        <f t="shared" si="52"/>
        <v/>
      </c>
    </row>
    <row r="301" spans="2:9" x14ac:dyDescent="0.2">
      <c r="B301" s="12" t="str">
        <f>$B$16</f>
        <v>Fenoxycarb</v>
      </c>
      <c r="C301" s="40">
        <f>VLOOKUP(OW_A_additie_laag05[[#This Row],[Component]],OW_A_additie_laag01[],2,FALSE)</f>
        <v>12.2448</v>
      </c>
      <c r="D301" s="46"/>
      <c r="E301" s="48"/>
      <c r="F301" s="48"/>
      <c r="G301" s="45"/>
      <c r="H301" s="40" t="str">
        <f t="shared" si="51"/>
        <v/>
      </c>
      <c r="I301" s="32" t="str">
        <f t="shared" si="52"/>
        <v/>
      </c>
    </row>
    <row r="302" spans="2:9" x14ac:dyDescent="0.2">
      <c r="B302" s="12" t="str">
        <f>$B$17</f>
        <v>Fipronil</v>
      </c>
      <c r="C302" s="40">
        <f>VLOOKUP(OW_A_additie_laag05[[#This Row],[Component]],OW_A_additie_laag01[],2,FALSE)</f>
        <v>12.015599999999997</v>
      </c>
      <c r="D302" s="46"/>
      <c r="E302" s="48"/>
      <c r="F302" s="48"/>
      <c r="G302" s="45"/>
      <c r="H302" s="40" t="str">
        <f t="shared" si="51"/>
        <v/>
      </c>
      <c r="I302" s="32" t="str">
        <f t="shared" si="52"/>
        <v/>
      </c>
    </row>
    <row r="303" spans="2:9" x14ac:dyDescent="0.2">
      <c r="B303" s="12" t="str">
        <f>$B$18</f>
        <v>Florasulam</v>
      </c>
      <c r="C303" s="40">
        <f>VLOOKUP(OW_A_additie_laag05[[#This Row],[Component]],OW_A_additie_laag01[],2,FALSE)</f>
        <v>12.061200000000001</v>
      </c>
      <c r="D303" s="46"/>
      <c r="E303" s="48"/>
      <c r="F303" s="48"/>
      <c r="G303" s="45"/>
      <c r="H303" s="40" t="str">
        <f t="shared" si="51"/>
        <v/>
      </c>
      <c r="I303" s="32" t="str">
        <f t="shared" si="52"/>
        <v/>
      </c>
    </row>
    <row r="304" spans="2:9" x14ac:dyDescent="0.2">
      <c r="B304" s="12" t="str">
        <f>$B$19</f>
        <v>Fluazifop-P-butyl</v>
      </c>
      <c r="C304" s="40">
        <f>VLOOKUP(OW_A_additie_laag05[[#This Row],[Component]],OW_A_additie_laag01[],2,FALSE)</f>
        <v>12.077999999999999</v>
      </c>
      <c r="D304" s="46"/>
      <c r="E304" s="48"/>
      <c r="F304" s="48"/>
      <c r="G304" s="45"/>
      <c r="H304" s="40" t="str">
        <f t="shared" si="51"/>
        <v/>
      </c>
      <c r="I304" s="32" t="str">
        <f t="shared" si="52"/>
        <v/>
      </c>
    </row>
    <row r="305" spans="2:9" x14ac:dyDescent="0.2">
      <c r="B305" s="12" t="str">
        <f>$B$20</f>
        <v>Fluazinam</v>
      </c>
      <c r="C305" s="40">
        <f>VLOOKUP(OW_A_additie_laag05[[#This Row],[Component]],OW_A_additie_laag01[],2,FALSE)</f>
        <v>12.115199999999998</v>
      </c>
      <c r="D305" s="46"/>
      <c r="E305" s="48"/>
      <c r="F305" s="48"/>
      <c r="G305" s="45"/>
      <c r="H305" s="40" t="str">
        <f t="shared" si="51"/>
        <v/>
      </c>
      <c r="I305" s="32" t="str">
        <f t="shared" si="52"/>
        <v/>
      </c>
    </row>
    <row r="306" spans="2:9" x14ac:dyDescent="0.2">
      <c r="B306" s="12" t="str">
        <f>$B$21</f>
        <v>Fludioxonil</v>
      </c>
      <c r="C306" s="40">
        <f>VLOOKUP(OW_A_additie_laag05[[#This Row],[Component]],OW_A_additie_laag01[],2,FALSE)</f>
        <v>12.03</v>
      </c>
      <c r="D306" s="46"/>
      <c r="E306" s="48"/>
      <c r="F306" s="48"/>
      <c r="G306" s="45"/>
      <c r="H306" s="40" t="str">
        <f t="shared" si="51"/>
        <v/>
      </c>
      <c r="I306" s="32" t="str">
        <f t="shared" si="52"/>
        <v/>
      </c>
    </row>
    <row r="307" spans="2:9" x14ac:dyDescent="0.2">
      <c r="B307" s="12" t="str">
        <f>$B$22</f>
        <v>Mesotrione</v>
      </c>
      <c r="C307" s="40">
        <f>VLOOKUP(OW_A_additie_laag05[[#This Row],[Component]],OW_A_additie_laag01[],2,FALSE)</f>
        <v>12.079199999999998</v>
      </c>
      <c r="D307" s="46"/>
      <c r="E307" s="48"/>
      <c r="F307" s="48"/>
      <c r="G307" s="45"/>
      <c r="H307" s="40" t="str">
        <f t="shared" si="51"/>
        <v/>
      </c>
      <c r="I307" s="32" t="str">
        <f t="shared" si="52"/>
        <v/>
      </c>
    </row>
    <row r="308" spans="2:9" x14ac:dyDescent="0.2">
      <c r="B308" s="12" t="str">
        <f>$B$23</f>
        <v>Methoxyfenozide</v>
      </c>
      <c r="C308" s="40">
        <f>VLOOKUP(OW_A_additie_laag05[[#This Row],[Component]],OW_A_additie_laag01[],2,FALSE)</f>
        <v>12.070799999999998</v>
      </c>
      <c r="D308" s="46"/>
      <c r="E308" s="48"/>
      <c r="F308" s="48"/>
      <c r="G308" s="45"/>
      <c r="H308" s="40" t="str">
        <f t="shared" si="51"/>
        <v/>
      </c>
      <c r="I308" s="32" t="str">
        <f t="shared" si="52"/>
        <v/>
      </c>
    </row>
    <row r="309" spans="2:9" x14ac:dyDescent="0.2">
      <c r="B309" s="12" t="str">
        <f>$B$24</f>
        <v>Oxamyl</v>
      </c>
      <c r="C309" s="40">
        <f>VLOOKUP(OW_A_additie_laag05[[#This Row],[Component]],OW_A_additie_laag01[],2,FALSE)</f>
        <v>12.124800000000002</v>
      </c>
      <c r="D309" s="46"/>
      <c r="E309" s="48"/>
      <c r="F309" s="48"/>
      <c r="G309" s="45"/>
      <c r="H309" s="40" t="str">
        <f t="shared" si="51"/>
        <v/>
      </c>
      <c r="I309" s="32" t="str">
        <f t="shared" si="52"/>
        <v/>
      </c>
    </row>
    <row r="310" spans="2:9" x14ac:dyDescent="0.2">
      <c r="B310" s="13" t="str">
        <f>$B$25</f>
        <v>Triallaat</v>
      </c>
      <c r="C310" s="41">
        <f>VLOOKUP(OW_A_additie_laag05[[#This Row],[Component]],OW_A_additie_laag01[],2,FALSE)</f>
        <v>11.978400000000001</v>
      </c>
      <c r="D310" s="46"/>
      <c r="E310" s="48"/>
      <c r="F310" s="48"/>
      <c r="G310" s="45"/>
      <c r="H310" s="41" t="str">
        <f t="shared" si="51"/>
        <v/>
      </c>
      <c r="I310" s="32" t="str">
        <f t="shared" si="52"/>
        <v/>
      </c>
    </row>
    <row r="311" spans="2:9" x14ac:dyDescent="0.2">
      <c r="C311" s="42"/>
    </row>
    <row r="312" spans="2:9" ht="20.25" x14ac:dyDescent="0.3">
      <c r="B312" s="8" t="s">
        <v>39</v>
      </c>
      <c r="C312" s="42"/>
    </row>
    <row r="313" spans="2:9" ht="39" thickBot="1" x14ac:dyDescent="0.25">
      <c r="B313" s="15" t="s">
        <v>2</v>
      </c>
      <c r="C313" s="16" t="s">
        <v>3</v>
      </c>
      <c r="D313" s="16" t="s">
        <v>4</v>
      </c>
      <c r="E313" s="16" t="s">
        <v>161</v>
      </c>
      <c r="F313" s="16" t="s">
        <v>162</v>
      </c>
      <c r="G313" s="16" t="s">
        <v>5</v>
      </c>
      <c r="H313" s="43" t="s">
        <v>6</v>
      </c>
      <c r="I313" s="17" t="s">
        <v>7</v>
      </c>
    </row>
    <row r="314" spans="2:9" ht="13.5" thickTop="1" x14ac:dyDescent="0.2">
      <c r="B314" s="14" t="str">
        <f>$B$10</f>
        <v>Amisulbrom</v>
      </c>
      <c r="C314" s="22">
        <f>VLOOKUP(OW_A_additie_laag06[[#This Row],[Component]],OW_A_additie_laag01[],2,FALSE)</f>
        <v>12.0528</v>
      </c>
      <c r="D314" s="45"/>
      <c r="E314" s="47"/>
      <c r="F314" s="47"/>
      <c r="G314" s="45"/>
      <c r="H314" s="22" t="str">
        <f t="shared" ref="H314:H329" si="53">IF(G314="","",100*G314/C314)</f>
        <v/>
      </c>
      <c r="I314" s="32" t="str">
        <f t="shared" ref="I314:I329" si="54">IFERROR(MIN(E314,F314)/MAX(E314,F314)*100,"")</f>
        <v/>
      </c>
    </row>
    <row r="315" spans="2:9" x14ac:dyDescent="0.2">
      <c r="B315" s="12" t="str">
        <f>$B$11</f>
        <v>Clothianidine</v>
      </c>
      <c r="C315" s="40">
        <f>VLOOKUP(OW_A_additie_laag06[[#This Row],[Component]],OW_A_additie_laag01[],2,FALSE)</f>
        <v>11.930399999999997</v>
      </c>
      <c r="D315" s="46"/>
      <c r="E315" s="48"/>
      <c r="F315" s="48"/>
      <c r="G315" s="45"/>
      <c r="H315" s="40" t="str">
        <f t="shared" si="53"/>
        <v/>
      </c>
      <c r="I315" s="32" t="str">
        <f t="shared" si="54"/>
        <v/>
      </c>
    </row>
    <row r="316" spans="2:9" x14ac:dyDescent="0.2">
      <c r="B316" s="12" t="str">
        <f>$B$12</f>
        <v>Cyazofamide</v>
      </c>
      <c r="C316" s="40">
        <f>VLOOKUP(OW_A_additie_laag06[[#This Row],[Component]],OW_A_additie_laag01[],2,FALSE)</f>
        <v>12.004799999999999</v>
      </c>
      <c r="D316" s="46"/>
      <c r="E316" s="48"/>
      <c r="F316" s="48"/>
      <c r="G316" s="45"/>
      <c r="H316" s="40" t="str">
        <f t="shared" si="53"/>
        <v/>
      </c>
      <c r="I316" s="32" t="str">
        <f t="shared" si="54"/>
        <v/>
      </c>
    </row>
    <row r="317" spans="2:9" x14ac:dyDescent="0.2">
      <c r="B317" s="12" t="str">
        <f>$B$13</f>
        <v>Cymoxanil</v>
      </c>
      <c r="C317" s="40">
        <f>VLOOKUP(OW_A_additie_laag06[[#This Row],[Component]],OW_A_additie_laag01[],2,FALSE)</f>
        <v>11.9748</v>
      </c>
      <c r="D317" s="46"/>
      <c r="E317" s="48"/>
      <c r="F317" s="48"/>
      <c r="G317" s="45"/>
      <c r="H317" s="40" t="str">
        <f t="shared" si="53"/>
        <v/>
      </c>
      <c r="I317" s="32" t="str">
        <f t="shared" si="54"/>
        <v/>
      </c>
    </row>
    <row r="318" spans="2:9" x14ac:dyDescent="0.2">
      <c r="B318" s="12" t="str">
        <f>$B$14</f>
        <v>Desmedifam</v>
      </c>
      <c r="C318" s="40">
        <f>VLOOKUP(OW_A_additie_laag06[[#This Row],[Component]],OW_A_additie_laag01[],2,FALSE)</f>
        <v>12.031200000000002</v>
      </c>
      <c r="D318" s="46"/>
      <c r="E318" s="48"/>
      <c r="F318" s="48"/>
      <c r="G318" s="45"/>
      <c r="H318" s="40" t="str">
        <f t="shared" si="53"/>
        <v/>
      </c>
      <c r="I318" s="32" t="str">
        <f t="shared" si="54"/>
        <v/>
      </c>
    </row>
    <row r="319" spans="2:9" x14ac:dyDescent="0.2">
      <c r="B319" s="12" t="str">
        <f>$B$15</f>
        <v>Fenmedifam</v>
      </c>
      <c r="C319" s="40">
        <f>VLOOKUP(OW_A_additie_laag06[[#This Row],[Component]],OW_A_additie_laag01[],2,FALSE)</f>
        <v>11.990400000000001</v>
      </c>
      <c r="D319" s="46"/>
      <c r="E319" s="48"/>
      <c r="F319" s="48"/>
      <c r="G319" s="45"/>
      <c r="H319" s="40" t="str">
        <f t="shared" si="53"/>
        <v/>
      </c>
      <c r="I319" s="32" t="str">
        <f t="shared" si="54"/>
        <v/>
      </c>
    </row>
    <row r="320" spans="2:9" x14ac:dyDescent="0.2">
      <c r="B320" s="12" t="str">
        <f>$B$16</f>
        <v>Fenoxycarb</v>
      </c>
      <c r="C320" s="40">
        <f>VLOOKUP(OW_A_additie_laag06[[#This Row],[Component]],OW_A_additie_laag01[],2,FALSE)</f>
        <v>12.2448</v>
      </c>
      <c r="D320" s="46"/>
      <c r="E320" s="48"/>
      <c r="F320" s="48"/>
      <c r="G320" s="45"/>
      <c r="H320" s="40" t="str">
        <f t="shared" si="53"/>
        <v/>
      </c>
      <c r="I320" s="32" t="str">
        <f t="shared" si="54"/>
        <v/>
      </c>
    </row>
    <row r="321" spans="2:9" x14ac:dyDescent="0.2">
      <c r="B321" s="12" t="str">
        <f>$B$17</f>
        <v>Fipronil</v>
      </c>
      <c r="C321" s="40">
        <f>VLOOKUP(OW_A_additie_laag06[[#This Row],[Component]],OW_A_additie_laag01[],2,FALSE)</f>
        <v>12.015599999999997</v>
      </c>
      <c r="D321" s="46"/>
      <c r="E321" s="48"/>
      <c r="F321" s="48"/>
      <c r="G321" s="45"/>
      <c r="H321" s="40" t="str">
        <f t="shared" si="53"/>
        <v/>
      </c>
      <c r="I321" s="32" t="str">
        <f t="shared" si="54"/>
        <v/>
      </c>
    </row>
    <row r="322" spans="2:9" x14ac:dyDescent="0.2">
      <c r="B322" s="12" t="str">
        <f>$B$18</f>
        <v>Florasulam</v>
      </c>
      <c r="C322" s="40">
        <f>VLOOKUP(OW_A_additie_laag06[[#This Row],[Component]],OW_A_additie_laag01[],2,FALSE)</f>
        <v>12.061200000000001</v>
      </c>
      <c r="D322" s="46"/>
      <c r="E322" s="48"/>
      <c r="F322" s="48"/>
      <c r="G322" s="45"/>
      <c r="H322" s="40" t="str">
        <f t="shared" si="53"/>
        <v/>
      </c>
      <c r="I322" s="32" t="str">
        <f t="shared" si="54"/>
        <v/>
      </c>
    </row>
    <row r="323" spans="2:9" x14ac:dyDescent="0.2">
      <c r="B323" s="12" t="str">
        <f>$B$19</f>
        <v>Fluazifop-P-butyl</v>
      </c>
      <c r="C323" s="40">
        <f>VLOOKUP(OW_A_additie_laag06[[#This Row],[Component]],OW_A_additie_laag01[],2,FALSE)</f>
        <v>12.077999999999999</v>
      </c>
      <c r="D323" s="46"/>
      <c r="E323" s="48"/>
      <c r="F323" s="48"/>
      <c r="G323" s="45"/>
      <c r="H323" s="40" t="str">
        <f t="shared" si="53"/>
        <v/>
      </c>
      <c r="I323" s="32" t="str">
        <f t="shared" si="54"/>
        <v/>
      </c>
    </row>
    <row r="324" spans="2:9" x14ac:dyDescent="0.2">
      <c r="B324" s="12" t="str">
        <f>$B$20</f>
        <v>Fluazinam</v>
      </c>
      <c r="C324" s="40">
        <f>VLOOKUP(OW_A_additie_laag06[[#This Row],[Component]],OW_A_additie_laag01[],2,FALSE)</f>
        <v>12.115199999999998</v>
      </c>
      <c r="D324" s="46"/>
      <c r="E324" s="48"/>
      <c r="F324" s="48"/>
      <c r="G324" s="45"/>
      <c r="H324" s="40" t="str">
        <f t="shared" si="53"/>
        <v/>
      </c>
      <c r="I324" s="32" t="str">
        <f t="shared" si="54"/>
        <v/>
      </c>
    </row>
    <row r="325" spans="2:9" x14ac:dyDescent="0.2">
      <c r="B325" s="12" t="str">
        <f>$B$21</f>
        <v>Fludioxonil</v>
      </c>
      <c r="C325" s="40">
        <f>VLOOKUP(OW_A_additie_laag06[[#This Row],[Component]],OW_A_additie_laag01[],2,FALSE)</f>
        <v>12.03</v>
      </c>
      <c r="D325" s="46"/>
      <c r="E325" s="48"/>
      <c r="F325" s="48"/>
      <c r="G325" s="45"/>
      <c r="H325" s="40" t="str">
        <f t="shared" si="53"/>
        <v/>
      </c>
      <c r="I325" s="32" t="str">
        <f t="shared" si="54"/>
        <v/>
      </c>
    </row>
    <row r="326" spans="2:9" x14ac:dyDescent="0.2">
      <c r="B326" s="12" t="str">
        <f>$B$22</f>
        <v>Mesotrione</v>
      </c>
      <c r="C326" s="40">
        <f>VLOOKUP(OW_A_additie_laag06[[#This Row],[Component]],OW_A_additie_laag01[],2,FALSE)</f>
        <v>12.079199999999998</v>
      </c>
      <c r="D326" s="46"/>
      <c r="E326" s="48"/>
      <c r="F326" s="48"/>
      <c r="G326" s="45"/>
      <c r="H326" s="40" t="str">
        <f t="shared" si="53"/>
        <v/>
      </c>
      <c r="I326" s="32" t="str">
        <f t="shared" si="54"/>
        <v/>
      </c>
    </row>
    <row r="327" spans="2:9" x14ac:dyDescent="0.2">
      <c r="B327" s="12" t="str">
        <f>$B$23</f>
        <v>Methoxyfenozide</v>
      </c>
      <c r="C327" s="40">
        <f>VLOOKUP(OW_A_additie_laag06[[#This Row],[Component]],OW_A_additie_laag01[],2,FALSE)</f>
        <v>12.070799999999998</v>
      </c>
      <c r="D327" s="46"/>
      <c r="E327" s="48"/>
      <c r="F327" s="48"/>
      <c r="G327" s="45"/>
      <c r="H327" s="40" t="str">
        <f t="shared" si="53"/>
        <v/>
      </c>
      <c r="I327" s="32" t="str">
        <f t="shared" si="54"/>
        <v/>
      </c>
    </row>
    <row r="328" spans="2:9" x14ac:dyDescent="0.2">
      <c r="B328" s="12" t="str">
        <f>$B$24</f>
        <v>Oxamyl</v>
      </c>
      <c r="C328" s="40">
        <f>VLOOKUP(OW_A_additie_laag06[[#This Row],[Component]],OW_A_additie_laag01[],2,FALSE)</f>
        <v>12.124800000000002</v>
      </c>
      <c r="D328" s="46"/>
      <c r="E328" s="48"/>
      <c r="F328" s="48"/>
      <c r="G328" s="45"/>
      <c r="H328" s="40" t="str">
        <f t="shared" si="53"/>
        <v/>
      </c>
      <c r="I328" s="32" t="str">
        <f t="shared" si="54"/>
        <v/>
      </c>
    </row>
    <row r="329" spans="2:9" x14ac:dyDescent="0.2">
      <c r="B329" s="13" t="str">
        <f>$B$25</f>
        <v>Triallaat</v>
      </c>
      <c r="C329" s="41">
        <f>VLOOKUP(OW_A_additie_laag06[[#This Row],[Component]],OW_A_additie_laag01[],2,FALSE)</f>
        <v>11.978400000000001</v>
      </c>
      <c r="D329" s="46"/>
      <c r="E329" s="48"/>
      <c r="F329" s="48"/>
      <c r="G329" s="45"/>
      <c r="H329" s="41" t="str">
        <f t="shared" si="53"/>
        <v/>
      </c>
      <c r="I329" s="32" t="str">
        <f t="shared" si="54"/>
        <v/>
      </c>
    </row>
    <row r="330" spans="2:9" x14ac:dyDescent="0.2">
      <c r="C330" s="42"/>
    </row>
    <row r="331" spans="2:9" ht="20.25" x14ac:dyDescent="0.3">
      <c r="B331" s="8" t="s">
        <v>40</v>
      </c>
      <c r="C331" s="42"/>
    </row>
    <row r="332" spans="2:9" ht="39" thickBot="1" x14ac:dyDescent="0.25">
      <c r="B332" s="15" t="s">
        <v>2</v>
      </c>
      <c r="C332" s="16" t="s">
        <v>3</v>
      </c>
      <c r="D332" s="16" t="s">
        <v>4</v>
      </c>
      <c r="E332" s="16" t="s">
        <v>161</v>
      </c>
      <c r="F332" s="16" t="s">
        <v>162</v>
      </c>
      <c r="G332" s="16" t="s">
        <v>5</v>
      </c>
      <c r="H332" s="43" t="s">
        <v>6</v>
      </c>
      <c r="I332" s="17" t="s">
        <v>7</v>
      </c>
    </row>
    <row r="333" spans="2:9" ht="13.5" thickTop="1" x14ac:dyDescent="0.2">
      <c r="B333" s="14" t="str">
        <f>$B$10</f>
        <v>Amisulbrom</v>
      </c>
      <c r="C333" s="22">
        <f>VLOOKUP(OW_A_additie_laag07[[#This Row],[Component]],OW_A_additie_laag01[],2,FALSE)</f>
        <v>12.0528</v>
      </c>
      <c r="D333" s="45"/>
      <c r="E333" s="47"/>
      <c r="F333" s="47"/>
      <c r="G333" s="45"/>
      <c r="H333" s="22" t="str">
        <f t="shared" ref="H333:H348" si="55">IF(G333="","",100*G333/C333)</f>
        <v/>
      </c>
      <c r="I333" s="32" t="str">
        <f t="shared" ref="I333:I348" si="56">IFERROR(MIN(E333,F333)/MAX(E333,F333)*100,"")</f>
        <v/>
      </c>
    </row>
    <row r="334" spans="2:9" x14ac:dyDescent="0.2">
      <c r="B334" s="12" t="str">
        <f>$B$11</f>
        <v>Clothianidine</v>
      </c>
      <c r="C334" s="40">
        <f>VLOOKUP(OW_A_additie_laag07[[#This Row],[Component]],OW_A_additie_laag01[],2,FALSE)</f>
        <v>11.930399999999997</v>
      </c>
      <c r="D334" s="46"/>
      <c r="E334" s="48"/>
      <c r="F334" s="48"/>
      <c r="G334" s="45"/>
      <c r="H334" s="40" t="str">
        <f t="shared" si="55"/>
        <v/>
      </c>
      <c r="I334" s="32" t="str">
        <f t="shared" si="56"/>
        <v/>
      </c>
    </row>
    <row r="335" spans="2:9" x14ac:dyDescent="0.2">
      <c r="B335" s="12" t="str">
        <f>$B$12</f>
        <v>Cyazofamide</v>
      </c>
      <c r="C335" s="40">
        <f>VLOOKUP(OW_A_additie_laag07[[#This Row],[Component]],OW_A_additie_laag01[],2,FALSE)</f>
        <v>12.004799999999999</v>
      </c>
      <c r="D335" s="46"/>
      <c r="E335" s="48"/>
      <c r="F335" s="48"/>
      <c r="G335" s="45"/>
      <c r="H335" s="40" t="str">
        <f t="shared" si="55"/>
        <v/>
      </c>
      <c r="I335" s="32" t="str">
        <f t="shared" si="56"/>
        <v/>
      </c>
    </row>
    <row r="336" spans="2:9" x14ac:dyDescent="0.2">
      <c r="B336" s="12" t="str">
        <f>$B$13</f>
        <v>Cymoxanil</v>
      </c>
      <c r="C336" s="40">
        <f>VLOOKUP(OW_A_additie_laag07[[#This Row],[Component]],OW_A_additie_laag01[],2,FALSE)</f>
        <v>11.9748</v>
      </c>
      <c r="D336" s="46"/>
      <c r="E336" s="48"/>
      <c r="F336" s="48"/>
      <c r="G336" s="45"/>
      <c r="H336" s="40" t="str">
        <f t="shared" si="55"/>
        <v/>
      </c>
      <c r="I336" s="32" t="str">
        <f t="shared" si="56"/>
        <v/>
      </c>
    </row>
    <row r="337" spans="2:9" x14ac:dyDescent="0.2">
      <c r="B337" s="12" t="str">
        <f>$B$14</f>
        <v>Desmedifam</v>
      </c>
      <c r="C337" s="40">
        <f>VLOOKUP(OW_A_additie_laag07[[#This Row],[Component]],OW_A_additie_laag01[],2,FALSE)</f>
        <v>12.031200000000002</v>
      </c>
      <c r="D337" s="46"/>
      <c r="E337" s="48"/>
      <c r="F337" s="48"/>
      <c r="G337" s="45"/>
      <c r="H337" s="40" t="str">
        <f t="shared" si="55"/>
        <v/>
      </c>
      <c r="I337" s="32" t="str">
        <f t="shared" si="56"/>
        <v/>
      </c>
    </row>
    <row r="338" spans="2:9" x14ac:dyDescent="0.2">
      <c r="B338" s="12" t="str">
        <f>$B$15</f>
        <v>Fenmedifam</v>
      </c>
      <c r="C338" s="40">
        <f>VLOOKUP(OW_A_additie_laag07[[#This Row],[Component]],OW_A_additie_laag01[],2,FALSE)</f>
        <v>11.990400000000001</v>
      </c>
      <c r="D338" s="46"/>
      <c r="E338" s="48"/>
      <c r="F338" s="48"/>
      <c r="G338" s="45"/>
      <c r="H338" s="40" t="str">
        <f t="shared" si="55"/>
        <v/>
      </c>
      <c r="I338" s="32" t="str">
        <f t="shared" si="56"/>
        <v/>
      </c>
    </row>
    <row r="339" spans="2:9" x14ac:dyDescent="0.2">
      <c r="B339" s="12" t="str">
        <f>$B$16</f>
        <v>Fenoxycarb</v>
      </c>
      <c r="C339" s="40">
        <f>VLOOKUP(OW_A_additie_laag07[[#This Row],[Component]],OW_A_additie_laag01[],2,FALSE)</f>
        <v>12.2448</v>
      </c>
      <c r="D339" s="46"/>
      <c r="E339" s="48"/>
      <c r="F339" s="48"/>
      <c r="G339" s="45"/>
      <c r="H339" s="40" t="str">
        <f t="shared" si="55"/>
        <v/>
      </c>
      <c r="I339" s="32" t="str">
        <f t="shared" si="56"/>
        <v/>
      </c>
    </row>
    <row r="340" spans="2:9" x14ac:dyDescent="0.2">
      <c r="B340" s="12" t="str">
        <f>$B$17</f>
        <v>Fipronil</v>
      </c>
      <c r="C340" s="40">
        <f>VLOOKUP(OW_A_additie_laag07[[#This Row],[Component]],OW_A_additie_laag01[],2,FALSE)</f>
        <v>12.015599999999997</v>
      </c>
      <c r="D340" s="46"/>
      <c r="E340" s="48"/>
      <c r="F340" s="48"/>
      <c r="G340" s="45"/>
      <c r="H340" s="40" t="str">
        <f t="shared" si="55"/>
        <v/>
      </c>
      <c r="I340" s="32" t="str">
        <f t="shared" si="56"/>
        <v/>
      </c>
    </row>
    <row r="341" spans="2:9" x14ac:dyDescent="0.2">
      <c r="B341" s="12" t="str">
        <f>$B$18</f>
        <v>Florasulam</v>
      </c>
      <c r="C341" s="40">
        <f>VLOOKUP(OW_A_additie_laag07[[#This Row],[Component]],OW_A_additie_laag01[],2,FALSE)</f>
        <v>12.061200000000001</v>
      </c>
      <c r="D341" s="46"/>
      <c r="E341" s="48"/>
      <c r="F341" s="48"/>
      <c r="G341" s="45"/>
      <c r="H341" s="40" t="str">
        <f t="shared" si="55"/>
        <v/>
      </c>
      <c r="I341" s="32" t="str">
        <f t="shared" si="56"/>
        <v/>
      </c>
    </row>
    <row r="342" spans="2:9" x14ac:dyDescent="0.2">
      <c r="B342" s="12" t="str">
        <f>$B$19</f>
        <v>Fluazifop-P-butyl</v>
      </c>
      <c r="C342" s="40">
        <f>VLOOKUP(OW_A_additie_laag07[[#This Row],[Component]],OW_A_additie_laag01[],2,FALSE)</f>
        <v>12.077999999999999</v>
      </c>
      <c r="D342" s="46"/>
      <c r="E342" s="48"/>
      <c r="F342" s="48"/>
      <c r="G342" s="45"/>
      <c r="H342" s="40" t="str">
        <f t="shared" si="55"/>
        <v/>
      </c>
      <c r="I342" s="32" t="str">
        <f t="shared" si="56"/>
        <v/>
      </c>
    </row>
    <row r="343" spans="2:9" x14ac:dyDescent="0.2">
      <c r="B343" s="12" t="str">
        <f>$B$20</f>
        <v>Fluazinam</v>
      </c>
      <c r="C343" s="40">
        <f>VLOOKUP(OW_A_additie_laag07[[#This Row],[Component]],OW_A_additie_laag01[],2,FALSE)</f>
        <v>12.115199999999998</v>
      </c>
      <c r="D343" s="46"/>
      <c r="E343" s="48"/>
      <c r="F343" s="48"/>
      <c r="G343" s="45"/>
      <c r="H343" s="40" t="str">
        <f t="shared" si="55"/>
        <v/>
      </c>
      <c r="I343" s="32" t="str">
        <f t="shared" si="56"/>
        <v/>
      </c>
    </row>
    <row r="344" spans="2:9" x14ac:dyDescent="0.2">
      <c r="B344" s="12" t="str">
        <f>$B$21</f>
        <v>Fludioxonil</v>
      </c>
      <c r="C344" s="40">
        <f>VLOOKUP(OW_A_additie_laag07[[#This Row],[Component]],OW_A_additie_laag01[],2,FALSE)</f>
        <v>12.03</v>
      </c>
      <c r="D344" s="46"/>
      <c r="E344" s="48"/>
      <c r="F344" s="48"/>
      <c r="G344" s="45"/>
      <c r="H344" s="40" t="str">
        <f t="shared" si="55"/>
        <v/>
      </c>
      <c r="I344" s="32" t="str">
        <f t="shared" si="56"/>
        <v/>
      </c>
    </row>
    <row r="345" spans="2:9" x14ac:dyDescent="0.2">
      <c r="B345" s="12" t="str">
        <f>$B$22</f>
        <v>Mesotrione</v>
      </c>
      <c r="C345" s="40">
        <f>VLOOKUP(OW_A_additie_laag07[[#This Row],[Component]],OW_A_additie_laag01[],2,FALSE)</f>
        <v>12.079199999999998</v>
      </c>
      <c r="D345" s="46"/>
      <c r="E345" s="48"/>
      <c r="F345" s="48"/>
      <c r="G345" s="45"/>
      <c r="H345" s="40" t="str">
        <f t="shared" si="55"/>
        <v/>
      </c>
      <c r="I345" s="32" t="str">
        <f t="shared" si="56"/>
        <v/>
      </c>
    </row>
    <row r="346" spans="2:9" x14ac:dyDescent="0.2">
      <c r="B346" s="12" t="str">
        <f>$B$23</f>
        <v>Methoxyfenozide</v>
      </c>
      <c r="C346" s="40">
        <f>VLOOKUP(OW_A_additie_laag07[[#This Row],[Component]],OW_A_additie_laag01[],2,FALSE)</f>
        <v>12.070799999999998</v>
      </c>
      <c r="D346" s="46"/>
      <c r="E346" s="48"/>
      <c r="F346" s="48"/>
      <c r="G346" s="45"/>
      <c r="H346" s="40" t="str">
        <f t="shared" si="55"/>
        <v/>
      </c>
      <c r="I346" s="32" t="str">
        <f t="shared" si="56"/>
        <v/>
      </c>
    </row>
    <row r="347" spans="2:9" x14ac:dyDescent="0.2">
      <c r="B347" s="12" t="str">
        <f>$B$24</f>
        <v>Oxamyl</v>
      </c>
      <c r="C347" s="40">
        <f>VLOOKUP(OW_A_additie_laag07[[#This Row],[Component]],OW_A_additie_laag01[],2,FALSE)</f>
        <v>12.124800000000002</v>
      </c>
      <c r="D347" s="46"/>
      <c r="E347" s="48"/>
      <c r="F347" s="48"/>
      <c r="G347" s="45"/>
      <c r="H347" s="40" t="str">
        <f t="shared" si="55"/>
        <v/>
      </c>
      <c r="I347" s="32" t="str">
        <f t="shared" si="56"/>
        <v/>
      </c>
    </row>
    <row r="348" spans="2:9" x14ac:dyDescent="0.2">
      <c r="B348" s="13" t="str">
        <f>$B$25</f>
        <v>Triallaat</v>
      </c>
      <c r="C348" s="41">
        <f>VLOOKUP(OW_A_additie_laag07[[#This Row],[Component]],OW_A_additie_laag01[],2,FALSE)</f>
        <v>11.978400000000001</v>
      </c>
      <c r="D348" s="46"/>
      <c r="E348" s="48"/>
      <c r="F348" s="48"/>
      <c r="G348" s="45"/>
      <c r="H348" s="41" t="str">
        <f t="shared" si="55"/>
        <v/>
      </c>
      <c r="I348" s="32" t="str">
        <f t="shared" si="56"/>
        <v/>
      </c>
    </row>
    <row r="349" spans="2:9" x14ac:dyDescent="0.2">
      <c r="C349" s="42"/>
    </row>
    <row r="350" spans="2:9" ht="20.25" x14ac:dyDescent="0.3">
      <c r="B350" s="8" t="s">
        <v>41</v>
      </c>
      <c r="C350" s="42"/>
    </row>
    <row r="351" spans="2:9" ht="39" thickBot="1" x14ac:dyDescent="0.25">
      <c r="B351" s="15" t="s">
        <v>2</v>
      </c>
      <c r="C351" s="16" t="s">
        <v>3</v>
      </c>
      <c r="D351" s="16" t="s">
        <v>4</v>
      </c>
      <c r="E351" s="16" t="s">
        <v>161</v>
      </c>
      <c r="F351" s="16" t="s">
        <v>162</v>
      </c>
      <c r="G351" s="16" t="s">
        <v>5</v>
      </c>
      <c r="H351" s="43" t="s">
        <v>6</v>
      </c>
      <c r="I351" s="17" t="s">
        <v>7</v>
      </c>
    </row>
    <row r="352" spans="2:9" ht="13.5" thickTop="1" x14ac:dyDescent="0.2">
      <c r="B352" s="14" t="str">
        <f>$B$10</f>
        <v>Amisulbrom</v>
      </c>
      <c r="C352" s="22">
        <f>VLOOKUP(OW_A_additie_laag08[[#This Row],[Component]],OW_A_additie_laag01[],2,FALSE)</f>
        <v>12.0528</v>
      </c>
      <c r="D352" s="45"/>
      <c r="E352" s="47"/>
      <c r="F352" s="47"/>
      <c r="G352" s="45"/>
      <c r="H352" s="22" t="str">
        <f t="shared" ref="H352:H367" si="57">IF(G352="","",100*G352/C352)</f>
        <v/>
      </c>
      <c r="I352" s="32" t="str">
        <f t="shared" ref="I352:I367" si="58">IFERROR(MIN(E352,F352)/MAX(E352,F352)*100,"")</f>
        <v/>
      </c>
    </row>
    <row r="353" spans="2:9" x14ac:dyDescent="0.2">
      <c r="B353" s="12" t="str">
        <f>$B$11</f>
        <v>Clothianidine</v>
      </c>
      <c r="C353" s="40">
        <f>VLOOKUP(OW_A_additie_laag08[[#This Row],[Component]],OW_A_additie_laag01[],2,FALSE)</f>
        <v>11.930399999999997</v>
      </c>
      <c r="D353" s="46"/>
      <c r="E353" s="48"/>
      <c r="F353" s="48"/>
      <c r="G353" s="45"/>
      <c r="H353" s="40" t="str">
        <f t="shared" si="57"/>
        <v/>
      </c>
      <c r="I353" s="32" t="str">
        <f t="shared" si="58"/>
        <v/>
      </c>
    </row>
    <row r="354" spans="2:9" x14ac:dyDescent="0.2">
      <c r="B354" s="12" t="str">
        <f>$B$12</f>
        <v>Cyazofamide</v>
      </c>
      <c r="C354" s="40">
        <f>VLOOKUP(OW_A_additie_laag08[[#This Row],[Component]],OW_A_additie_laag01[],2,FALSE)</f>
        <v>12.004799999999999</v>
      </c>
      <c r="D354" s="46"/>
      <c r="E354" s="48"/>
      <c r="F354" s="48"/>
      <c r="G354" s="45"/>
      <c r="H354" s="40" t="str">
        <f t="shared" si="57"/>
        <v/>
      </c>
      <c r="I354" s="32" t="str">
        <f t="shared" si="58"/>
        <v/>
      </c>
    </row>
    <row r="355" spans="2:9" x14ac:dyDescent="0.2">
      <c r="B355" s="12" t="str">
        <f>$B$13</f>
        <v>Cymoxanil</v>
      </c>
      <c r="C355" s="40">
        <f>VLOOKUP(OW_A_additie_laag08[[#This Row],[Component]],OW_A_additie_laag01[],2,FALSE)</f>
        <v>11.9748</v>
      </c>
      <c r="D355" s="46"/>
      <c r="E355" s="48"/>
      <c r="F355" s="48"/>
      <c r="G355" s="45"/>
      <c r="H355" s="40" t="str">
        <f t="shared" si="57"/>
        <v/>
      </c>
      <c r="I355" s="32" t="str">
        <f t="shared" si="58"/>
        <v/>
      </c>
    </row>
    <row r="356" spans="2:9" x14ac:dyDescent="0.2">
      <c r="B356" s="12" t="str">
        <f>$B$14</f>
        <v>Desmedifam</v>
      </c>
      <c r="C356" s="40">
        <f>VLOOKUP(OW_A_additie_laag08[[#This Row],[Component]],OW_A_additie_laag01[],2,FALSE)</f>
        <v>12.031200000000002</v>
      </c>
      <c r="D356" s="46"/>
      <c r="E356" s="48"/>
      <c r="F356" s="48"/>
      <c r="G356" s="45"/>
      <c r="H356" s="40" t="str">
        <f t="shared" si="57"/>
        <v/>
      </c>
      <c r="I356" s="32" t="str">
        <f t="shared" si="58"/>
        <v/>
      </c>
    </row>
    <row r="357" spans="2:9" x14ac:dyDescent="0.2">
      <c r="B357" s="12" t="str">
        <f>$B$15</f>
        <v>Fenmedifam</v>
      </c>
      <c r="C357" s="40">
        <f>VLOOKUP(OW_A_additie_laag08[[#This Row],[Component]],OW_A_additie_laag01[],2,FALSE)</f>
        <v>11.990400000000001</v>
      </c>
      <c r="D357" s="46"/>
      <c r="E357" s="48"/>
      <c r="F357" s="48"/>
      <c r="G357" s="45"/>
      <c r="H357" s="40" t="str">
        <f t="shared" si="57"/>
        <v/>
      </c>
      <c r="I357" s="32" t="str">
        <f t="shared" si="58"/>
        <v/>
      </c>
    </row>
    <row r="358" spans="2:9" x14ac:dyDescent="0.2">
      <c r="B358" s="12" t="str">
        <f>$B$16</f>
        <v>Fenoxycarb</v>
      </c>
      <c r="C358" s="40">
        <f>VLOOKUP(OW_A_additie_laag08[[#This Row],[Component]],OW_A_additie_laag01[],2,FALSE)</f>
        <v>12.2448</v>
      </c>
      <c r="D358" s="46"/>
      <c r="E358" s="48"/>
      <c r="F358" s="48"/>
      <c r="G358" s="45"/>
      <c r="H358" s="40" t="str">
        <f t="shared" si="57"/>
        <v/>
      </c>
      <c r="I358" s="32" t="str">
        <f t="shared" si="58"/>
        <v/>
      </c>
    </row>
    <row r="359" spans="2:9" x14ac:dyDescent="0.2">
      <c r="B359" s="12" t="str">
        <f>$B$17</f>
        <v>Fipronil</v>
      </c>
      <c r="C359" s="40">
        <f>VLOOKUP(OW_A_additie_laag08[[#This Row],[Component]],OW_A_additie_laag01[],2,FALSE)</f>
        <v>12.015599999999997</v>
      </c>
      <c r="D359" s="46"/>
      <c r="E359" s="48"/>
      <c r="F359" s="48"/>
      <c r="G359" s="45"/>
      <c r="H359" s="40" t="str">
        <f t="shared" si="57"/>
        <v/>
      </c>
      <c r="I359" s="32" t="str">
        <f t="shared" si="58"/>
        <v/>
      </c>
    </row>
    <row r="360" spans="2:9" x14ac:dyDescent="0.2">
      <c r="B360" s="12" t="str">
        <f>$B$18</f>
        <v>Florasulam</v>
      </c>
      <c r="C360" s="40">
        <f>VLOOKUP(OW_A_additie_laag08[[#This Row],[Component]],OW_A_additie_laag01[],2,FALSE)</f>
        <v>12.061200000000001</v>
      </c>
      <c r="D360" s="46"/>
      <c r="E360" s="48"/>
      <c r="F360" s="48"/>
      <c r="G360" s="45"/>
      <c r="H360" s="40" t="str">
        <f t="shared" si="57"/>
        <v/>
      </c>
      <c r="I360" s="32" t="str">
        <f t="shared" si="58"/>
        <v/>
      </c>
    </row>
    <row r="361" spans="2:9" x14ac:dyDescent="0.2">
      <c r="B361" s="12" t="str">
        <f>$B$19</f>
        <v>Fluazifop-P-butyl</v>
      </c>
      <c r="C361" s="40">
        <f>VLOOKUP(OW_A_additie_laag08[[#This Row],[Component]],OW_A_additie_laag01[],2,FALSE)</f>
        <v>12.077999999999999</v>
      </c>
      <c r="D361" s="46"/>
      <c r="E361" s="48"/>
      <c r="F361" s="48"/>
      <c r="G361" s="45"/>
      <c r="H361" s="40" t="str">
        <f t="shared" si="57"/>
        <v/>
      </c>
      <c r="I361" s="32" t="str">
        <f t="shared" si="58"/>
        <v/>
      </c>
    </row>
    <row r="362" spans="2:9" x14ac:dyDescent="0.2">
      <c r="B362" s="12" t="str">
        <f>$B$20</f>
        <v>Fluazinam</v>
      </c>
      <c r="C362" s="40">
        <f>VLOOKUP(OW_A_additie_laag08[[#This Row],[Component]],OW_A_additie_laag01[],2,FALSE)</f>
        <v>12.115199999999998</v>
      </c>
      <c r="D362" s="46"/>
      <c r="E362" s="48"/>
      <c r="F362" s="48"/>
      <c r="G362" s="45"/>
      <c r="H362" s="40" t="str">
        <f t="shared" si="57"/>
        <v/>
      </c>
      <c r="I362" s="32" t="str">
        <f t="shared" si="58"/>
        <v/>
      </c>
    </row>
    <row r="363" spans="2:9" x14ac:dyDescent="0.2">
      <c r="B363" s="12" t="str">
        <f>$B$21</f>
        <v>Fludioxonil</v>
      </c>
      <c r="C363" s="40">
        <f>VLOOKUP(OW_A_additie_laag08[[#This Row],[Component]],OW_A_additie_laag01[],2,FALSE)</f>
        <v>12.03</v>
      </c>
      <c r="D363" s="46"/>
      <c r="E363" s="48"/>
      <c r="F363" s="48"/>
      <c r="G363" s="45"/>
      <c r="H363" s="40" t="str">
        <f t="shared" si="57"/>
        <v/>
      </c>
      <c r="I363" s="32" t="str">
        <f t="shared" si="58"/>
        <v/>
      </c>
    </row>
    <row r="364" spans="2:9" x14ac:dyDescent="0.2">
      <c r="B364" s="12" t="str">
        <f>$B$22</f>
        <v>Mesotrione</v>
      </c>
      <c r="C364" s="40">
        <f>VLOOKUP(OW_A_additie_laag08[[#This Row],[Component]],OW_A_additie_laag01[],2,FALSE)</f>
        <v>12.079199999999998</v>
      </c>
      <c r="D364" s="46"/>
      <c r="E364" s="48"/>
      <c r="F364" s="48"/>
      <c r="G364" s="45"/>
      <c r="H364" s="40" t="str">
        <f t="shared" si="57"/>
        <v/>
      </c>
      <c r="I364" s="32" t="str">
        <f t="shared" si="58"/>
        <v/>
      </c>
    </row>
    <row r="365" spans="2:9" x14ac:dyDescent="0.2">
      <c r="B365" s="12" t="str">
        <f>$B$23</f>
        <v>Methoxyfenozide</v>
      </c>
      <c r="C365" s="40">
        <f>VLOOKUP(OW_A_additie_laag08[[#This Row],[Component]],OW_A_additie_laag01[],2,FALSE)</f>
        <v>12.070799999999998</v>
      </c>
      <c r="D365" s="46"/>
      <c r="E365" s="48"/>
      <c r="F365" s="48"/>
      <c r="G365" s="45"/>
      <c r="H365" s="40" t="str">
        <f t="shared" si="57"/>
        <v/>
      </c>
      <c r="I365" s="32" t="str">
        <f t="shared" si="58"/>
        <v/>
      </c>
    </row>
    <row r="366" spans="2:9" x14ac:dyDescent="0.2">
      <c r="B366" s="12" t="str">
        <f>$B$24</f>
        <v>Oxamyl</v>
      </c>
      <c r="C366" s="40">
        <f>VLOOKUP(OW_A_additie_laag08[[#This Row],[Component]],OW_A_additie_laag01[],2,FALSE)</f>
        <v>12.124800000000002</v>
      </c>
      <c r="D366" s="46"/>
      <c r="E366" s="48"/>
      <c r="F366" s="48"/>
      <c r="G366" s="45"/>
      <c r="H366" s="40" t="str">
        <f t="shared" si="57"/>
        <v/>
      </c>
      <c r="I366" s="32" t="str">
        <f t="shared" si="58"/>
        <v/>
      </c>
    </row>
    <row r="367" spans="2:9" x14ac:dyDescent="0.2">
      <c r="B367" s="13" t="str">
        <f>$B$25</f>
        <v>Triallaat</v>
      </c>
      <c r="C367" s="41">
        <f>VLOOKUP(OW_A_additie_laag08[[#This Row],[Component]],OW_A_additie_laag01[],2,FALSE)</f>
        <v>11.978400000000001</v>
      </c>
      <c r="D367" s="46"/>
      <c r="E367" s="48"/>
      <c r="F367" s="48"/>
      <c r="G367" s="45"/>
      <c r="H367" s="41" t="str">
        <f t="shared" si="57"/>
        <v/>
      </c>
      <c r="I367" s="32" t="str">
        <f t="shared" si="58"/>
        <v/>
      </c>
    </row>
    <row r="369" spans="2:9" ht="20.25" x14ac:dyDescent="0.3">
      <c r="B369" s="8" t="s">
        <v>78</v>
      </c>
    </row>
    <row r="370" spans="2:9" ht="39" thickBot="1" x14ac:dyDescent="0.25">
      <c r="B370" s="15" t="s">
        <v>2</v>
      </c>
      <c r="C370" s="16" t="s">
        <v>3</v>
      </c>
      <c r="D370" s="16" t="s">
        <v>4</v>
      </c>
      <c r="E370" s="16" t="s">
        <v>161</v>
      </c>
      <c r="F370" s="16" t="s">
        <v>162</v>
      </c>
      <c r="G370" s="16" t="s">
        <v>5</v>
      </c>
      <c r="H370" s="43" t="s">
        <v>6</v>
      </c>
      <c r="I370" s="17" t="s">
        <v>7</v>
      </c>
    </row>
    <row r="371" spans="2:9" ht="13.5" thickTop="1" x14ac:dyDescent="0.2">
      <c r="B371" s="14" t="str">
        <f>$B$10</f>
        <v>Amisulbrom</v>
      </c>
      <c r="C371" s="22">
        <f>VLOOKUP(KAL_standaard_4_01[[#This Row],[Component]],Kalibratie4[],2,FALSE)</f>
        <v>120.52799999999999</v>
      </c>
      <c r="D371" s="45"/>
      <c r="E371" s="47"/>
      <c r="F371" s="47"/>
      <c r="G371" s="45"/>
      <c r="H371" s="22" t="str">
        <f t="shared" ref="H371:H386" si="59">IF(G371="","",100*G371/C371)</f>
        <v/>
      </c>
      <c r="I371" s="32" t="str">
        <f t="shared" ref="I371:I386" si="60">IFERROR(MIN(E371,F371)/MAX(E371,F371)*100,"")</f>
        <v/>
      </c>
    </row>
    <row r="372" spans="2:9" x14ac:dyDescent="0.2">
      <c r="B372" s="12" t="str">
        <f>$B$11</f>
        <v>Clothianidine</v>
      </c>
      <c r="C372" s="40">
        <f>VLOOKUP(KAL_standaard_4_01[[#This Row],[Component]],Kalibratie4[],2,FALSE)</f>
        <v>119.304</v>
      </c>
      <c r="D372" s="46"/>
      <c r="E372" s="48"/>
      <c r="F372" s="48"/>
      <c r="G372" s="45"/>
      <c r="H372" s="40" t="str">
        <f t="shared" si="59"/>
        <v/>
      </c>
      <c r="I372" s="32" t="str">
        <f t="shared" si="60"/>
        <v/>
      </c>
    </row>
    <row r="373" spans="2:9" x14ac:dyDescent="0.2">
      <c r="B373" s="12" t="str">
        <f>$B$12</f>
        <v>Cyazofamide</v>
      </c>
      <c r="C373" s="40">
        <f>VLOOKUP(KAL_standaard_4_01[[#This Row],[Component]],Kalibratie4[],2,FALSE)</f>
        <v>120.04799999999999</v>
      </c>
      <c r="D373" s="46"/>
      <c r="E373" s="48"/>
      <c r="F373" s="48"/>
      <c r="G373" s="45"/>
      <c r="H373" s="40" t="str">
        <f t="shared" si="59"/>
        <v/>
      </c>
      <c r="I373" s="32" t="str">
        <f t="shared" si="60"/>
        <v/>
      </c>
    </row>
    <row r="374" spans="2:9" x14ac:dyDescent="0.2">
      <c r="B374" s="12" t="str">
        <f>$B$13</f>
        <v>Cymoxanil</v>
      </c>
      <c r="C374" s="40">
        <f>VLOOKUP(KAL_standaard_4_01[[#This Row],[Component]],Kalibratie4[],2,FALSE)</f>
        <v>119.74799999999999</v>
      </c>
      <c r="D374" s="46"/>
      <c r="E374" s="48"/>
      <c r="F374" s="48"/>
      <c r="G374" s="45"/>
      <c r="H374" s="40" t="str">
        <f t="shared" si="59"/>
        <v/>
      </c>
      <c r="I374" s="32" t="str">
        <f t="shared" si="60"/>
        <v/>
      </c>
    </row>
    <row r="375" spans="2:9" x14ac:dyDescent="0.2">
      <c r="B375" s="12" t="str">
        <f>$B$14</f>
        <v>Desmedifam</v>
      </c>
      <c r="C375" s="40">
        <f>VLOOKUP(KAL_standaard_4_01[[#This Row],[Component]],Kalibratie4[],2,FALSE)</f>
        <v>120.31200000000004</v>
      </c>
      <c r="D375" s="46"/>
      <c r="E375" s="48"/>
      <c r="F375" s="48"/>
      <c r="G375" s="45"/>
      <c r="H375" s="40" t="str">
        <f t="shared" si="59"/>
        <v/>
      </c>
      <c r="I375" s="32" t="str">
        <f t="shared" si="60"/>
        <v/>
      </c>
    </row>
    <row r="376" spans="2:9" x14ac:dyDescent="0.2">
      <c r="B376" s="12" t="str">
        <f>$B$15</f>
        <v>Fenmedifam</v>
      </c>
      <c r="C376" s="40">
        <f>VLOOKUP(KAL_standaard_4_01[[#This Row],[Component]],Kalibratie4[],2,FALSE)</f>
        <v>119.904</v>
      </c>
      <c r="D376" s="46"/>
      <c r="E376" s="48"/>
      <c r="F376" s="48"/>
      <c r="G376" s="45"/>
      <c r="H376" s="40" t="str">
        <f t="shared" si="59"/>
        <v/>
      </c>
      <c r="I376" s="32" t="str">
        <f t="shared" si="60"/>
        <v/>
      </c>
    </row>
    <row r="377" spans="2:9" x14ac:dyDescent="0.2">
      <c r="B377" s="12" t="str">
        <f>$B$16</f>
        <v>Fenoxycarb</v>
      </c>
      <c r="C377" s="40">
        <f>VLOOKUP(KAL_standaard_4_01[[#This Row],[Component]],Kalibratie4[],2,FALSE)</f>
        <v>122.44800000000001</v>
      </c>
      <c r="D377" s="46"/>
      <c r="E377" s="48"/>
      <c r="F377" s="48"/>
      <c r="G377" s="45"/>
      <c r="H377" s="40" t="str">
        <f t="shared" si="59"/>
        <v/>
      </c>
      <c r="I377" s="32" t="str">
        <f t="shared" si="60"/>
        <v/>
      </c>
    </row>
    <row r="378" spans="2:9" x14ac:dyDescent="0.2">
      <c r="B378" s="12" t="str">
        <f>$B$17</f>
        <v>Fipronil</v>
      </c>
      <c r="C378" s="40">
        <f>VLOOKUP(KAL_standaard_4_01[[#This Row],[Component]],Kalibratie4[],2,FALSE)</f>
        <v>120.15600000000001</v>
      </c>
      <c r="D378" s="46"/>
      <c r="E378" s="48"/>
      <c r="F378" s="48"/>
      <c r="G378" s="45"/>
      <c r="H378" s="40" t="str">
        <f t="shared" si="59"/>
        <v/>
      </c>
      <c r="I378" s="32" t="str">
        <f t="shared" si="60"/>
        <v/>
      </c>
    </row>
    <row r="379" spans="2:9" x14ac:dyDescent="0.2">
      <c r="B379" s="12" t="str">
        <f>$B$18</f>
        <v>Florasulam</v>
      </c>
      <c r="C379" s="40">
        <f>VLOOKUP(KAL_standaard_4_01[[#This Row],[Component]],Kalibratie4[],2,FALSE)</f>
        <v>120.61200000000002</v>
      </c>
      <c r="D379" s="46"/>
      <c r="E379" s="48"/>
      <c r="F379" s="48"/>
      <c r="G379" s="45"/>
      <c r="H379" s="40" t="str">
        <f t="shared" si="59"/>
        <v/>
      </c>
      <c r="I379" s="32" t="str">
        <f t="shared" si="60"/>
        <v/>
      </c>
    </row>
    <row r="380" spans="2:9" x14ac:dyDescent="0.2">
      <c r="B380" s="12" t="str">
        <f>$B$19</f>
        <v>Fluazifop-P-butyl</v>
      </c>
      <c r="C380" s="40">
        <f>VLOOKUP(KAL_standaard_4_01[[#This Row],[Component]],Kalibratie4[],2,FALSE)</f>
        <v>120.78</v>
      </c>
      <c r="D380" s="46"/>
      <c r="E380" s="48"/>
      <c r="F380" s="48"/>
      <c r="G380" s="45"/>
      <c r="H380" s="40" t="str">
        <f t="shared" si="59"/>
        <v/>
      </c>
      <c r="I380" s="32" t="str">
        <f t="shared" si="60"/>
        <v/>
      </c>
    </row>
    <row r="381" spans="2:9" x14ac:dyDescent="0.2">
      <c r="B381" s="12" t="str">
        <f>$B$20</f>
        <v>Fluazinam</v>
      </c>
      <c r="C381" s="40">
        <f>VLOOKUP(KAL_standaard_4_01[[#This Row],[Component]],Kalibratie4[],2,FALSE)</f>
        <v>121.15199999999999</v>
      </c>
      <c r="D381" s="46"/>
      <c r="E381" s="48"/>
      <c r="F381" s="48"/>
      <c r="G381" s="45"/>
      <c r="H381" s="40" t="str">
        <f t="shared" si="59"/>
        <v/>
      </c>
      <c r="I381" s="32" t="str">
        <f t="shared" si="60"/>
        <v/>
      </c>
    </row>
    <row r="382" spans="2:9" x14ac:dyDescent="0.2">
      <c r="B382" s="12" t="str">
        <f>$B$21</f>
        <v>Fludioxonil</v>
      </c>
      <c r="C382" s="40">
        <f>VLOOKUP(KAL_standaard_4_01[[#This Row],[Component]],Kalibratie4[],2,FALSE)</f>
        <v>120.30000000000001</v>
      </c>
      <c r="D382" s="46"/>
      <c r="E382" s="48"/>
      <c r="F382" s="48"/>
      <c r="G382" s="45"/>
      <c r="H382" s="40" t="str">
        <f t="shared" si="59"/>
        <v/>
      </c>
      <c r="I382" s="32" t="str">
        <f t="shared" si="60"/>
        <v/>
      </c>
    </row>
    <row r="383" spans="2:9" x14ac:dyDescent="0.2">
      <c r="B383" s="12" t="str">
        <f>$B$22</f>
        <v>Mesotrione</v>
      </c>
      <c r="C383" s="40">
        <f>VLOOKUP(KAL_standaard_4_01[[#This Row],[Component]],Kalibratie4[],2,FALSE)</f>
        <v>120.79200000000002</v>
      </c>
      <c r="D383" s="46"/>
      <c r="E383" s="48"/>
      <c r="F383" s="48"/>
      <c r="G383" s="45"/>
      <c r="H383" s="40" t="str">
        <f t="shared" si="59"/>
        <v/>
      </c>
      <c r="I383" s="32" t="str">
        <f t="shared" si="60"/>
        <v/>
      </c>
    </row>
    <row r="384" spans="2:9" x14ac:dyDescent="0.2">
      <c r="B384" s="12" t="str">
        <f>$B$23</f>
        <v>Methoxyfenozide</v>
      </c>
      <c r="C384" s="40">
        <f>VLOOKUP(KAL_standaard_4_01[[#This Row],[Component]],Kalibratie4[],2,FALSE)</f>
        <v>120.70800000000001</v>
      </c>
      <c r="D384" s="46"/>
      <c r="E384" s="48"/>
      <c r="F384" s="48"/>
      <c r="G384" s="45"/>
      <c r="H384" s="40" t="str">
        <f t="shared" si="59"/>
        <v/>
      </c>
      <c r="I384" s="32" t="str">
        <f t="shared" si="60"/>
        <v/>
      </c>
    </row>
    <row r="385" spans="2:9" x14ac:dyDescent="0.2">
      <c r="B385" s="12" t="str">
        <f>$B$24</f>
        <v>Oxamyl</v>
      </c>
      <c r="C385" s="40">
        <f>VLOOKUP(KAL_standaard_4_01[[#This Row],[Component]],Kalibratie4[],2,FALSE)</f>
        <v>121.24799999999999</v>
      </c>
      <c r="D385" s="46"/>
      <c r="E385" s="48"/>
      <c r="F385" s="48"/>
      <c r="G385" s="45"/>
      <c r="H385" s="40" t="str">
        <f t="shared" si="59"/>
        <v/>
      </c>
      <c r="I385" s="32" t="str">
        <f t="shared" si="60"/>
        <v/>
      </c>
    </row>
    <row r="386" spans="2:9" x14ac:dyDescent="0.2">
      <c r="B386" s="13" t="str">
        <f>$B$25</f>
        <v>Triallaat</v>
      </c>
      <c r="C386" s="41">
        <f>VLOOKUP(KAL_standaard_4_01[[#This Row],[Component]],Kalibratie4[],2,FALSE)</f>
        <v>119.78400000000003</v>
      </c>
      <c r="D386" s="46"/>
      <c r="E386" s="48"/>
      <c r="F386" s="48"/>
      <c r="G386" s="45"/>
      <c r="H386" s="41" t="str">
        <f t="shared" si="59"/>
        <v/>
      </c>
      <c r="I386" s="32" t="str">
        <f t="shared" si="60"/>
        <v/>
      </c>
    </row>
    <row r="388" spans="2:9" ht="20.25" x14ac:dyDescent="0.3">
      <c r="B388" s="8" t="s">
        <v>77</v>
      </c>
    </row>
    <row r="389" spans="2:9" ht="39" thickBot="1" x14ac:dyDescent="0.25">
      <c r="B389" s="15" t="s">
        <v>2</v>
      </c>
      <c r="C389" s="16" t="s">
        <v>3</v>
      </c>
      <c r="D389" s="16" t="s">
        <v>4</v>
      </c>
      <c r="E389" s="16" t="s">
        <v>161</v>
      </c>
      <c r="F389" s="16" t="s">
        <v>162</v>
      </c>
      <c r="G389" s="16" t="s">
        <v>5</v>
      </c>
      <c r="H389" s="43" t="s">
        <v>6</v>
      </c>
      <c r="I389" s="17" t="s">
        <v>7</v>
      </c>
    </row>
    <row r="390" spans="2:9" ht="13.5" thickTop="1" x14ac:dyDescent="0.2">
      <c r="B390" s="14" t="str">
        <f>$B$10</f>
        <v>Amisulbrom</v>
      </c>
      <c r="C390" s="27" t="s">
        <v>9</v>
      </c>
      <c r="D390" s="45"/>
      <c r="E390" s="47"/>
      <c r="F390" s="47"/>
      <c r="G390" s="45"/>
      <c r="H390" s="22" t="s">
        <v>10</v>
      </c>
      <c r="I390" s="32" t="str">
        <f t="shared" ref="I390:I405" si="61">IFERROR(MIN(E390,F390)/MAX(E390,F390)*100,"")</f>
        <v/>
      </c>
    </row>
    <row r="391" spans="2:9" x14ac:dyDescent="0.2">
      <c r="B391" s="12" t="str">
        <f>$B$11</f>
        <v>Clothianidine</v>
      </c>
      <c r="C391" s="28" t="s">
        <v>9</v>
      </c>
      <c r="D391" s="46"/>
      <c r="E391" s="48"/>
      <c r="F391" s="48"/>
      <c r="G391" s="45"/>
      <c r="H391" s="40" t="s">
        <v>10</v>
      </c>
      <c r="I391" s="32" t="str">
        <f t="shared" si="61"/>
        <v/>
      </c>
    </row>
    <row r="392" spans="2:9" x14ac:dyDescent="0.2">
      <c r="B392" s="12" t="str">
        <f>$B$12</f>
        <v>Cyazofamide</v>
      </c>
      <c r="C392" s="28" t="s">
        <v>9</v>
      </c>
      <c r="D392" s="46"/>
      <c r="E392" s="48"/>
      <c r="F392" s="48"/>
      <c r="G392" s="45"/>
      <c r="H392" s="40" t="s">
        <v>10</v>
      </c>
      <c r="I392" s="32" t="str">
        <f t="shared" si="61"/>
        <v/>
      </c>
    </row>
    <row r="393" spans="2:9" x14ac:dyDescent="0.2">
      <c r="B393" s="12" t="str">
        <f>$B$13</f>
        <v>Cymoxanil</v>
      </c>
      <c r="C393" s="28" t="s">
        <v>9</v>
      </c>
      <c r="D393" s="46"/>
      <c r="E393" s="48"/>
      <c r="F393" s="48"/>
      <c r="G393" s="45"/>
      <c r="H393" s="40" t="s">
        <v>10</v>
      </c>
      <c r="I393" s="32" t="str">
        <f t="shared" si="61"/>
        <v/>
      </c>
    </row>
    <row r="394" spans="2:9" x14ac:dyDescent="0.2">
      <c r="B394" s="12" t="str">
        <f>$B$14</f>
        <v>Desmedifam</v>
      </c>
      <c r="C394" s="28" t="s">
        <v>9</v>
      </c>
      <c r="D394" s="46"/>
      <c r="E394" s="48"/>
      <c r="F394" s="48"/>
      <c r="G394" s="45"/>
      <c r="H394" s="40" t="s">
        <v>10</v>
      </c>
      <c r="I394" s="32" t="str">
        <f t="shared" si="61"/>
        <v/>
      </c>
    </row>
    <row r="395" spans="2:9" x14ac:dyDescent="0.2">
      <c r="B395" s="12" t="str">
        <f>$B$15</f>
        <v>Fenmedifam</v>
      </c>
      <c r="C395" s="28" t="s">
        <v>9</v>
      </c>
      <c r="D395" s="46"/>
      <c r="E395" s="48"/>
      <c r="F395" s="48"/>
      <c r="G395" s="45"/>
      <c r="H395" s="40" t="s">
        <v>10</v>
      </c>
      <c r="I395" s="32" t="str">
        <f t="shared" si="61"/>
        <v/>
      </c>
    </row>
    <row r="396" spans="2:9" x14ac:dyDescent="0.2">
      <c r="B396" s="12" t="str">
        <f>$B$16</f>
        <v>Fenoxycarb</v>
      </c>
      <c r="C396" s="28" t="s">
        <v>9</v>
      </c>
      <c r="D396" s="46"/>
      <c r="E396" s="48"/>
      <c r="F396" s="48"/>
      <c r="G396" s="45"/>
      <c r="H396" s="40" t="s">
        <v>10</v>
      </c>
      <c r="I396" s="32" t="str">
        <f t="shared" si="61"/>
        <v/>
      </c>
    </row>
    <row r="397" spans="2:9" x14ac:dyDescent="0.2">
      <c r="B397" s="12" t="str">
        <f>$B$17</f>
        <v>Fipronil</v>
      </c>
      <c r="C397" s="28" t="s">
        <v>9</v>
      </c>
      <c r="D397" s="46"/>
      <c r="E397" s="48"/>
      <c r="F397" s="48"/>
      <c r="G397" s="45"/>
      <c r="H397" s="40" t="s">
        <v>10</v>
      </c>
      <c r="I397" s="32" t="str">
        <f t="shared" si="61"/>
        <v/>
      </c>
    </row>
    <row r="398" spans="2:9" x14ac:dyDescent="0.2">
      <c r="B398" s="12" t="str">
        <f>$B$18</f>
        <v>Florasulam</v>
      </c>
      <c r="C398" s="28" t="s">
        <v>9</v>
      </c>
      <c r="D398" s="46"/>
      <c r="E398" s="48"/>
      <c r="F398" s="48"/>
      <c r="G398" s="45"/>
      <c r="H398" s="40" t="s">
        <v>10</v>
      </c>
      <c r="I398" s="32" t="str">
        <f t="shared" si="61"/>
        <v/>
      </c>
    </row>
    <row r="399" spans="2:9" x14ac:dyDescent="0.2">
      <c r="B399" s="12" t="str">
        <f>$B$19</f>
        <v>Fluazifop-P-butyl</v>
      </c>
      <c r="C399" s="28" t="s">
        <v>9</v>
      </c>
      <c r="D399" s="46"/>
      <c r="E399" s="48"/>
      <c r="F399" s="48"/>
      <c r="G399" s="45"/>
      <c r="H399" s="40" t="s">
        <v>10</v>
      </c>
      <c r="I399" s="32" t="str">
        <f t="shared" si="61"/>
        <v/>
      </c>
    </row>
    <row r="400" spans="2:9" x14ac:dyDescent="0.2">
      <c r="B400" s="12" t="str">
        <f>$B$20</f>
        <v>Fluazinam</v>
      </c>
      <c r="C400" s="28" t="s">
        <v>9</v>
      </c>
      <c r="D400" s="46"/>
      <c r="E400" s="48"/>
      <c r="F400" s="48"/>
      <c r="G400" s="45"/>
      <c r="H400" s="40" t="s">
        <v>10</v>
      </c>
      <c r="I400" s="32" t="str">
        <f t="shared" si="61"/>
        <v/>
      </c>
    </row>
    <row r="401" spans="2:10" x14ac:dyDescent="0.2">
      <c r="B401" s="12" t="str">
        <f>$B$21</f>
        <v>Fludioxonil</v>
      </c>
      <c r="C401" s="28" t="s">
        <v>9</v>
      </c>
      <c r="D401" s="46"/>
      <c r="E401" s="48"/>
      <c r="F401" s="48"/>
      <c r="G401" s="45"/>
      <c r="H401" s="40" t="s">
        <v>10</v>
      </c>
      <c r="I401" s="32" t="str">
        <f t="shared" si="61"/>
        <v/>
      </c>
    </row>
    <row r="402" spans="2:10" x14ac:dyDescent="0.2">
      <c r="B402" s="12" t="str">
        <f>$B$22</f>
        <v>Mesotrione</v>
      </c>
      <c r="C402" s="28" t="s">
        <v>9</v>
      </c>
      <c r="D402" s="46"/>
      <c r="E402" s="48"/>
      <c r="F402" s="48"/>
      <c r="G402" s="45"/>
      <c r="H402" s="40" t="s">
        <v>10</v>
      </c>
      <c r="I402" s="32" t="str">
        <f t="shared" si="61"/>
        <v/>
      </c>
    </row>
    <row r="403" spans="2:10" x14ac:dyDescent="0.2">
      <c r="B403" s="12" t="str">
        <f>$B$23</f>
        <v>Methoxyfenozide</v>
      </c>
      <c r="C403" s="28" t="s">
        <v>9</v>
      </c>
      <c r="D403" s="46"/>
      <c r="E403" s="48"/>
      <c r="F403" s="48"/>
      <c r="G403" s="45"/>
      <c r="H403" s="40" t="s">
        <v>10</v>
      </c>
      <c r="I403" s="32" t="str">
        <f t="shared" si="61"/>
        <v/>
      </c>
    </row>
    <row r="404" spans="2:10" x14ac:dyDescent="0.2">
      <c r="B404" s="12" t="str">
        <f>$B$24</f>
        <v>Oxamyl</v>
      </c>
      <c r="C404" s="28" t="s">
        <v>9</v>
      </c>
      <c r="D404" s="46"/>
      <c r="E404" s="48"/>
      <c r="F404" s="48"/>
      <c r="G404" s="45"/>
      <c r="H404" s="40" t="s">
        <v>10</v>
      </c>
      <c r="I404" s="32" t="str">
        <f t="shared" si="61"/>
        <v/>
      </c>
    </row>
    <row r="405" spans="2:10" x14ac:dyDescent="0.2">
      <c r="B405" s="13" t="str">
        <f>$B$25</f>
        <v>Triallaat</v>
      </c>
      <c r="C405" s="33" t="s">
        <v>9</v>
      </c>
      <c r="D405" s="46"/>
      <c r="E405" s="48"/>
      <c r="F405" s="48"/>
      <c r="G405" s="45"/>
      <c r="H405" s="41" t="s">
        <v>10</v>
      </c>
      <c r="I405" s="32" t="str">
        <f t="shared" si="61"/>
        <v/>
      </c>
    </row>
    <row r="406" spans="2:10" x14ac:dyDescent="0.2">
      <c r="B406" s="10"/>
      <c r="C406" s="11"/>
      <c r="J406" s="74"/>
    </row>
    <row r="407" spans="2:10" ht="20.25" x14ac:dyDescent="0.3">
      <c r="B407" s="8" t="s">
        <v>76</v>
      </c>
    </row>
    <row r="408" spans="2:10" ht="39" thickBot="1" x14ac:dyDescent="0.25">
      <c r="B408" s="15" t="s">
        <v>2</v>
      </c>
      <c r="C408" s="16" t="s">
        <v>3</v>
      </c>
      <c r="D408" s="16" t="s">
        <v>4</v>
      </c>
      <c r="E408" s="16" t="s">
        <v>161</v>
      </c>
      <c r="F408" s="16" t="s">
        <v>162</v>
      </c>
      <c r="G408" s="16" t="s">
        <v>5</v>
      </c>
      <c r="H408" s="43" t="s">
        <v>6</v>
      </c>
      <c r="I408" s="17" t="s">
        <v>7</v>
      </c>
    </row>
    <row r="409" spans="2:10" ht="13.5" thickTop="1" x14ac:dyDescent="0.2">
      <c r="B409" s="14" t="str">
        <f>$B$10</f>
        <v>Amisulbrom</v>
      </c>
      <c r="C409" s="27" t="s">
        <v>9</v>
      </c>
      <c r="D409" s="45"/>
      <c r="E409" s="47"/>
      <c r="F409" s="47"/>
      <c r="G409" s="45"/>
      <c r="H409" s="22" t="s">
        <v>10</v>
      </c>
      <c r="I409" s="32" t="str">
        <f t="shared" ref="I409:I424" si="62">IFERROR(MIN(E409,F409)/MAX(E409,F409)*100,"")</f>
        <v/>
      </c>
    </row>
    <row r="410" spans="2:10" x14ac:dyDescent="0.2">
      <c r="B410" s="12" t="str">
        <f>$B$11</f>
        <v>Clothianidine</v>
      </c>
      <c r="C410" s="28" t="s">
        <v>9</v>
      </c>
      <c r="D410" s="46"/>
      <c r="E410" s="48"/>
      <c r="F410" s="48"/>
      <c r="G410" s="45"/>
      <c r="H410" s="40" t="s">
        <v>10</v>
      </c>
      <c r="I410" s="32" t="str">
        <f t="shared" si="62"/>
        <v/>
      </c>
    </row>
    <row r="411" spans="2:10" x14ac:dyDescent="0.2">
      <c r="B411" s="12" t="str">
        <f>$B$12</f>
        <v>Cyazofamide</v>
      </c>
      <c r="C411" s="28" t="s">
        <v>9</v>
      </c>
      <c r="D411" s="46"/>
      <c r="E411" s="48"/>
      <c r="F411" s="48"/>
      <c r="G411" s="45"/>
      <c r="H411" s="40" t="s">
        <v>10</v>
      </c>
      <c r="I411" s="32" t="str">
        <f t="shared" si="62"/>
        <v/>
      </c>
    </row>
    <row r="412" spans="2:10" x14ac:dyDescent="0.2">
      <c r="B412" s="12" t="str">
        <f>$B$13</f>
        <v>Cymoxanil</v>
      </c>
      <c r="C412" s="28" t="s">
        <v>9</v>
      </c>
      <c r="D412" s="46"/>
      <c r="E412" s="48"/>
      <c r="F412" s="48"/>
      <c r="G412" s="45"/>
      <c r="H412" s="40" t="s">
        <v>10</v>
      </c>
      <c r="I412" s="32" t="str">
        <f t="shared" si="62"/>
        <v/>
      </c>
    </row>
    <row r="413" spans="2:10" x14ac:dyDescent="0.2">
      <c r="B413" s="12" t="str">
        <f>$B$14</f>
        <v>Desmedifam</v>
      </c>
      <c r="C413" s="28" t="s">
        <v>9</v>
      </c>
      <c r="D413" s="46"/>
      <c r="E413" s="48"/>
      <c r="F413" s="48"/>
      <c r="G413" s="45"/>
      <c r="H413" s="40" t="s">
        <v>10</v>
      </c>
      <c r="I413" s="32" t="str">
        <f t="shared" si="62"/>
        <v/>
      </c>
    </row>
    <row r="414" spans="2:10" x14ac:dyDescent="0.2">
      <c r="B414" s="12" t="str">
        <f>$B$15</f>
        <v>Fenmedifam</v>
      </c>
      <c r="C414" s="28" t="s">
        <v>9</v>
      </c>
      <c r="D414" s="46"/>
      <c r="E414" s="48"/>
      <c r="F414" s="48"/>
      <c r="G414" s="45"/>
      <c r="H414" s="40" t="s">
        <v>10</v>
      </c>
      <c r="I414" s="32" t="str">
        <f t="shared" si="62"/>
        <v/>
      </c>
    </row>
    <row r="415" spans="2:10" x14ac:dyDescent="0.2">
      <c r="B415" s="12" t="str">
        <f>$B$16</f>
        <v>Fenoxycarb</v>
      </c>
      <c r="C415" s="28" t="s">
        <v>9</v>
      </c>
      <c r="D415" s="46"/>
      <c r="E415" s="48"/>
      <c r="F415" s="48"/>
      <c r="G415" s="45"/>
      <c r="H415" s="40" t="s">
        <v>10</v>
      </c>
      <c r="I415" s="32" t="str">
        <f t="shared" si="62"/>
        <v/>
      </c>
    </row>
    <row r="416" spans="2:10" x14ac:dyDescent="0.2">
      <c r="B416" s="12" t="str">
        <f>$B$17</f>
        <v>Fipronil</v>
      </c>
      <c r="C416" s="28" t="s">
        <v>9</v>
      </c>
      <c r="D416" s="46"/>
      <c r="E416" s="48"/>
      <c r="F416" s="48"/>
      <c r="G416" s="45"/>
      <c r="H416" s="40" t="s">
        <v>10</v>
      </c>
      <c r="I416" s="32" t="str">
        <f t="shared" si="62"/>
        <v/>
      </c>
    </row>
    <row r="417" spans="2:9" x14ac:dyDescent="0.2">
      <c r="B417" s="12" t="str">
        <f>$B$18</f>
        <v>Florasulam</v>
      </c>
      <c r="C417" s="28" t="s">
        <v>9</v>
      </c>
      <c r="D417" s="46"/>
      <c r="E417" s="48"/>
      <c r="F417" s="48"/>
      <c r="G417" s="45"/>
      <c r="H417" s="40" t="s">
        <v>10</v>
      </c>
      <c r="I417" s="32" t="str">
        <f t="shared" si="62"/>
        <v/>
      </c>
    </row>
    <row r="418" spans="2:9" x14ac:dyDescent="0.2">
      <c r="B418" s="12" t="str">
        <f>$B$19</f>
        <v>Fluazifop-P-butyl</v>
      </c>
      <c r="C418" s="28" t="s">
        <v>9</v>
      </c>
      <c r="D418" s="46"/>
      <c r="E418" s="48"/>
      <c r="F418" s="48"/>
      <c r="G418" s="45"/>
      <c r="H418" s="40" t="s">
        <v>10</v>
      </c>
      <c r="I418" s="32" t="str">
        <f t="shared" si="62"/>
        <v/>
      </c>
    </row>
    <row r="419" spans="2:9" x14ac:dyDescent="0.2">
      <c r="B419" s="12" t="str">
        <f>$B$20</f>
        <v>Fluazinam</v>
      </c>
      <c r="C419" s="28" t="s">
        <v>9</v>
      </c>
      <c r="D419" s="46"/>
      <c r="E419" s="48"/>
      <c r="F419" s="48"/>
      <c r="G419" s="45"/>
      <c r="H419" s="40" t="s">
        <v>10</v>
      </c>
      <c r="I419" s="32" t="str">
        <f t="shared" si="62"/>
        <v/>
      </c>
    </row>
    <row r="420" spans="2:9" x14ac:dyDescent="0.2">
      <c r="B420" s="12" t="str">
        <f>$B$21</f>
        <v>Fludioxonil</v>
      </c>
      <c r="C420" s="28" t="s">
        <v>9</v>
      </c>
      <c r="D420" s="46"/>
      <c r="E420" s="48"/>
      <c r="F420" s="48"/>
      <c r="G420" s="45"/>
      <c r="H420" s="40" t="s">
        <v>10</v>
      </c>
      <c r="I420" s="32" t="str">
        <f t="shared" si="62"/>
        <v/>
      </c>
    </row>
    <row r="421" spans="2:9" x14ac:dyDescent="0.2">
      <c r="B421" s="12" t="str">
        <f>$B$22</f>
        <v>Mesotrione</v>
      </c>
      <c r="C421" s="28" t="s">
        <v>9</v>
      </c>
      <c r="D421" s="46"/>
      <c r="E421" s="48"/>
      <c r="F421" s="48"/>
      <c r="G421" s="45"/>
      <c r="H421" s="40" t="s">
        <v>10</v>
      </c>
      <c r="I421" s="32" t="str">
        <f t="shared" si="62"/>
        <v/>
      </c>
    </row>
    <row r="422" spans="2:9" x14ac:dyDescent="0.2">
      <c r="B422" s="12" t="str">
        <f>$B$23</f>
        <v>Methoxyfenozide</v>
      </c>
      <c r="C422" s="28" t="s">
        <v>9</v>
      </c>
      <c r="D422" s="46"/>
      <c r="E422" s="48"/>
      <c r="F422" s="48"/>
      <c r="G422" s="45"/>
      <c r="H422" s="40" t="s">
        <v>10</v>
      </c>
      <c r="I422" s="32" t="str">
        <f t="shared" si="62"/>
        <v/>
      </c>
    </row>
    <row r="423" spans="2:9" x14ac:dyDescent="0.2">
      <c r="B423" s="12" t="str">
        <f>$B$24</f>
        <v>Oxamyl</v>
      </c>
      <c r="C423" s="28" t="s">
        <v>9</v>
      </c>
      <c r="D423" s="46"/>
      <c r="E423" s="48"/>
      <c r="F423" s="48"/>
      <c r="G423" s="45"/>
      <c r="H423" s="40" t="s">
        <v>10</v>
      </c>
      <c r="I423" s="32" t="str">
        <f t="shared" si="62"/>
        <v/>
      </c>
    </row>
    <row r="424" spans="2:9" x14ac:dyDescent="0.2">
      <c r="B424" s="13" t="str">
        <f>$B$25</f>
        <v>Triallaat</v>
      </c>
      <c r="C424" s="33" t="s">
        <v>9</v>
      </c>
      <c r="D424" s="46"/>
      <c r="E424" s="48"/>
      <c r="F424" s="48"/>
      <c r="G424" s="45"/>
      <c r="H424" s="41" t="s">
        <v>10</v>
      </c>
      <c r="I424" s="32" t="str">
        <f t="shared" si="62"/>
        <v/>
      </c>
    </row>
    <row r="426" spans="2:9" ht="20.25" x14ac:dyDescent="0.3">
      <c r="B426" s="8" t="s">
        <v>42</v>
      </c>
    </row>
    <row r="427" spans="2:9" ht="39" thickBot="1" x14ac:dyDescent="0.25">
      <c r="B427" s="15" t="s">
        <v>2</v>
      </c>
      <c r="C427" s="16" t="s">
        <v>3</v>
      </c>
      <c r="D427" s="16" t="s">
        <v>4</v>
      </c>
      <c r="E427" s="16" t="s">
        <v>161</v>
      </c>
      <c r="F427" s="16" t="s">
        <v>162</v>
      </c>
      <c r="G427" s="16" t="s">
        <v>5</v>
      </c>
      <c r="H427" s="43" t="s">
        <v>6</v>
      </c>
      <c r="I427" s="17" t="s">
        <v>7</v>
      </c>
    </row>
    <row r="428" spans="2:9" ht="13.5" thickTop="1" x14ac:dyDescent="0.2">
      <c r="B428" s="14" t="str">
        <f>$B$10</f>
        <v>Amisulbrom</v>
      </c>
      <c r="C428" s="22">
        <v>144.6336</v>
      </c>
      <c r="D428" s="45"/>
      <c r="E428" s="47"/>
      <c r="F428" s="47"/>
      <c r="G428" s="45"/>
      <c r="H428" s="22" t="str">
        <f>IF(G428="","",100*G428/C428)</f>
        <v/>
      </c>
      <c r="I428" s="32" t="str">
        <f t="shared" ref="I428:I443" si="63">IFERROR(MIN(E428,F428)/MAX(E428,F428)*100,"")</f>
        <v/>
      </c>
    </row>
    <row r="429" spans="2:9" x14ac:dyDescent="0.2">
      <c r="B429" s="12" t="str">
        <f>$B$11</f>
        <v>Clothianidine</v>
      </c>
      <c r="C429" s="40">
        <v>143.16479999999999</v>
      </c>
      <c r="D429" s="46"/>
      <c r="E429" s="48"/>
      <c r="F429" s="48"/>
      <c r="G429" s="45"/>
      <c r="H429" s="40" t="str">
        <f>IF(G429="","",100*G429/C429)</f>
        <v/>
      </c>
      <c r="I429" s="32" t="str">
        <f t="shared" si="63"/>
        <v/>
      </c>
    </row>
    <row r="430" spans="2:9" x14ac:dyDescent="0.2">
      <c r="B430" s="12" t="str">
        <f>$B$12</f>
        <v>Cyazofamide</v>
      </c>
      <c r="C430" s="40">
        <v>144.05760000000001</v>
      </c>
      <c r="D430" s="46"/>
      <c r="E430" s="48"/>
      <c r="F430" s="48"/>
      <c r="G430" s="45"/>
      <c r="H430" s="40" t="str">
        <f>IF(G430="","",100*G430/C430)</f>
        <v/>
      </c>
      <c r="I430" s="32" t="str">
        <f t="shared" si="63"/>
        <v/>
      </c>
    </row>
    <row r="431" spans="2:9" x14ac:dyDescent="0.2">
      <c r="B431" s="12" t="str">
        <f>$B$13</f>
        <v>Cymoxanil</v>
      </c>
      <c r="C431" s="40">
        <v>143.69760000000002</v>
      </c>
      <c r="D431" s="46"/>
      <c r="E431" s="48"/>
      <c r="F431" s="48"/>
      <c r="G431" s="45"/>
      <c r="H431" s="40" t="str">
        <f t="shared" ref="H431:H443" si="64">IF(G431="","",100*G431/C431)</f>
        <v/>
      </c>
      <c r="I431" s="32" t="str">
        <f t="shared" si="63"/>
        <v/>
      </c>
    </row>
    <row r="432" spans="2:9" x14ac:dyDescent="0.2">
      <c r="B432" s="12" t="str">
        <f>$B$14</f>
        <v>Desmedifam</v>
      </c>
      <c r="C432" s="40">
        <v>144.37440000000004</v>
      </c>
      <c r="D432" s="46"/>
      <c r="E432" s="48"/>
      <c r="F432" s="48"/>
      <c r="G432" s="45"/>
      <c r="H432" s="40" t="str">
        <f t="shared" si="64"/>
        <v/>
      </c>
      <c r="I432" s="32" t="str">
        <f t="shared" si="63"/>
        <v/>
      </c>
    </row>
    <row r="433" spans="2:9" x14ac:dyDescent="0.2">
      <c r="B433" s="12" t="str">
        <f>$B$15</f>
        <v>Fenmedifam</v>
      </c>
      <c r="C433" s="40">
        <v>143.88479999999998</v>
      </c>
      <c r="D433" s="46"/>
      <c r="E433" s="48"/>
      <c r="F433" s="48"/>
      <c r="G433" s="45"/>
      <c r="H433" s="40" t="str">
        <f t="shared" si="64"/>
        <v/>
      </c>
      <c r="I433" s="32" t="str">
        <f t="shared" si="63"/>
        <v/>
      </c>
    </row>
    <row r="434" spans="2:9" x14ac:dyDescent="0.2">
      <c r="B434" s="12" t="str">
        <f>$B$16</f>
        <v>Fenoxycarb</v>
      </c>
      <c r="C434" s="40">
        <v>146.9376</v>
      </c>
      <c r="D434" s="46"/>
      <c r="E434" s="48"/>
      <c r="F434" s="48"/>
      <c r="G434" s="45"/>
      <c r="H434" s="40" t="str">
        <f t="shared" si="64"/>
        <v/>
      </c>
      <c r="I434" s="32" t="str">
        <f t="shared" si="63"/>
        <v/>
      </c>
    </row>
    <row r="435" spans="2:9" x14ac:dyDescent="0.2">
      <c r="B435" s="12" t="str">
        <f>$B$17</f>
        <v>Fipronil</v>
      </c>
      <c r="C435" s="40">
        <v>144.18719999999999</v>
      </c>
      <c r="D435" s="46"/>
      <c r="E435" s="48"/>
      <c r="F435" s="48"/>
      <c r="G435" s="45"/>
      <c r="H435" s="40" t="str">
        <f t="shared" si="64"/>
        <v/>
      </c>
      <c r="I435" s="32" t="str">
        <f t="shared" si="63"/>
        <v/>
      </c>
    </row>
    <row r="436" spans="2:9" x14ac:dyDescent="0.2">
      <c r="B436" s="12" t="str">
        <f>$B$18</f>
        <v>Florasulam</v>
      </c>
      <c r="C436" s="40">
        <v>144.73440000000005</v>
      </c>
      <c r="D436" s="46"/>
      <c r="E436" s="48"/>
      <c r="F436" s="48"/>
      <c r="G436" s="45"/>
      <c r="H436" s="40" t="str">
        <f t="shared" si="64"/>
        <v/>
      </c>
      <c r="I436" s="32" t="str">
        <f t="shared" si="63"/>
        <v/>
      </c>
    </row>
    <row r="437" spans="2:9" x14ac:dyDescent="0.2">
      <c r="B437" s="12" t="str">
        <f>$B$19</f>
        <v>Fluazifop-P-butyl</v>
      </c>
      <c r="C437" s="40">
        <v>144.93599999999998</v>
      </c>
      <c r="D437" s="46"/>
      <c r="E437" s="48"/>
      <c r="F437" s="48"/>
      <c r="G437" s="45"/>
      <c r="H437" s="40" t="str">
        <f t="shared" si="64"/>
        <v/>
      </c>
      <c r="I437" s="32" t="str">
        <f t="shared" si="63"/>
        <v/>
      </c>
    </row>
    <row r="438" spans="2:9" x14ac:dyDescent="0.2">
      <c r="B438" s="12" t="str">
        <f>$B$20</f>
        <v>Fluazinam</v>
      </c>
      <c r="C438" s="40">
        <v>145.38239999999999</v>
      </c>
      <c r="D438" s="46"/>
      <c r="E438" s="48"/>
      <c r="F438" s="48"/>
      <c r="G438" s="45"/>
      <c r="H438" s="40" t="str">
        <f t="shared" si="64"/>
        <v/>
      </c>
      <c r="I438" s="32" t="str">
        <f t="shared" si="63"/>
        <v/>
      </c>
    </row>
    <row r="439" spans="2:9" x14ac:dyDescent="0.2">
      <c r="B439" s="12" t="str">
        <f>$B$21</f>
        <v>Fludioxonil</v>
      </c>
      <c r="C439" s="40">
        <v>144.36000000000001</v>
      </c>
      <c r="D439" s="46"/>
      <c r="E439" s="48"/>
      <c r="F439" s="48"/>
      <c r="G439" s="45"/>
      <c r="H439" s="40" t="str">
        <f t="shared" si="64"/>
        <v/>
      </c>
      <c r="I439" s="32" t="str">
        <f t="shared" si="63"/>
        <v/>
      </c>
    </row>
    <row r="440" spans="2:9" x14ac:dyDescent="0.2">
      <c r="B440" s="12" t="str">
        <f>$B$22</f>
        <v>Mesotrione</v>
      </c>
      <c r="C440" s="40">
        <v>144.9504</v>
      </c>
      <c r="D440" s="46"/>
      <c r="E440" s="48"/>
      <c r="F440" s="48"/>
      <c r="G440" s="45"/>
      <c r="H440" s="40" t="str">
        <f t="shared" si="64"/>
        <v/>
      </c>
      <c r="I440" s="32" t="str">
        <f t="shared" si="63"/>
        <v/>
      </c>
    </row>
    <row r="441" spans="2:9" x14ac:dyDescent="0.2">
      <c r="B441" s="12" t="str">
        <f>$B$23</f>
        <v>Methoxyfenozide</v>
      </c>
      <c r="C441" s="40">
        <v>144.84960000000001</v>
      </c>
      <c r="D441" s="46"/>
      <c r="E441" s="48"/>
      <c r="F441" s="48"/>
      <c r="G441" s="45"/>
      <c r="H441" s="40" t="str">
        <f t="shared" si="64"/>
        <v/>
      </c>
      <c r="I441" s="32" t="str">
        <f t="shared" si="63"/>
        <v/>
      </c>
    </row>
    <row r="442" spans="2:9" x14ac:dyDescent="0.2">
      <c r="B442" s="12" t="str">
        <f>$B$24</f>
        <v>Oxamyl</v>
      </c>
      <c r="C442" s="40">
        <v>145.49759999999998</v>
      </c>
      <c r="D442" s="46"/>
      <c r="E442" s="48"/>
      <c r="F442" s="48"/>
      <c r="G442" s="45"/>
      <c r="H442" s="40" t="str">
        <f t="shared" si="64"/>
        <v/>
      </c>
      <c r="I442" s="32" t="str">
        <f t="shared" si="63"/>
        <v/>
      </c>
    </row>
    <row r="443" spans="2:9" x14ac:dyDescent="0.2">
      <c r="B443" s="13" t="str">
        <f>$B$25</f>
        <v>Triallaat</v>
      </c>
      <c r="C443" s="41">
        <v>143.74080000000001</v>
      </c>
      <c r="D443" s="46"/>
      <c r="E443" s="48"/>
      <c r="F443" s="48"/>
      <c r="G443" s="45"/>
      <c r="H443" s="41" t="str">
        <f t="shared" si="64"/>
        <v/>
      </c>
      <c r="I443" s="32" t="str">
        <f t="shared" si="63"/>
        <v/>
      </c>
    </row>
    <row r="445" spans="2:9" ht="20.25" x14ac:dyDescent="0.3">
      <c r="B445" s="8" t="s">
        <v>43</v>
      </c>
    </row>
    <row r="446" spans="2:9" ht="39" thickBot="1" x14ac:dyDescent="0.25">
      <c r="B446" s="15" t="s">
        <v>2</v>
      </c>
      <c r="C446" s="16" t="s">
        <v>3</v>
      </c>
      <c r="D446" s="16" t="s">
        <v>4</v>
      </c>
      <c r="E446" s="16" t="s">
        <v>161</v>
      </c>
      <c r="F446" s="16" t="s">
        <v>162</v>
      </c>
      <c r="G446" s="16" t="s">
        <v>5</v>
      </c>
      <c r="H446" s="43" t="s">
        <v>6</v>
      </c>
      <c r="I446" s="17" t="s">
        <v>7</v>
      </c>
    </row>
    <row r="447" spans="2:9" ht="13.5" thickTop="1" x14ac:dyDescent="0.2">
      <c r="B447" s="14" t="str">
        <f>$B$10</f>
        <v>Amisulbrom</v>
      </c>
      <c r="C447" s="22">
        <f>VLOOKUP(OW_B_additie_hoog02[[#This Row],[Component]],OW_B_additie_hoog01[],2,FALSE)</f>
        <v>144.6336</v>
      </c>
      <c r="D447" s="45"/>
      <c r="E447" s="47"/>
      <c r="F447" s="47"/>
      <c r="G447" s="45"/>
      <c r="H447" s="22" t="str">
        <f t="shared" ref="H447:H462" si="65">IF(G447="","",100*G447/C447)</f>
        <v/>
      </c>
      <c r="I447" s="32" t="str">
        <f t="shared" ref="I447:I462" si="66">IFERROR(MIN(E447,F447)/MAX(E447,F447)*100,"")</f>
        <v/>
      </c>
    </row>
    <row r="448" spans="2:9" x14ac:dyDescent="0.2">
      <c r="B448" s="12" t="str">
        <f>$B$11</f>
        <v>Clothianidine</v>
      </c>
      <c r="C448" s="40">
        <f>VLOOKUP(OW_B_additie_hoog02[[#This Row],[Component]],OW_B_additie_hoog01[],2,FALSE)</f>
        <v>143.16479999999999</v>
      </c>
      <c r="D448" s="46"/>
      <c r="E448" s="48"/>
      <c r="F448" s="48"/>
      <c r="G448" s="45"/>
      <c r="H448" s="40" t="str">
        <f t="shared" si="65"/>
        <v/>
      </c>
      <c r="I448" s="32" t="str">
        <f t="shared" si="66"/>
        <v/>
      </c>
    </row>
    <row r="449" spans="2:9" x14ac:dyDescent="0.2">
      <c r="B449" s="12" t="str">
        <f>$B$12</f>
        <v>Cyazofamide</v>
      </c>
      <c r="C449" s="40">
        <f>VLOOKUP(OW_B_additie_hoog02[[#This Row],[Component]],OW_B_additie_hoog01[],2,FALSE)</f>
        <v>144.05760000000001</v>
      </c>
      <c r="D449" s="46"/>
      <c r="E449" s="48"/>
      <c r="F449" s="48"/>
      <c r="G449" s="45"/>
      <c r="H449" s="40" t="str">
        <f t="shared" si="65"/>
        <v/>
      </c>
      <c r="I449" s="32" t="str">
        <f t="shared" si="66"/>
        <v/>
      </c>
    </row>
    <row r="450" spans="2:9" x14ac:dyDescent="0.2">
      <c r="B450" s="12" t="str">
        <f>$B$13</f>
        <v>Cymoxanil</v>
      </c>
      <c r="C450" s="40">
        <f>VLOOKUP(OW_B_additie_hoog02[[#This Row],[Component]],OW_B_additie_hoog01[],2,FALSE)</f>
        <v>143.69760000000002</v>
      </c>
      <c r="D450" s="46"/>
      <c r="E450" s="48"/>
      <c r="F450" s="48"/>
      <c r="G450" s="45"/>
      <c r="H450" s="40" t="str">
        <f t="shared" si="65"/>
        <v/>
      </c>
      <c r="I450" s="32" t="str">
        <f t="shared" si="66"/>
        <v/>
      </c>
    </row>
    <row r="451" spans="2:9" x14ac:dyDescent="0.2">
      <c r="B451" s="12" t="str">
        <f>$B$14</f>
        <v>Desmedifam</v>
      </c>
      <c r="C451" s="40">
        <f>VLOOKUP(OW_B_additie_hoog02[[#This Row],[Component]],OW_B_additie_hoog01[],2,FALSE)</f>
        <v>144.37440000000004</v>
      </c>
      <c r="D451" s="46"/>
      <c r="E451" s="48"/>
      <c r="F451" s="48"/>
      <c r="G451" s="45"/>
      <c r="H451" s="40" t="str">
        <f t="shared" si="65"/>
        <v/>
      </c>
      <c r="I451" s="32" t="str">
        <f t="shared" si="66"/>
        <v/>
      </c>
    </row>
    <row r="452" spans="2:9" x14ac:dyDescent="0.2">
      <c r="B452" s="12" t="str">
        <f>$B$15</f>
        <v>Fenmedifam</v>
      </c>
      <c r="C452" s="40">
        <f>VLOOKUP(OW_B_additie_hoog02[[#This Row],[Component]],OW_B_additie_hoog01[],2,FALSE)</f>
        <v>143.88479999999998</v>
      </c>
      <c r="D452" s="46"/>
      <c r="E452" s="48"/>
      <c r="F452" s="48"/>
      <c r="G452" s="45"/>
      <c r="H452" s="40" t="str">
        <f t="shared" si="65"/>
        <v/>
      </c>
      <c r="I452" s="32" t="str">
        <f t="shared" si="66"/>
        <v/>
      </c>
    </row>
    <row r="453" spans="2:9" x14ac:dyDescent="0.2">
      <c r="B453" s="12" t="str">
        <f>$B$16</f>
        <v>Fenoxycarb</v>
      </c>
      <c r="C453" s="40">
        <f>VLOOKUP(OW_B_additie_hoog02[[#This Row],[Component]],OW_B_additie_hoog01[],2,FALSE)</f>
        <v>146.9376</v>
      </c>
      <c r="D453" s="46"/>
      <c r="E453" s="48"/>
      <c r="F453" s="48"/>
      <c r="G453" s="45"/>
      <c r="H453" s="40" t="str">
        <f t="shared" si="65"/>
        <v/>
      </c>
      <c r="I453" s="32" t="str">
        <f t="shared" si="66"/>
        <v/>
      </c>
    </row>
    <row r="454" spans="2:9" x14ac:dyDescent="0.2">
      <c r="B454" s="12" t="str">
        <f>$B$17</f>
        <v>Fipronil</v>
      </c>
      <c r="C454" s="40">
        <f>VLOOKUP(OW_B_additie_hoog02[[#This Row],[Component]],OW_B_additie_hoog01[],2,FALSE)</f>
        <v>144.18719999999999</v>
      </c>
      <c r="D454" s="46"/>
      <c r="E454" s="48"/>
      <c r="F454" s="48"/>
      <c r="G454" s="45"/>
      <c r="H454" s="40" t="str">
        <f t="shared" si="65"/>
        <v/>
      </c>
      <c r="I454" s="32" t="str">
        <f t="shared" si="66"/>
        <v/>
      </c>
    </row>
    <row r="455" spans="2:9" x14ac:dyDescent="0.2">
      <c r="B455" s="12" t="str">
        <f>$B$18</f>
        <v>Florasulam</v>
      </c>
      <c r="C455" s="40">
        <f>VLOOKUP(OW_B_additie_hoog02[[#This Row],[Component]],OW_B_additie_hoog01[],2,FALSE)</f>
        <v>144.73440000000005</v>
      </c>
      <c r="D455" s="46"/>
      <c r="E455" s="48"/>
      <c r="F455" s="48"/>
      <c r="G455" s="45"/>
      <c r="H455" s="40" t="str">
        <f t="shared" si="65"/>
        <v/>
      </c>
      <c r="I455" s="32" t="str">
        <f t="shared" si="66"/>
        <v/>
      </c>
    </row>
    <row r="456" spans="2:9" x14ac:dyDescent="0.2">
      <c r="B456" s="12" t="str">
        <f>$B$19</f>
        <v>Fluazifop-P-butyl</v>
      </c>
      <c r="C456" s="40">
        <f>VLOOKUP(OW_B_additie_hoog02[[#This Row],[Component]],OW_B_additie_hoog01[],2,FALSE)</f>
        <v>144.93599999999998</v>
      </c>
      <c r="D456" s="46"/>
      <c r="E456" s="48"/>
      <c r="F456" s="48"/>
      <c r="G456" s="45"/>
      <c r="H456" s="40" t="str">
        <f t="shared" si="65"/>
        <v/>
      </c>
      <c r="I456" s="32" t="str">
        <f t="shared" si="66"/>
        <v/>
      </c>
    </row>
    <row r="457" spans="2:9" x14ac:dyDescent="0.2">
      <c r="B457" s="12" t="str">
        <f>$B$20</f>
        <v>Fluazinam</v>
      </c>
      <c r="C457" s="40">
        <f>VLOOKUP(OW_B_additie_hoog02[[#This Row],[Component]],OW_B_additie_hoog01[],2,FALSE)</f>
        <v>145.38239999999999</v>
      </c>
      <c r="D457" s="46"/>
      <c r="E457" s="48"/>
      <c r="F457" s="48"/>
      <c r="G457" s="45"/>
      <c r="H457" s="40" t="str">
        <f t="shared" si="65"/>
        <v/>
      </c>
      <c r="I457" s="32" t="str">
        <f t="shared" si="66"/>
        <v/>
      </c>
    </row>
    <row r="458" spans="2:9" x14ac:dyDescent="0.2">
      <c r="B458" s="12" t="str">
        <f>$B$21</f>
        <v>Fludioxonil</v>
      </c>
      <c r="C458" s="40">
        <f>VLOOKUP(OW_B_additie_hoog02[[#This Row],[Component]],OW_B_additie_hoog01[],2,FALSE)</f>
        <v>144.36000000000001</v>
      </c>
      <c r="D458" s="46"/>
      <c r="E458" s="48"/>
      <c r="F458" s="48"/>
      <c r="G458" s="45"/>
      <c r="H458" s="40" t="str">
        <f t="shared" si="65"/>
        <v/>
      </c>
      <c r="I458" s="32" t="str">
        <f t="shared" si="66"/>
        <v/>
      </c>
    </row>
    <row r="459" spans="2:9" x14ac:dyDescent="0.2">
      <c r="B459" s="12" t="str">
        <f>$B$22</f>
        <v>Mesotrione</v>
      </c>
      <c r="C459" s="40">
        <f>VLOOKUP(OW_B_additie_hoog02[[#This Row],[Component]],OW_B_additie_hoog01[],2,FALSE)</f>
        <v>144.9504</v>
      </c>
      <c r="D459" s="46"/>
      <c r="E459" s="48"/>
      <c r="F459" s="48"/>
      <c r="G459" s="45"/>
      <c r="H459" s="40" t="str">
        <f t="shared" si="65"/>
        <v/>
      </c>
      <c r="I459" s="32" t="str">
        <f t="shared" si="66"/>
        <v/>
      </c>
    </row>
    <row r="460" spans="2:9" x14ac:dyDescent="0.2">
      <c r="B460" s="12" t="str">
        <f>$B$23</f>
        <v>Methoxyfenozide</v>
      </c>
      <c r="C460" s="40">
        <f>VLOOKUP(OW_B_additie_hoog02[[#This Row],[Component]],OW_B_additie_hoog01[],2,FALSE)</f>
        <v>144.84960000000001</v>
      </c>
      <c r="D460" s="46"/>
      <c r="E460" s="48"/>
      <c r="F460" s="48"/>
      <c r="G460" s="45"/>
      <c r="H460" s="40" t="str">
        <f t="shared" si="65"/>
        <v/>
      </c>
      <c r="I460" s="32" t="str">
        <f t="shared" si="66"/>
        <v/>
      </c>
    </row>
    <row r="461" spans="2:9" x14ac:dyDescent="0.2">
      <c r="B461" s="12" t="str">
        <f>$B$24</f>
        <v>Oxamyl</v>
      </c>
      <c r="C461" s="40">
        <f>VLOOKUP(OW_B_additie_hoog02[[#This Row],[Component]],OW_B_additie_hoog01[],2,FALSE)</f>
        <v>145.49759999999998</v>
      </c>
      <c r="D461" s="46"/>
      <c r="E461" s="48"/>
      <c r="F461" s="48"/>
      <c r="G461" s="45"/>
      <c r="H461" s="40" t="str">
        <f t="shared" si="65"/>
        <v/>
      </c>
      <c r="I461" s="32" t="str">
        <f t="shared" si="66"/>
        <v/>
      </c>
    </row>
    <row r="462" spans="2:9" x14ac:dyDescent="0.2">
      <c r="B462" s="13" t="str">
        <f>$B$25</f>
        <v>Triallaat</v>
      </c>
      <c r="C462" s="41">
        <f>VLOOKUP(OW_B_additie_hoog02[[#This Row],[Component]],OW_B_additie_hoog01[],2,FALSE)</f>
        <v>143.74080000000001</v>
      </c>
      <c r="D462" s="46"/>
      <c r="E462" s="48"/>
      <c r="F462" s="48"/>
      <c r="G462" s="45"/>
      <c r="H462" s="41" t="str">
        <f t="shared" si="65"/>
        <v/>
      </c>
      <c r="I462" s="32" t="str">
        <f t="shared" si="66"/>
        <v/>
      </c>
    </row>
    <row r="463" spans="2:9" x14ac:dyDescent="0.2">
      <c r="C463" s="42"/>
    </row>
    <row r="464" spans="2:9" ht="20.25" x14ac:dyDescent="0.3">
      <c r="B464" s="8" t="s">
        <v>44</v>
      </c>
      <c r="C464" s="42"/>
    </row>
    <row r="465" spans="2:9" ht="39" thickBot="1" x14ac:dyDescent="0.25">
      <c r="B465" s="15" t="s">
        <v>2</v>
      </c>
      <c r="C465" s="16" t="s">
        <v>3</v>
      </c>
      <c r="D465" s="16" t="s">
        <v>4</v>
      </c>
      <c r="E465" s="16" t="s">
        <v>161</v>
      </c>
      <c r="F465" s="16" t="s">
        <v>162</v>
      </c>
      <c r="G465" s="16" t="s">
        <v>5</v>
      </c>
      <c r="H465" s="43" t="s">
        <v>6</v>
      </c>
      <c r="I465" s="17" t="s">
        <v>7</v>
      </c>
    </row>
    <row r="466" spans="2:9" ht="13.5" thickTop="1" x14ac:dyDescent="0.2">
      <c r="B466" s="14" t="str">
        <f>$B$10</f>
        <v>Amisulbrom</v>
      </c>
      <c r="C466" s="22">
        <f>VLOOKUP(OW_B_additie_hoog03[[#This Row],[Component]],OW_B_additie_hoog01[],2,FALSE)</f>
        <v>144.6336</v>
      </c>
      <c r="D466" s="45"/>
      <c r="E466" s="47"/>
      <c r="F466" s="47"/>
      <c r="G466" s="45"/>
      <c r="H466" s="22" t="str">
        <f>IF(G466="","",100*G466/C466)</f>
        <v/>
      </c>
      <c r="I466" s="32" t="str">
        <f t="shared" ref="I466:I481" si="67">IFERROR(MIN(E466,F466)/MAX(E466,F466)*100,"")</f>
        <v/>
      </c>
    </row>
    <row r="467" spans="2:9" x14ac:dyDescent="0.2">
      <c r="B467" s="12" t="str">
        <f>$B$11</f>
        <v>Clothianidine</v>
      </c>
      <c r="C467" s="40">
        <f>VLOOKUP(OW_B_additie_hoog03[[#This Row],[Component]],OW_B_additie_hoog01[],2,FALSE)</f>
        <v>143.16479999999999</v>
      </c>
      <c r="D467" s="46"/>
      <c r="E467" s="48"/>
      <c r="F467" s="48"/>
      <c r="G467" s="45"/>
      <c r="H467" s="40" t="str">
        <f t="shared" ref="H467:H481" si="68">IF(G467="","",100*G467/C467)</f>
        <v/>
      </c>
      <c r="I467" s="32" t="str">
        <f t="shared" si="67"/>
        <v/>
      </c>
    </row>
    <row r="468" spans="2:9" x14ac:dyDescent="0.2">
      <c r="B468" s="12" t="str">
        <f>$B$12</f>
        <v>Cyazofamide</v>
      </c>
      <c r="C468" s="40">
        <f>VLOOKUP(OW_B_additie_hoog03[[#This Row],[Component]],OW_B_additie_hoog01[],2,FALSE)</f>
        <v>144.05760000000001</v>
      </c>
      <c r="D468" s="46"/>
      <c r="E468" s="48"/>
      <c r="F468" s="48"/>
      <c r="G468" s="45"/>
      <c r="H468" s="40" t="str">
        <f t="shared" si="68"/>
        <v/>
      </c>
      <c r="I468" s="32" t="str">
        <f t="shared" si="67"/>
        <v/>
      </c>
    </row>
    <row r="469" spans="2:9" x14ac:dyDescent="0.2">
      <c r="B469" s="12" t="str">
        <f>$B$13</f>
        <v>Cymoxanil</v>
      </c>
      <c r="C469" s="40">
        <f>VLOOKUP(OW_B_additie_hoog03[[#This Row],[Component]],OW_B_additie_hoog01[],2,FALSE)</f>
        <v>143.69760000000002</v>
      </c>
      <c r="D469" s="46"/>
      <c r="E469" s="48"/>
      <c r="F469" s="48"/>
      <c r="G469" s="45"/>
      <c r="H469" s="40" t="str">
        <f t="shared" si="68"/>
        <v/>
      </c>
      <c r="I469" s="32" t="str">
        <f t="shared" si="67"/>
        <v/>
      </c>
    </row>
    <row r="470" spans="2:9" x14ac:dyDescent="0.2">
      <c r="B470" s="12" t="str">
        <f>$B$14</f>
        <v>Desmedifam</v>
      </c>
      <c r="C470" s="40">
        <f>VLOOKUP(OW_B_additie_hoog03[[#This Row],[Component]],OW_B_additie_hoog01[],2,FALSE)</f>
        <v>144.37440000000004</v>
      </c>
      <c r="D470" s="46"/>
      <c r="E470" s="48"/>
      <c r="F470" s="48"/>
      <c r="G470" s="45"/>
      <c r="H470" s="40" t="str">
        <f t="shared" si="68"/>
        <v/>
      </c>
      <c r="I470" s="32" t="str">
        <f t="shared" si="67"/>
        <v/>
      </c>
    </row>
    <row r="471" spans="2:9" x14ac:dyDescent="0.2">
      <c r="B471" s="12" t="str">
        <f>$B$15</f>
        <v>Fenmedifam</v>
      </c>
      <c r="C471" s="40">
        <f>VLOOKUP(OW_B_additie_hoog03[[#This Row],[Component]],OW_B_additie_hoog01[],2,FALSE)</f>
        <v>143.88479999999998</v>
      </c>
      <c r="D471" s="46"/>
      <c r="E471" s="48"/>
      <c r="F471" s="48"/>
      <c r="G471" s="45"/>
      <c r="H471" s="40" t="str">
        <f t="shared" si="68"/>
        <v/>
      </c>
      <c r="I471" s="32" t="str">
        <f t="shared" si="67"/>
        <v/>
      </c>
    </row>
    <row r="472" spans="2:9" x14ac:dyDescent="0.2">
      <c r="B472" s="12" t="str">
        <f>$B$16</f>
        <v>Fenoxycarb</v>
      </c>
      <c r="C472" s="40">
        <f>VLOOKUP(OW_B_additie_hoog03[[#This Row],[Component]],OW_B_additie_hoog01[],2,FALSE)</f>
        <v>146.9376</v>
      </c>
      <c r="D472" s="46"/>
      <c r="E472" s="48"/>
      <c r="F472" s="48"/>
      <c r="G472" s="45"/>
      <c r="H472" s="40" t="str">
        <f t="shared" si="68"/>
        <v/>
      </c>
      <c r="I472" s="32" t="str">
        <f t="shared" si="67"/>
        <v/>
      </c>
    </row>
    <row r="473" spans="2:9" x14ac:dyDescent="0.2">
      <c r="B473" s="12" t="str">
        <f>$B$17</f>
        <v>Fipronil</v>
      </c>
      <c r="C473" s="40">
        <f>VLOOKUP(OW_B_additie_hoog03[[#This Row],[Component]],OW_B_additie_hoog01[],2,FALSE)</f>
        <v>144.18719999999999</v>
      </c>
      <c r="D473" s="46"/>
      <c r="E473" s="48"/>
      <c r="F473" s="48"/>
      <c r="G473" s="45"/>
      <c r="H473" s="40" t="str">
        <f t="shared" si="68"/>
        <v/>
      </c>
      <c r="I473" s="32" t="str">
        <f t="shared" si="67"/>
        <v/>
      </c>
    </row>
    <row r="474" spans="2:9" x14ac:dyDescent="0.2">
      <c r="B474" s="12" t="str">
        <f>$B$18</f>
        <v>Florasulam</v>
      </c>
      <c r="C474" s="40">
        <f>VLOOKUP(OW_B_additie_hoog03[[#This Row],[Component]],OW_B_additie_hoog01[],2,FALSE)</f>
        <v>144.73440000000005</v>
      </c>
      <c r="D474" s="46"/>
      <c r="E474" s="48"/>
      <c r="F474" s="48"/>
      <c r="G474" s="45"/>
      <c r="H474" s="40" t="str">
        <f t="shared" si="68"/>
        <v/>
      </c>
      <c r="I474" s="32" t="str">
        <f t="shared" si="67"/>
        <v/>
      </c>
    </row>
    <row r="475" spans="2:9" x14ac:dyDescent="0.2">
      <c r="B475" s="12" t="str">
        <f>$B$19</f>
        <v>Fluazifop-P-butyl</v>
      </c>
      <c r="C475" s="40">
        <f>VLOOKUP(OW_B_additie_hoog03[[#This Row],[Component]],OW_B_additie_hoog01[],2,FALSE)</f>
        <v>144.93599999999998</v>
      </c>
      <c r="D475" s="46"/>
      <c r="E475" s="48"/>
      <c r="F475" s="48"/>
      <c r="G475" s="45"/>
      <c r="H475" s="40" t="str">
        <f t="shared" si="68"/>
        <v/>
      </c>
      <c r="I475" s="32" t="str">
        <f t="shared" si="67"/>
        <v/>
      </c>
    </row>
    <row r="476" spans="2:9" x14ac:dyDescent="0.2">
      <c r="B476" s="12" t="str">
        <f>$B$20</f>
        <v>Fluazinam</v>
      </c>
      <c r="C476" s="40">
        <f>VLOOKUP(OW_B_additie_hoog03[[#This Row],[Component]],OW_B_additie_hoog01[],2,FALSE)</f>
        <v>145.38239999999999</v>
      </c>
      <c r="D476" s="46"/>
      <c r="E476" s="48"/>
      <c r="F476" s="48"/>
      <c r="G476" s="45"/>
      <c r="H476" s="40" t="str">
        <f t="shared" si="68"/>
        <v/>
      </c>
      <c r="I476" s="32" t="str">
        <f t="shared" si="67"/>
        <v/>
      </c>
    </row>
    <row r="477" spans="2:9" x14ac:dyDescent="0.2">
      <c r="B477" s="12" t="str">
        <f>$B$21</f>
        <v>Fludioxonil</v>
      </c>
      <c r="C477" s="40">
        <f>VLOOKUP(OW_B_additie_hoog03[[#This Row],[Component]],OW_B_additie_hoog01[],2,FALSE)</f>
        <v>144.36000000000001</v>
      </c>
      <c r="D477" s="46"/>
      <c r="E477" s="48"/>
      <c r="F477" s="48"/>
      <c r="G477" s="45"/>
      <c r="H477" s="40" t="str">
        <f t="shared" si="68"/>
        <v/>
      </c>
      <c r="I477" s="32" t="str">
        <f t="shared" si="67"/>
        <v/>
      </c>
    </row>
    <row r="478" spans="2:9" x14ac:dyDescent="0.2">
      <c r="B478" s="12" t="str">
        <f>$B$22</f>
        <v>Mesotrione</v>
      </c>
      <c r="C478" s="40">
        <f>VLOOKUP(OW_B_additie_hoog03[[#This Row],[Component]],OW_B_additie_hoog01[],2,FALSE)</f>
        <v>144.9504</v>
      </c>
      <c r="D478" s="46"/>
      <c r="E478" s="48"/>
      <c r="F478" s="48"/>
      <c r="G478" s="45"/>
      <c r="H478" s="40" t="str">
        <f t="shared" si="68"/>
        <v/>
      </c>
      <c r="I478" s="32" t="str">
        <f t="shared" si="67"/>
        <v/>
      </c>
    </row>
    <row r="479" spans="2:9" x14ac:dyDescent="0.2">
      <c r="B479" s="12" t="str">
        <f>$B$23</f>
        <v>Methoxyfenozide</v>
      </c>
      <c r="C479" s="40">
        <f>VLOOKUP(OW_B_additie_hoog03[[#This Row],[Component]],OW_B_additie_hoog01[],2,FALSE)</f>
        <v>144.84960000000001</v>
      </c>
      <c r="D479" s="46"/>
      <c r="E479" s="48"/>
      <c r="F479" s="48"/>
      <c r="G479" s="45"/>
      <c r="H479" s="40" t="str">
        <f t="shared" si="68"/>
        <v/>
      </c>
      <c r="I479" s="32" t="str">
        <f t="shared" si="67"/>
        <v/>
      </c>
    </row>
    <row r="480" spans="2:9" x14ac:dyDescent="0.2">
      <c r="B480" s="12" t="str">
        <f>$B$24</f>
        <v>Oxamyl</v>
      </c>
      <c r="C480" s="40">
        <f>VLOOKUP(OW_B_additie_hoog03[[#This Row],[Component]],OW_B_additie_hoog01[],2,FALSE)</f>
        <v>145.49759999999998</v>
      </c>
      <c r="D480" s="46"/>
      <c r="E480" s="48"/>
      <c r="F480" s="48"/>
      <c r="G480" s="45"/>
      <c r="H480" s="40" t="str">
        <f t="shared" si="68"/>
        <v/>
      </c>
      <c r="I480" s="32" t="str">
        <f t="shared" si="67"/>
        <v/>
      </c>
    </row>
    <row r="481" spans="2:9" x14ac:dyDescent="0.2">
      <c r="B481" s="13" t="str">
        <f>$B$25</f>
        <v>Triallaat</v>
      </c>
      <c r="C481" s="41">
        <f>VLOOKUP(OW_B_additie_hoog03[[#This Row],[Component]],OW_B_additie_hoog01[],2,FALSE)</f>
        <v>143.74080000000001</v>
      </c>
      <c r="D481" s="46"/>
      <c r="E481" s="48"/>
      <c r="F481" s="48"/>
      <c r="G481" s="45"/>
      <c r="H481" s="41" t="str">
        <f t="shared" si="68"/>
        <v/>
      </c>
      <c r="I481" s="32" t="str">
        <f t="shared" si="67"/>
        <v/>
      </c>
    </row>
    <row r="482" spans="2:9" x14ac:dyDescent="0.2">
      <c r="C482" s="42"/>
    </row>
    <row r="483" spans="2:9" ht="20.25" x14ac:dyDescent="0.3">
      <c r="B483" s="8" t="s">
        <v>45</v>
      </c>
      <c r="C483" s="42"/>
    </row>
    <row r="484" spans="2:9" ht="39" thickBot="1" x14ac:dyDescent="0.25">
      <c r="B484" s="15" t="s">
        <v>2</v>
      </c>
      <c r="C484" s="16" t="s">
        <v>3</v>
      </c>
      <c r="D484" s="16" t="s">
        <v>4</v>
      </c>
      <c r="E484" s="16" t="s">
        <v>161</v>
      </c>
      <c r="F484" s="16" t="s">
        <v>162</v>
      </c>
      <c r="G484" s="16" t="s">
        <v>5</v>
      </c>
      <c r="H484" s="43" t="s">
        <v>6</v>
      </c>
      <c r="I484" s="17" t="s">
        <v>7</v>
      </c>
    </row>
    <row r="485" spans="2:9" ht="13.5" thickTop="1" x14ac:dyDescent="0.2">
      <c r="B485" s="14" t="str">
        <f>$B$10</f>
        <v>Amisulbrom</v>
      </c>
      <c r="C485" s="22">
        <f>VLOOKUP(OW_B_additie_hoog04[[#This Row],[Component]],OW_B_additie_hoog01[],2,FALSE)</f>
        <v>144.6336</v>
      </c>
      <c r="D485" s="45"/>
      <c r="E485" s="47"/>
      <c r="F485" s="47"/>
      <c r="G485" s="45"/>
      <c r="H485" s="22" t="str">
        <f t="shared" ref="H485:H500" si="69">IF(G485="","",100*G485/C485)</f>
        <v/>
      </c>
      <c r="I485" s="32" t="str">
        <f t="shared" ref="I485:I500" si="70">IFERROR(MIN(E485,F485)/MAX(E485,F485)*100,"")</f>
        <v/>
      </c>
    </row>
    <row r="486" spans="2:9" x14ac:dyDescent="0.2">
      <c r="B486" s="12" t="str">
        <f>$B$11</f>
        <v>Clothianidine</v>
      </c>
      <c r="C486" s="40">
        <f>VLOOKUP(OW_B_additie_hoog04[[#This Row],[Component]],OW_B_additie_hoog01[],2,FALSE)</f>
        <v>143.16479999999999</v>
      </c>
      <c r="D486" s="46"/>
      <c r="E486" s="48"/>
      <c r="F486" s="48"/>
      <c r="G486" s="45"/>
      <c r="H486" s="40" t="str">
        <f t="shared" si="69"/>
        <v/>
      </c>
      <c r="I486" s="32" t="str">
        <f t="shared" si="70"/>
        <v/>
      </c>
    </row>
    <row r="487" spans="2:9" x14ac:dyDescent="0.2">
      <c r="B487" s="12" t="str">
        <f>$B$12</f>
        <v>Cyazofamide</v>
      </c>
      <c r="C487" s="40">
        <f>VLOOKUP(OW_B_additie_hoog04[[#This Row],[Component]],OW_B_additie_hoog01[],2,FALSE)</f>
        <v>144.05760000000001</v>
      </c>
      <c r="D487" s="46"/>
      <c r="E487" s="48"/>
      <c r="F487" s="48"/>
      <c r="G487" s="45"/>
      <c r="H487" s="40" t="str">
        <f t="shared" si="69"/>
        <v/>
      </c>
      <c r="I487" s="32" t="str">
        <f t="shared" si="70"/>
        <v/>
      </c>
    </row>
    <row r="488" spans="2:9" x14ac:dyDescent="0.2">
      <c r="B488" s="12" t="str">
        <f>$B$13</f>
        <v>Cymoxanil</v>
      </c>
      <c r="C488" s="40">
        <f>VLOOKUP(OW_B_additie_hoog04[[#This Row],[Component]],OW_B_additie_hoog01[],2,FALSE)</f>
        <v>143.69760000000002</v>
      </c>
      <c r="D488" s="46"/>
      <c r="E488" s="48"/>
      <c r="F488" s="48"/>
      <c r="G488" s="45"/>
      <c r="H488" s="40" t="str">
        <f t="shared" si="69"/>
        <v/>
      </c>
      <c r="I488" s="32" t="str">
        <f t="shared" si="70"/>
        <v/>
      </c>
    </row>
    <row r="489" spans="2:9" x14ac:dyDescent="0.2">
      <c r="B489" s="12" t="str">
        <f>$B$14</f>
        <v>Desmedifam</v>
      </c>
      <c r="C489" s="40">
        <f>VLOOKUP(OW_B_additie_hoog04[[#This Row],[Component]],OW_B_additie_hoog01[],2,FALSE)</f>
        <v>144.37440000000004</v>
      </c>
      <c r="D489" s="46"/>
      <c r="E489" s="48"/>
      <c r="F489" s="48"/>
      <c r="G489" s="45"/>
      <c r="H489" s="40" t="str">
        <f t="shared" si="69"/>
        <v/>
      </c>
      <c r="I489" s="32" t="str">
        <f t="shared" si="70"/>
        <v/>
      </c>
    </row>
    <row r="490" spans="2:9" x14ac:dyDescent="0.2">
      <c r="B490" s="12" t="str">
        <f>$B$15</f>
        <v>Fenmedifam</v>
      </c>
      <c r="C490" s="40">
        <f>VLOOKUP(OW_B_additie_hoog04[[#This Row],[Component]],OW_B_additie_hoog01[],2,FALSE)</f>
        <v>143.88479999999998</v>
      </c>
      <c r="D490" s="46"/>
      <c r="E490" s="48"/>
      <c r="F490" s="48"/>
      <c r="G490" s="45"/>
      <c r="H490" s="40" t="str">
        <f t="shared" si="69"/>
        <v/>
      </c>
      <c r="I490" s="32" t="str">
        <f t="shared" si="70"/>
        <v/>
      </c>
    </row>
    <row r="491" spans="2:9" x14ac:dyDescent="0.2">
      <c r="B491" s="12" t="str">
        <f>$B$16</f>
        <v>Fenoxycarb</v>
      </c>
      <c r="C491" s="40">
        <f>VLOOKUP(OW_B_additie_hoog04[[#This Row],[Component]],OW_B_additie_hoog01[],2,FALSE)</f>
        <v>146.9376</v>
      </c>
      <c r="D491" s="46"/>
      <c r="E491" s="48"/>
      <c r="F491" s="48"/>
      <c r="G491" s="45"/>
      <c r="H491" s="40" t="str">
        <f t="shared" si="69"/>
        <v/>
      </c>
      <c r="I491" s="32" t="str">
        <f t="shared" si="70"/>
        <v/>
      </c>
    </row>
    <row r="492" spans="2:9" x14ac:dyDescent="0.2">
      <c r="B492" s="12" t="str">
        <f>$B$17</f>
        <v>Fipronil</v>
      </c>
      <c r="C492" s="40">
        <f>VLOOKUP(OW_B_additie_hoog04[[#This Row],[Component]],OW_B_additie_hoog01[],2,FALSE)</f>
        <v>144.18719999999999</v>
      </c>
      <c r="D492" s="46"/>
      <c r="E492" s="48"/>
      <c r="F492" s="48"/>
      <c r="G492" s="45"/>
      <c r="H492" s="40" t="str">
        <f t="shared" si="69"/>
        <v/>
      </c>
      <c r="I492" s="32" t="str">
        <f t="shared" si="70"/>
        <v/>
      </c>
    </row>
    <row r="493" spans="2:9" x14ac:dyDescent="0.2">
      <c r="B493" s="12" t="str">
        <f>$B$18</f>
        <v>Florasulam</v>
      </c>
      <c r="C493" s="40">
        <f>VLOOKUP(OW_B_additie_hoog04[[#This Row],[Component]],OW_B_additie_hoog01[],2,FALSE)</f>
        <v>144.73440000000005</v>
      </c>
      <c r="D493" s="46"/>
      <c r="E493" s="48"/>
      <c r="F493" s="48"/>
      <c r="G493" s="45"/>
      <c r="H493" s="40" t="str">
        <f t="shared" si="69"/>
        <v/>
      </c>
      <c r="I493" s="32" t="str">
        <f t="shared" si="70"/>
        <v/>
      </c>
    </row>
    <row r="494" spans="2:9" x14ac:dyDescent="0.2">
      <c r="B494" s="12" t="str">
        <f>$B$19</f>
        <v>Fluazifop-P-butyl</v>
      </c>
      <c r="C494" s="40">
        <f>VLOOKUP(OW_B_additie_hoog04[[#This Row],[Component]],OW_B_additie_hoog01[],2,FALSE)</f>
        <v>144.93599999999998</v>
      </c>
      <c r="D494" s="46"/>
      <c r="E494" s="48"/>
      <c r="F494" s="48"/>
      <c r="G494" s="45"/>
      <c r="H494" s="40" t="str">
        <f t="shared" si="69"/>
        <v/>
      </c>
      <c r="I494" s="32" t="str">
        <f t="shared" si="70"/>
        <v/>
      </c>
    </row>
    <row r="495" spans="2:9" x14ac:dyDescent="0.2">
      <c r="B495" s="12" t="str">
        <f>$B$20</f>
        <v>Fluazinam</v>
      </c>
      <c r="C495" s="40">
        <f>VLOOKUP(OW_B_additie_hoog04[[#This Row],[Component]],OW_B_additie_hoog01[],2,FALSE)</f>
        <v>145.38239999999999</v>
      </c>
      <c r="D495" s="46"/>
      <c r="E495" s="48"/>
      <c r="F495" s="48"/>
      <c r="G495" s="45"/>
      <c r="H495" s="40" t="str">
        <f t="shared" si="69"/>
        <v/>
      </c>
      <c r="I495" s="32" t="str">
        <f t="shared" si="70"/>
        <v/>
      </c>
    </row>
    <row r="496" spans="2:9" x14ac:dyDescent="0.2">
      <c r="B496" s="12" t="str">
        <f>$B$21</f>
        <v>Fludioxonil</v>
      </c>
      <c r="C496" s="40">
        <f>VLOOKUP(OW_B_additie_hoog04[[#This Row],[Component]],OW_B_additie_hoog01[],2,FALSE)</f>
        <v>144.36000000000001</v>
      </c>
      <c r="D496" s="46"/>
      <c r="E496" s="48"/>
      <c r="F496" s="48"/>
      <c r="G496" s="45"/>
      <c r="H496" s="40" t="str">
        <f t="shared" si="69"/>
        <v/>
      </c>
      <c r="I496" s="32" t="str">
        <f t="shared" si="70"/>
        <v/>
      </c>
    </row>
    <row r="497" spans="2:9" x14ac:dyDescent="0.2">
      <c r="B497" s="12" t="str">
        <f>$B$22</f>
        <v>Mesotrione</v>
      </c>
      <c r="C497" s="40">
        <f>VLOOKUP(OW_B_additie_hoog04[[#This Row],[Component]],OW_B_additie_hoog01[],2,FALSE)</f>
        <v>144.9504</v>
      </c>
      <c r="D497" s="46"/>
      <c r="E497" s="48"/>
      <c r="F497" s="48"/>
      <c r="G497" s="45"/>
      <c r="H497" s="40" t="str">
        <f t="shared" si="69"/>
        <v/>
      </c>
      <c r="I497" s="32" t="str">
        <f t="shared" si="70"/>
        <v/>
      </c>
    </row>
    <row r="498" spans="2:9" x14ac:dyDescent="0.2">
      <c r="B498" s="12" t="str">
        <f>$B$23</f>
        <v>Methoxyfenozide</v>
      </c>
      <c r="C498" s="40">
        <f>VLOOKUP(OW_B_additie_hoog04[[#This Row],[Component]],OW_B_additie_hoog01[],2,FALSE)</f>
        <v>144.84960000000001</v>
      </c>
      <c r="D498" s="46"/>
      <c r="E498" s="48"/>
      <c r="F498" s="48"/>
      <c r="G498" s="45"/>
      <c r="H498" s="40" t="str">
        <f t="shared" si="69"/>
        <v/>
      </c>
      <c r="I498" s="32" t="str">
        <f t="shared" si="70"/>
        <v/>
      </c>
    </row>
    <row r="499" spans="2:9" x14ac:dyDescent="0.2">
      <c r="B499" s="12" t="str">
        <f>$B$24</f>
        <v>Oxamyl</v>
      </c>
      <c r="C499" s="40">
        <f>VLOOKUP(OW_B_additie_hoog04[[#This Row],[Component]],OW_B_additie_hoog01[],2,FALSE)</f>
        <v>145.49759999999998</v>
      </c>
      <c r="D499" s="46"/>
      <c r="E499" s="48"/>
      <c r="F499" s="48"/>
      <c r="G499" s="45"/>
      <c r="H499" s="40" t="str">
        <f t="shared" si="69"/>
        <v/>
      </c>
      <c r="I499" s="32" t="str">
        <f t="shared" si="70"/>
        <v/>
      </c>
    </row>
    <row r="500" spans="2:9" x14ac:dyDescent="0.2">
      <c r="B500" s="13" t="str">
        <f>$B$25</f>
        <v>Triallaat</v>
      </c>
      <c r="C500" s="41">
        <f>VLOOKUP(OW_B_additie_hoog04[[#This Row],[Component]],OW_B_additie_hoog01[],2,FALSE)</f>
        <v>143.74080000000001</v>
      </c>
      <c r="D500" s="46"/>
      <c r="E500" s="48"/>
      <c r="F500" s="48"/>
      <c r="G500" s="45"/>
      <c r="H500" s="41" t="str">
        <f t="shared" si="69"/>
        <v/>
      </c>
      <c r="I500" s="32" t="str">
        <f t="shared" si="70"/>
        <v/>
      </c>
    </row>
    <row r="501" spans="2:9" x14ac:dyDescent="0.2">
      <c r="C501" s="42"/>
    </row>
    <row r="502" spans="2:9" ht="20.25" x14ac:dyDescent="0.3">
      <c r="B502" s="8" t="s">
        <v>46</v>
      </c>
      <c r="C502" s="42"/>
    </row>
    <row r="503" spans="2:9" ht="39" thickBot="1" x14ac:dyDescent="0.25">
      <c r="B503" s="15" t="s">
        <v>2</v>
      </c>
      <c r="C503" s="16" t="s">
        <v>3</v>
      </c>
      <c r="D503" s="16" t="s">
        <v>4</v>
      </c>
      <c r="E503" s="16" t="s">
        <v>161</v>
      </c>
      <c r="F503" s="16" t="s">
        <v>162</v>
      </c>
      <c r="G503" s="16" t="s">
        <v>5</v>
      </c>
      <c r="H503" s="43" t="s">
        <v>6</v>
      </c>
      <c r="I503" s="17" t="s">
        <v>7</v>
      </c>
    </row>
    <row r="504" spans="2:9" ht="13.5" thickTop="1" x14ac:dyDescent="0.2">
      <c r="B504" s="14" t="str">
        <f>$B$10</f>
        <v>Amisulbrom</v>
      </c>
      <c r="C504" s="22">
        <f>VLOOKUP(OW_B_additie_hoog05[[#This Row],[Component]],OW_B_additie_hoog01[],2,FALSE)</f>
        <v>144.6336</v>
      </c>
      <c r="D504" s="45"/>
      <c r="E504" s="47"/>
      <c r="F504" s="47"/>
      <c r="G504" s="45"/>
      <c r="H504" s="22" t="str">
        <f t="shared" ref="H504:H519" si="71">IF(G504="","",100*G504/C504)</f>
        <v/>
      </c>
      <c r="I504" s="32" t="str">
        <f t="shared" ref="I504:I519" si="72">IFERROR(MIN(E504,F504)/MAX(E504,F504)*100,"")</f>
        <v/>
      </c>
    </row>
    <row r="505" spans="2:9" x14ac:dyDescent="0.2">
      <c r="B505" s="12" t="str">
        <f>$B$11</f>
        <v>Clothianidine</v>
      </c>
      <c r="C505" s="40">
        <f>VLOOKUP(OW_B_additie_hoog05[[#This Row],[Component]],OW_B_additie_hoog01[],2,FALSE)</f>
        <v>143.16479999999999</v>
      </c>
      <c r="D505" s="46"/>
      <c r="E505" s="48"/>
      <c r="F505" s="48"/>
      <c r="G505" s="45"/>
      <c r="H505" s="40" t="str">
        <f t="shared" si="71"/>
        <v/>
      </c>
      <c r="I505" s="32" t="str">
        <f t="shared" si="72"/>
        <v/>
      </c>
    </row>
    <row r="506" spans="2:9" x14ac:dyDescent="0.2">
      <c r="B506" s="12" t="str">
        <f>$B$12</f>
        <v>Cyazofamide</v>
      </c>
      <c r="C506" s="40">
        <f>VLOOKUP(OW_B_additie_hoog05[[#This Row],[Component]],OW_B_additie_hoog01[],2,FALSE)</f>
        <v>144.05760000000001</v>
      </c>
      <c r="D506" s="46"/>
      <c r="E506" s="48"/>
      <c r="F506" s="48"/>
      <c r="G506" s="45"/>
      <c r="H506" s="40" t="str">
        <f t="shared" si="71"/>
        <v/>
      </c>
      <c r="I506" s="32" t="str">
        <f t="shared" si="72"/>
        <v/>
      </c>
    </row>
    <row r="507" spans="2:9" x14ac:dyDescent="0.2">
      <c r="B507" s="12" t="str">
        <f>$B$13</f>
        <v>Cymoxanil</v>
      </c>
      <c r="C507" s="40">
        <f>VLOOKUP(OW_B_additie_hoog05[[#This Row],[Component]],OW_B_additie_hoog01[],2,FALSE)</f>
        <v>143.69760000000002</v>
      </c>
      <c r="D507" s="46"/>
      <c r="E507" s="48"/>
      <c r="F507" s="48"/>
      <c r="G507" s="45"/>
      <c r="H507" s="40" t="str">
        <f t="shared" si="71"/>
        <v/>
      </c>
      <c r="I507" s="32" t="str">
        <f t="shared" si="72"/>
        <v/>
      </c>
    </row>
    <row r="508" spans="2:9" x14ac:dyDescent="0.2">
      <c r="B508" s="12" t="str">
        <f>$B$14</f>
        <v>Desmedifam</v>
      </c>
      <c r="C508" s="40">
        <f>VLOOKUP(OW_B_additie_hoog05[[#This Row],[Component]],OW_B_additie_hoog01[],2,FALSE)</f>
        <v>144.37440000000004</v>
      </c>
      <c r="D508" s="46"/>
      <c r="E508" s="48"/>
      <c r="F508" s="48"/>
      <c r="G508" s="45"/>
      <c r="H508" s="40" t="str">
        <f t="shared" si="71"/>
        <v/>
      </c>
      <c r="I508" s="32" t="str">
        <f t="shared" si="72"/>
        <v/>
      </c>
    </row>
    <row r="509" spans="2:9" x14ac:dyDescent="0.2">
      <c r="B509" s="12" t="str">
        <f>$B$15</f>
        <v>Fenmedifam</v>
      </c>
      <c r="C509" s="40">
        <f>VLOOKUP(OW_B_additie_hoog05[[#This Row],[Component]],OW_B_additie_hoog01[],2,FALSE)</f>
        <v>143.88479999999998</v>
      </c>
      <c r="D509" s="46"/>
      <c r="E509" s="48"/>
      <c r="F509" s="48"/>
      <c r="G509" s="45"/>
      <c r="H509" s="40" t="str">
        <f t="shared" si="71"/>
        <v/>
      </c>
      <c r="I509" s="32" t="str">
        <f t="shared" si="72"/>
        <v/>
      </c>
    </row>
    <row r="510" spans="2:9" x14ac:dyDescent="0.2">
      <c r="B510" s="12" t="str">
        <f>$B$16</f>
        <v>Fenoxycarb</v>
      </c>
      <c r="C510" s="40">
        <f>VLOOKUP(OW_B_additie_hoog05[[#This Row],[Component]],OW_B_additie_hoog01[],2,FALSE)</f>
        <v>146.9376</v>
      </c>
      <c r="D510" s="46"/>
      <c r="E510" s="48"/>
      <c r="F510" s="48"/>
      <c r="G510" s="45"/>
      <c r="H510" s="40" t="str">
        <f t="shared" si="71"/>
        <v/>
      </c>
      <c r="I510" s="32" t="str">
        <f t="shared" si="72"/>
        <v/>
      </c>
    </row>
    <row r="511" spans="2:9" x14ac:dyDescent="0.2">
      <c r="B511" s="12" t="str">
        <f>$B$17</f>
        <v>Fipronil</v>
      </c>
      <c r="C511" s="40">
        <f>VLOOKUP(OW_B_additie_hoog05[[#This Row],[Component]],OW_B_additie_hoog01[],2,FALSE)</f>
        <v>144.18719999999999</v>
      </c>
      <c r="D511" s="46"/>
      <c r="E511" s="48"/>
      <c r="F511" s="48"/>
      <c r="G511" s="45"/>
      <c r="H511" s="40" t="str">
        <f t="shared" si="71"/>
        <v/>
      </c>
      <c r="I511" s="32" t="str">
        <f t="shared" si="72"/>
        <v/>
      </c>
    </row>
    <row r="512" spans="2:9" x14ac:dyDescent="0.2">
      <c r="B512" s="12" t="str">
        <f>$B$18</f>
        <v>Florasulam</v>
      </c>
      <c r="C512" s="40">
        <f>VLOOKUP(OW_B_additie_hoog05[[#This Row],[Component]],OW_B_additie_hoog01[],2,FALSE)</f>
        <v>144.73440000000005</v>
      </c>
      <c r="D512" s="46"/>
      <c r="E512" s="48"/>
      <c r="F512" s="48"/>
      <c r="G512" s="45"/>
      <c r="H512" s="40" t="str">
        <f t="shared" si="71"/>
        <v/>
      </c>
      <c r="I512" s="32" t="str">
        <f t="shared" si="72"/>
        <v/>
      </c>
    </row>
    <row r="513" spans="2:9" x14ac:dyDescent="0.2">
      <c r="B513" s="12" t="str">
        <f>$B$19</f>
        <v>Fluazifop-P-butyl</v>
      </c>
      <c r="C513" s="40">
        <f>VLOOKUP(OW_B_additie_hoog05[[#This Row],[Component]],OW_B_additie_hoog01[],2,FALSE)</f>
        <v>144.93599999999998</v>
      </c>
      <c r="D513" s="46"/>
      <c r="E513" s="48"/>
      <c r="F513" s="48"/>
      <c r="G513" s="45"/>
      <c r="H513" s="40" t="str">
        <f t="shared" si="71"/>
        <v/>
      </c>
      <c r="I513" s="32" t="str">
        <f t="shared" si="72"/>
        <v/>
      </c>
    </row>
    <row r="514" spans="2:9" x14ac:dyDescent="0.2">
      <c r="B514" s="12" t="str">
        <f>$B$20</f>
        <v>Fluazinam</v>
      </c>
      <c r="C514" s="40">
        <f>VLOOKUP(OW_B_additie_hoog05[[#This Row],[Component]],OW_B_additie_hoog01[],2,FALSE)</f>
        <v>145.38239999999999</v>
      </c>
      <c r="D514" s="46"/>
      <c r="E514" s="48"/>
      <c r="F514" s="48"/>
      <c r="G514" s="45"/>
      <c r="H514" s="40" t="str">
        <f t="shared" si="71"/>
        <v/>
      </c>
      <c r="I514" s="32" t="str">
        <f t="shared" si="72"/>
        <v/>
      </c>
    </row>
    <row r="515" spans="2:9" x14ac:dyDescent="0.2">
      <c r="B515" s="12" t="str">
        <f>$B$21</f>
        <v>Fludioxonil</v>
      </c>
      <c r="C515" s="40">
        <f>VLOOKUP(OW_B_additie_hoog05[[#This Row],[Component]],OW_B_additie_hoog01[],2,FALSE)</f>
        <v>144.36000000000001</v>
      </c>
      <c r="D515" s="46"/>
      <c r="E515" s="48"/>
      <c r="F515" s="48"/>
      <c r="G515" s="45"/>
      <c r="H515" s="40" t="str">
        <f t="shared" si="71"/>
        <v/>
      </c>
      <c r="I515" s="32" t="str">
        <f t="shared" si="72"/>
        <v/>
      </c>
    </row>
    <row r="516" spans="2:9" x14ac:dyDescent="0.2">
      <c r="B516" s="12" t="str">
        <f>$B$22</f>
        <v>Mesotrione</v>
      </c>
      <c r="C516" s="40">
        <f>VLOOKUP(OW_B_additie_hoog05[[#This Row],[Component]],OW_B_additie_hoog01[],2,FALSE)</f>
        <v>144.9504</v>
      </c>
      <c r="D516" s="46"/>
      <c r="E516" s="48"/>
      <c r="F516" s="48"/>
      <c r="G516" s="45"/>
      <c r="H516" s="40" t="str">
        <f t="shared" si="71"/>
        <v/>
      </c>
      <c r="I516" s="32" t="str">
        <f t="shared" si="72"/>
        <v/>
      </c>
    </row>
    <row r="517" spans="2:9" x14ac:dyDescent="0.2">
      <c r="B517" s="12" t="str">
        <f>$B$23</f>
        <v>Methoxyfenozide</v>
      </c>
      <c r="C517" s="40">
        <f>VLOOKUP(OW_B_additie_hoog05[[#This Row],[Component]],OW_B_additie_hoog01[],2,FALSE)</f>
        <v>144.84960000000001</v>
      </c>
      <c r="D517" s="46"/>
      <c r="E517" s="48"/>
      <c r="F517" s="48"/>
      <c r="G517" s="45"/>
      <c r="H517" s="40" t="str">
        <f t="shared" si="71"/>
        <v/>
      </c>
      <c r="I517" s="32" t="str">
        <f t="shared" si="72"/>
        <v/>
      </c>
    </row>
    <row r="518" spans="2:9" x14ac:dyDescent="0.2">
      <c r="B518" s="12" t="str">
        <f>$B$24</f>
        <v>Oxamyl</v>
      </c>
      <c r="C518" s="40">
        <f>VLOOKUP(OW_B_additie_hoog05[[#This Row],[Component]],OW_B_additie_hoog01[],2,FALSE)</f>
        <v>145.49759999999998</v>
      </c>
      <c r="D518" s="46"/>
      <c r="E518" s="48"/>
      <c r="F518" s="48"/>
      <c r="G518" s="45"/>
      <c r="H518" s="40" t="str">
        <f t="shared" si="71"/>
        <v/>
      </c>
      <c r="I518" s="32" t="str">
        <f t="shared" si="72"/>
        <v/>
      </c>
    </row>
    <row r="519" spans="2:9" x14ac:dyDescent="0.2">
      <c r="B519" s="13" t="str">
        <f>$B$25</f>
        <v>Triallaat</v>
      </c>
      <c r="C519" s="41">
        <f>VLOOKUP(OW_B_additie_hoog05[[#This Row],[Component]],OW_B_additie_hoog01[],2,FALSE)</f>
        <v>143.74080000000001</v>
      </c>
      <c r="D519" s="46"/>
      <c r="E519" s="48"/>
      <c r="F519" s="48"/>
      <c r="G519" s="45"/>
      <c r="H519" s="41" t="str">
        <f t="shared" si="71"/>
        <v/>
      </c>
      <c r="I519" s="32" t="str">
        <f t="shared" si="72"/>
        <v/>
      </c>
    </row>
    <row r="520" spans="2:9" x14ac:dyDescent="0.2">
      <c r="C520" s="42"/>
    </row>
    <row r="521" spans="2:9" ht="20.25" x14ac:dyDescent="0.3">
      <c r="B521" s="8" t="s">
        <v>47</v>
      </c>
      <c r="C521" s="42"/>
    </row>
    <row r="522" spans="2:9" ht="39" thickBot="1" x14ac:dyDescent="0.25">
      <c r="B522" s="15" t="s">
        <v>2</v>
      </c>
      <c r="C522" s="16" t="s">
        <v>3</v>
      </c>
      <c r="D522" s="16" t="s">
        <v>4</v>
      </c>
      <c r="E522" s="16" t="s">
        <v>161</v>
      </c>
      <c r="F522" s="16" t="s">
        <v>162</v>
      </c>
      <c r="G522" s="16" t="s">
        <v>5</v>
      </c>
      <c r="H522" s="43" t="s">
        <v>6</v>
      </c>
      <c r="I522" s="17" t="s">
        <v>7</v>
      </c>
    </row>
    <row r="523" spans="2:9" ht="13.5" thickTop="1" x14ac:dyDescent="0.2">
      <c r="B523" s="14" t="str">
        <f>$B$10</f>
        <v>Amisulbrom</v>
      </c>
      <c r="C523" s="22">
        <f>VLOOKUP(OW_B_additie_hoog06[[#This Row],[Component]],OW_B_additie_hoog01[],2,FALSE)</f>
        <v>144.6336</v>
      </c>
      <c r="D523" s="45"/>
      <c r="E523" s="47"/>
      <c r="F523" s="47"/>
      <c r="G523" s="45"/>
      <c r="H523" s="22" t="str">
        <f t="shared" ref="H523:H538" si="73">IF(G523="","",100*G523/C523)</f>
        <v/>
      </c>
      <c r="I523" s="32" t="str">
        <f t="shared" ref="I523:I538" si="74">IFERROR(MIN(E523,F523)/MAX(E523,F523)*100,"")</f>
        <v/>
      </c>
    </row>
    <row r="524" spans="2:9" x14ac:dyDescent="0.2">
      <c r="B524" s="12" t="str">
        <f>$B$11</f>
        <v>Clothianidine</v>
      </c>
      <c r="C524" s="40">
        <f>VLOOKUP(OW_B_additie_hoog06[[#This Row],[Component]],OW_B_additie_hoog01[],2,FALSE)</f>
        <v>143.16479999999999</v>
      </c>
      <c r="D524" s="46"/>
      <c r="E524" s="48"/>
      <c r="F524" s="48"/>
      <c r="G524" s="45"/>
      <c r="H524" s="40" t="str">
        <f t="shared" si="73"/>
        <v/>
      </c>
      <c r="I524" s="32" t="str">
        <f t="shared" si="74"/>
        <v/>
      </c>
    </row>
    <row r="525" spans="2:9" x14ac:dyDescent="0.2">
      <c r="B525" s="12" t="str">
        <f>$B$12</f>
        <v>Cyazofamide</v>
      </c>
      <c r="C525" s="40">
        <f>VLOOKUP(OW_B_additie_hoog06[[#This Row],[Component]],OW_B_additie_hoog01[],2,FALSE)</f>
        <v>144.05760000000001</v>
      </c>
      <c r="D525" s="46"/>
      <c r="E525" s="48"/>
      <c r="F525" s="48"/>
      <c r="G525" s="45"/>
      <c r="H525" s="40" t="str">
        <f t="shared" si="73"/>
        <v/>
      </c>
      <c r="I525" s="32" t="str">
        <f t="shared" si="74"/>
        <v/>
      </c>
    </row>
    <row r="526" spans="2:9" x14ac:dyDescent="0.2">
      <c r="B526" s="12" t="str">
        <f>$B$13</f>
        <v>Cymoxanil</v>
      </c>
      <c r="C526" s="40">
        <f>VLOOKUP(OW_B_additie_hoog06[[#This Row],[Component]],OW_B_additie_hoog01[],2,FALSE)</f>
        <v>143.69760000000002</v>
      </c>
      <c r="D526" s="46"/>
      <c r="E526" s="48"/>
      <c r="F526" s="48"/>
      <c r="G526" s="45"/>
      <c r="H526" s="40" t="str">
        <f t="shared" si="73"/>
        <v/>
      </c>
      <c r="I526" s="32" t="str">
        <f t="shared" si="74"/>
        <v/>
      </c>
    </row>
    <row r="527" spans="2:9" x14ac:dyDescent="0.2">
      <c r="B527" s="12" t="str">
        <f>$B$14</f>
        <v>Desmedifam</v>
      </c>
      <c r="C527" s="40">
        <f>VLOOKUP(OW_B_additie_hoog06[[#This Row],[Component]],OW_B_additie_hoog01[],2,FALSE)</f>
        <v>144.37440000000004</v>
      </c>
      <c r="D527" s="46"/>
      <c r="E527" s="48"/>
      <c r="F527" s="48"/>
      <c r="G527" s="45"/>
      <c r="H527" s="40" t="str">
        <f t="shared" si="73"/>
        <v/>
      </c>
      <c r="I527" s="32" t="str">
        <f t="shared" si="74"/>
        <v/>
      </c>
    </row>
    <row r="528" spans="2:9" x14ac:dyDescent="0.2">
      <c r="B528" s="12" t="str">
        <f>$B$15</f>
        <v>Fenmedifam</v>
      </c>
      <c r="C528" s="40">
        <f>VLOOKUP(OW_B_additie_hoog06[[#This Row],[Component]],OW_B_additie_hoog01[],2,FALSE)</f>
        <v>143.88479999999998</v>
      </c>
      <c r="D528" s="46"/>
      <c r="E528" s="48"/>
      <c r="F528" s="48"/>
      <c r="G528" s="45"/>
      <c r="H528" s="40" t="str">
        <f t="shared" si="73"/>
        <v/>
      </c>
      <c r="I528" s="32" t="str">
        <f t="shared" si="74"/>
        <v/>
      </c>
    </row>
    <row r="529" spans="2:9" x14ac:dyDescent="0.2">
      <c r="B529" s="12" t="str">
        <f>$B$16</f>
        <v>Fenoxycarb</v>
      </c>
      <c r="C529" s="40">
        <f>VLOOKUP(OW_B_additie_hoog06[[#This Row],[Component]],OW_B_additie_hoog01[],2,FALSE)</f>
        <v>146.9376</v>
      </c>
      <c r="D529" s="46"/>
      <c r="E529" s="48"/>
      <c r="F529" s="48"/>
      <c r="G529" s="45"/>
      <c r="H529" s="40" t="str">
        <f t="shared" si="73"/>
        <v/>
      </c>
      <c r="I529" s="32" t="str">
        <f t="shared" si="74"/>
        <v/>
      </c>
    </row>
    <row r="530" spans="2:9" x14ac:dyDescent="0.2">
      <c r="B530" s="12" t="str">
        <f>$B$17</f>
        <v>Fipronil</v>
      </c>
      <c r="C530" s="40">
        <f>VLOOKUP(OW_B_additie_hoog06[[#This Row],[Component]],OW_B_additie_hoog01[],2,FALSE)</f>
        <v>144.18719999999999</v>
      </c>
      <c r="D530" s="46"/>
      <c r="E530" s="48"/>
      <c r="F530" s="48"/>
      <c r="G530" s="45"/>
      <c r="H530" s="40" t="str">
        <f t="shared" si="73"/>
        <v/>
      </c>
      <c r="I530" s="32" t="str">
        <f t="shared" si="74"/>
        <v/>
      </c>
    </row>
    <row r="531" spans="2:9" x14ac:dyDescent="0.2">
      <c r="B531" s="12" t="str">
        <f>$B$18</f>
        <v>Florasulam</v>
      </c>
      <c r="C531" s="40">
        <f>VLOOKUP(OW_B_additie_hoog06[[#This Row],[Component]],OW_B_additie_hoog01[],2,FALSE)</f>
        <v>144.73440000000005</v>
      </c>
      <c r="D531" s="46"/>
      <c r="E531" s="48"/>
      <c r="F531" s="48"/>
      <c r="G531" s="45"/>
      <c r="H531" s="40" t="str">
        <f t="shared" si="73"/>
        <v/>
      </c>
      <c r="I531" s="32" t="str">
        <f t="shared" si="74"/>
        <v/>
      </c>
    </row>
    <row r="532" spans="2:9" x14ac:dyDescent="0.2">
      <c r="B532" s="12" t="str">
        <f>$B$19</f>
        <v>Fluazifop-P-butyl</v>
      </c>
      <c r="C532" s="40">
        <f>VLOOKUP(OW_B_additie_hoog06[[#This Row],[Component]],OW_B_additie_hoog01[],2,FALSE)</f>
        <v>144.93599999999998</v>
      </c>
      <c r="D532" s="46"/>
      <c r="E532" s="48"/>
      <c r="F532" s="48"/>
      <c r="G532" s="45"/>
      <c r="H532" s="40" t="str">
        <f t="shared" si="73"/>
        <v/>
      </c>
      <c r="I532" s="32" t="str">
        <f t="shared" si="74"/>
        <v/>
      </c>
    </row>
    <row r="533" spans="2:9" x14ac:dyDescent="0.2">
      <c r="B533" s="12" t="str">
        <f>$B$20</f>
        <v>Fluazinam</v>
      </c>
      <c r="C533" s="40">
        <f>VLOOKUP(OW_B_additie_hoog06[[#This Row],[Component]],OW_B_additie_hoog01[],2,FALSE)</f>
        <v>145.38239999999999</v>
      </c>
      <c r="D533" s="46"/>
      <c r="E533" s="48"/>
      <c r="F533" s="48"/>
      <c r="G533" s="45"/>
      <c r="H533" s="40" t="str">
        <f t="shared" si="73"/>
        <v/>
      </c>
      <c r="I533" s="32" t="str">
        <f t="shared" si="74"/>
        <v/>
      </c>
    </row>
    <row r="534" spans="2:9" x14ac:dyDescent="0.2">
      <c r="B534" s="12" t="str">
        <f>$B$21</f>
        <v>Fludioxonil</v>
      </c>
      <c r="C534" s="40">
        <f>VLOOKUP(OW_B_additie_hoog06[[#This Row],[Component]],OW_B_additie_hoog01[],2,FALSE)</f>
        <v>144.36000000000001</v>
      </c>
      <c r="D534" s="46"/>
      <c r="E534" s="48"/>
      <c r="F534" s="48"/>
      <c r="G534" s="45"/>
      <c r="H534" s="40" t="str">
        <f t="shared" si="73"/>
        <v/>
      </c>
      <c r="I534" s="32" t="str">
        <f t="shared" si="74"/>
        <v/>
      </c>
    </row>
    <row r="535" spans="2:9" x14ac:dyDescent="0.2">
      <c r="B535" s="12" t="str">
        <f>$B$22</f>
        <v>Mesotrione</v>
      </c>
      <c r="C535" s="40">
        <f>VLOOKUP(OW_B_additie_hoog06[[#This Row],[Component]],OW_B_additie_hoog01[],2,FALSE)</f>
        <v>144.9504</v>
      </c>
      <c r="D535" s="46"/>
      <c r="E535" s="48"/>
      <c r="F535" s="48"/>
      <c r="G535" s="45"/>
      <c r="H535" s="40" t="str">
        <f t="shared" si="73"/>
        <v/>
      </c>
      <c r="I535" s="32" t="str">
        <f t="shared" si="74"/>
        <v/>
      </c>
    </row>
    <row r="536" spans="2:9" x14ac:dyDescent="0.2">
      <c r="B536" s="12" t="str">
        <f>$B$23</f>
        <v>Methoxyfenozide</v>
      </c>
      <c r="C536" s="40">
        <f>VLOOKUP(OW_B_additie_hoog06[[#This Row],[Component]],OW_B_additie_hoog01[],2,FALSE)</f>
        <v>144.84960000000001</v>
      </c>
      <c r="D536" s="46"/>
      <c r="E536" s="48"/>
      <c r="F536" s="48"/>
      <c r="G536" s="45"/>
      <c r="H536" s="40" t="str">
        <f t="shared" si="73"/>
        <v/>
      </c>
      <c r="I536" s="32" t="str">
        <f t="shared" si="74"/>
        <v/>
      </c>
    </row>
    <row r="537" spans="2:9" x14ac:dyDescent="0.2">
      <c r="B537" s="12" t="str">
        <f>$B$24</f>
        <v>Oxamyl</v>
      </c>
      <c r="C537" s="40">
        <f>VLOOKUP(OW_B_additie_hoog06[[#This Row],[Component]],OW_B_additie_hoog01[],2,FALSE)</f>
        <v>145.49759999999998</v>
      </c>
      <c r="D537" s="46"/>
      <c r="E537" s="48"/>
      <c r="F537" s="48"/>
      <c r="G537" s="45"/>
      <c r="H537" s="40" t="str">
        <f t="shared" si="73"/>
        <v/>
      </c>
      <c r="I537" s="32" t="str">
        <f t="shared" si="74"/>
        <v/>
      </c>
    </row>
    <row r="538" spans="2:9" x14ac:dyDescent="0.2">
      <c r="B538" s="13" t="str">
        <f>$B$25</f>
        <v>Triallaat</v>
      </c>
      <c r="C538" s="41">
        <f>VLOOKUP(OW_B_additie_hoog06[[#This Row],[Component]],OW_B_additie_hoog01[],2,FALSE)</f>
        <v>143.74080000000001</v>
      </c>
      <c r="D538" s="46"/>
      <c r="E538" s="48"/>
      <c r="F538" s="48"/>
      <c r="G538" s="45"/>
      <c r="H538" s="41" t="str">
        <f t="shared" si="73"/>
        <v/>
      </c>
      <c r="I538" s="32" t="str">
        <f t="shared" si="74"/>
        <v/>
      </c>
    </row>
    <row r="539" spans="2:9" x14ac:dyDescent="0.2">
      <c r="C539" s="42"/>
    </row>
    <row r="540" spans="2:9" ht="20.25" x14ac:dyDescent="0.3">
      <c r="B540" s="8" t="s">
        <v>48</v>
      </c>
      <c r="C540" s="42"/>
    </row>
    <row r="541" spans="2:9" ht="39" thickBot="1" x14ac:dyDescent="0.25">
      <c r="B541" s="15" t="s">
        <v>2</v>
      </c>
      <c r="C541" s="16" t="s">
        <v>3</v>
      </c>
      <c r="D541" s="16" t="s">
        <v>4</v>
      </c>
      <c r="E541" s="16" t="s">
        <v>161</v>
      </c>
      <c r="F541" s="16" t="s">
        <v>162</v>
      </c>
      <c r="G541" s="16" t="s">
        <v>5</v>
      </c>
      <c r="H541" s="43" t="s">
        <v>6</v>
      </c>
      <c r="I541" s="17" t="s">
        <v>7</v>
      </c>
    </row>
    <row r="542" spans="2:9" ht="13.5" thickTop="1" x14ac:dyDescent="0.2">
      <c r="B542" s="14" t="str">
        <f>$B$10</f>
        <v>Amisulbrom</v>
      </c>
      <c r="C542" s="22">
        <f>VLOOKUP(OW_B_additie_hoog07[[#This Row],[Component]],OW_B_additie_hoog01[],2,FALSE)</f>
        <v>144.6336</v>
      </c>
      <c r="D542" s="45"/>
      <c r="E542" s="47"/>
      <c r="F542" s="47"/>
      <c r="G542" s="45"/>
      <c r="H542" s="22" t="str">
        <f t="shared" ref="H542:H557" si="75">IF(G542="","",100*G542/C542)</f>
        <v/>
      </c>
      <c r="I542" s="32" t="str">
        <f t="shared" ref="I542:I557" si="76">IFERROR(MIN(E542,F542)/MAX(E542,F542)*100,"")</f>
        <v/>
      </c>
    </row>
    <row r="543" spans="2:9" x14ac:dyDescent="0.2">
      <c r="B543" s="12" t="str">
        <f>$B$11</f>
        <v>Clothianidine</v>
      </c>
      <c r="C543" s="40">
        <f>VLOOKUP(OW_B_additie_hoog07[[#This Row],[Component]],OW_B_additie_hoog01[],2,FALSE)</f>
        <v>143.16479999999999</v>
      </c>
      <c r="D543" s="46"/>
      <c r="E543" s="48"/>
      <c r="F543" s="48"/>
      <c r="G543" s="45"/>
      <c r="H543" s="40" t="str">
        <f t="shared" si="75"/>
        <v/>
      </c>
      <c r="I543" s="32" t="str">
        <f t="shared" si="76"/>
        <v/>
      </c>
    </row>
    <row r="544" spans="2:9" x14ac:dyDescent="0.2">
      <c r="B544" s="12" t="str">
        <f>$B$12</f>
        <v>Cyazofamide</v>
      </c>
      <c r="C544" s="40">
        <f>VLOOKUP(OW_B_additie_hoog07[[#This Row],[Component]],OW_B_additie_hoog01[],2,FALSE)</f>
        <v>144.05760000000001</v>
      </c>
      <c r="D544" s="46"/>
      <c r="E544" s="48"/>
      <c r="F544" s="48"/>
      <c r="G544" s="45"/>
      <c r="H544" s="40" t="str">
        <f t="shared" si="75"/>
        <v/>
      </c>
      <c r="I544" s="32" t="str">
        <f t="shared" si="76"/>
        <v/>
      </c>
    </row>
    <row r="545" spans="2:9" x14ac:dyDescent="0.2">
      <c r="B545" s="12" t="str">
        <f>$B$13</f>
        <v>Cymoxanil</v>
      </c>
      <c r="C545" s="40">
        <f>VLOOKUP(OW_B_additie_hoog07[[#This Row],[Component]],OW_B_additie_hoog01[],2,FALSE)</f>
        <v>143.69760000000002</v>
      </c>
      <c r="D545" s="46"/>
      <c r="E545" s="48"/>
      <c r="F545" s="48"/>
      <c r="G545" s="45"/>
      <c r="H545" s="40" t="str">
        <f t="shared" si="75"/>
        <v/>
      </c>
      <c r="I545" s="32" t="str">
        <f t="shared" si="76"/>
        <v/>
      </c>
    </row>
    <row r="546" spans="2:9" x14ac:dyDescent="0.2">
      <c r="B546" s="12" t="str">
        <f>$B$14</f>
        <v>Desmedifam</v>
      </c>
      <c r="C546" s="40">
        <f>VLOOKUP(OW_B_additie_hoog07[[#This Row],[Component]],OW_B_additie_hoog01[],2,FALSE)</f>
        <v>144.37440000000004</v>
      </c>
      <c r="D546" s="46"/>
      <c r="E546" s="48"/>
      <c r="F546" s="48"/>
      <c r="G546" s="45"/>
      <c r="H546" s="40" t="str">
        <f t="shared" si="75"/>
        <v/>
      </c>
      <c r="I546" s="32" t="str">
        <f t="shared" si="76"/>
        <v/>
      </c>
    </row>
    <row r="547" spans="2:9" x14ac:dyDescent="0.2">
      <c r="B547" s="12" t="str">
        <f>$B$15</f>
        <v>Fenmedifam</v>
      </c>
      <c r="C547" s="40">
        <f>VLOOKUP(OW_B_additie_hoog07[[#This Row],[Component]],OW_B_additie_hoog01[],2,FALSE)</f>
        <v>143.88479999999998</v>
      </c>
      <c r="D547" s="46"/>
      <c r="E547" s="48"/>
      <c r="F547" s="48"/>
      <c r="G547" s="45"/>
      <c r="H547" s="40" t="str">
        <f t="shared" si="75"/>
        <v/>
      </c>
      <c r="I547" s="32" t="str">
        <f t="shared" si="76"/>
        <v/>
      </c>
    </row>
    <row r="548" spans="2:9" x14ac:dyDescent="0.2">
      <c r="B548" s="12" t="str">
        <f>$B$16</f>
        <v>Fenoxycarb</v>
      </c>
      <c r="C548" s="40">
        <f>VLOOKUP(OW_B_additie_hoog07[[#This Row],[Component]],OW_B_additie_hoog01[],2,FALSE)</f>
        <v>146.9376</v>
      </c>
      <c r="D548" s="46"/>
      <c r="E548" s="48"/>
      <c r="F548" s="48"/>
      <c r="G548" s="45"/>
      <c r="H548" s="40" t="str">
        <f t="shared" si="75"/>
        <v/>
      </c>
      <c r="I548" s="32" t="str">
        <f t="shared" si="76"/>
        <v/>
      </c>
    </row>
    <row r="549" spans="2:9" x14ac:dyDescent="0.2">
      <c r="B549" s="12" t="str">
        <f>$B$17</f>
        <v>Fipronil</v>
      </c>
      <c r="C549" s="40">
        <f>VLOOKUP(OW_B_additie_hoog07[[#This Row],[Component]],OW_B_additie_hoog01[],2,FALSE)</f>
        <v>144.18719999999999</v>
      </c>
      <c r="D549" s="46"/>
      <c r="E549" s="48"/>
      <c r="F549" s="48"/>
      <c r="G549" s="45"/>
      <c r="H549" s="40" t="str">
        <f t="shared" si="75"/>
        <v/>
      </c>
      <c r="I549" s="32" t="str">
        <f t="shared" si="76"/>
        <v/>
      </c>
    </row>
    <row r="550" spans="2:9" x14ac:dyDescent="0.2">
      <c r="B550" s="12" t="str">
        <f>$B$18</f>
        <v>Florasulam</v>
      </c>
      <c r="C550" s="40">
        <f>VLOOKUP(OW_B_additie_hoog07[[#This Row],[Component]],OW_B_additie_hoog01[],2,FALSE)</f>
        <v>144.73440000000005</v>
      </c>
      <c r="D550" s="46"/>
      <c r="E550" s="48"/>
      <c r="F550" s="48"/>
      <c r="G550" s="45"/>
      <c r="H550" s="40" t="str">
        <f t="shared" si="75"/>
        <v/>
      </c>
      <c r="I550" s="32" t="str">
        <f t="shared" si="76"/>
        <v/>
      </c>
    </row>
    <row r="551" spans="2:9" x14ac:dyDescent="0.2">
      <c r="B551" s="12" t="str">
        <f>$B$19</f>
        <v>Fluazifop-P-butyl</v>
      </c>
      <c r="C551" s="40">
        <f>VLOOKUP(OW_B_additie_hoog07[[#This Row],[Component]],OW_B_additie_hoog01[],2,FALSE)</f>
        <v>144.93599999999998</v>
      </c>
      <c r="D551" s="46"/>
      <c r="E551" s="48"/>
      <c r="F551" s="48"/>
      <c r="G551" s="45"/>
      <c r="H551" s="40" t="str">
        <f t="shared" si="75"/>
        <v/>
      </c>
      <c r="I551" s="32" t="str">
        <f t="shared" si="76"/>
        <v/>
      </c>
    </row>
    <row r="552" spans="2:9" x14ac:dyDescent="0.2">
      <c r="B552" s="12" t="str">
        <f>$B$20</f>
        <v>Fluazinam</v>
      </c>
      <c r="C552" s="40">
        <f>VLOOKUP(OW_B_additie_hoog07[[#This Row],[Component]],OW_B_additie_hoog01[],2,FALSE)</f>
        <v>145.38239999999999</v>
      </c>
      <c r="D552" s="46"/>
      <c r="E552" s="48"/>
      <c r="F552" s="48"/>
      <c r="G552" s="45"/>
      <c r="H552" s="40" t="str">
        <f t="shared" si="75"/>
        <v/>
      </c>
      <c r="I552" s="32" t="str">
        <f t="shared" si="76"/>
        <v/>
      </c>
    </row>
    <row r="553" spans="2:9" x14ac:dyDescent="0.2">
      <c r="B553" s="12" t="str">
        <f>$B$21</f>
        <v>Fludioxonil</v>
      </c>
      <c r="C553" s="40">
        <f>VLOOKUP(OW_B_additie_hoog07[[#This Row],[Component]],OW_B_additie_hoog01[],2,FALSE)</f>
        <v>144.36000000000001</v>
      </c>
      <c r="D553" s="46"/>
      <c r="E553" s="48"/>
      <c r="F553" s="48"/>
      <c r="G553" s="45"/>
      <c r="H553" s="40" t="str">
        <f t="shared" si="75"/>
        <v/>
      </c>
      <c r="I553" s="32" t="str">
        <f t="shared" si="76"/>
        <v/>
      </c>
    </row>
    <row r="554" spans="2:9" x14ac:dyDescent="0.2">
      <c r="B554" s="12" t="str">
        <f>$B$22</f>
        <v>Mesotrione</v>
      </c>
      <c r="C554" s="40">
        <f>VLOOKUP(OW_B_additie_hoog07[[#This Row],[Component]],OW_B_additie_hoog01[],2,FALSE)</f>
        <v>144.9504</v>
      </c>
      <c r="D554" s="46"/>
      <c r="E554" s="48"/>
      <c r="F554" s="48"/>
      <c r="G554" s="45"/>
      <c r="H554" s="40" t="str">
        <f t="shared" si="75"/>
        <v/>
      </c>
      <c r="I554" s="32" t="str">
        <f t="shared" si="76"/>
        <v/>
      </c>
    </row>
    <row r="555" spans="2:9" x14ac:dyDescent="0.2">
      <c r="B555" s="12" t="str">
        <f>$B$23</f>
        <v>Methoxyfenozide</v>
      </c>
      <c r="C555" s="40">
        <f>VLOOKUP(OW_B_additie_hoog07[[#This Row],[Component]],OW_B_additie_hoog01[],2,FALSE)</f>
        <v>144.84960000000001</v>
      </c>
      <c r="D555" s="46"/>
      <c r="E555" s="48"/>
      <c r="F555" s="48"/>
      <c r="G555" s="45"/>
      <c r="H555" s="40" t="str">
        <f t="shared" si="75"/>
        <v/>
      </c>
      <c r="I555" s="32" t="str">
        <f t="shared" si="76"/>
        <v/>
      </c>
    </row>
    <row r="556" spans="2:9" x14ac:dyDescent="0.2">
      <c r="B556" s="12" t="str">
        <f>$B$24</f>
        <v>Oxamyl</v>
      </c>
      <c r="C556" s="40">
        <f>VLOOKUP(OW_B_additie_hoog07[[#This Row],[Component]],OW_B_additie_hoog01[],2,FALSE)</f>
        <v>145.49759999999998</v>
      </c>
      <c r="D556" s="46"/>
      <c r="E556" s="48"/>
      <c r="F556" s="48"/>
      <c r="G556" s="45"/>
      <c r="H556" s="40" t="str">
        <f t="shared" si="75"/>
        <v/>
      </c>
      <c r="I556" s="32" t="str">
        <f t="shared" si="76"/>
        <v/>
      </c>
    </row>
    <row r="557" spans="2:9" x14ac:dyDescent="0.2">
      <c r="B557" s="13" t="str">
        <f>$B$25</f>
        <v>Triallaat</v>
      </c>
      <c r="C557" s="41">
        <f>VLOOKUP(OW_B_additie_hoog07[[#This Row],[Component]],OW_B_additie_hoog01[],2,FALSE)</f>
        <v>143.74080000000001</v>
      </c>
      <c r="D557" s="46"/>
      <c r="E557" s="48"/>
      <c r="F557" s="48"/>
      <c r="G557" s="45"/>
      <c r="H557" s="41" t="str">
        <f t="shared" si="75"/>
        <v/>
      </c>
      <c r="I557" s="32" t="str">
        <f t="shared" si="76"/>
        <v/>
      </c>
    </row>
    <row r="558" spans="2:9" x14ac:dyDescent="0.2">
      <c r="C558" s="42"/>
    </row>
    <row r="559" spans="2:9" ht="20.25" x14ac:dyDescent="0.3">
      <c r="B559" s="8" t="s">
        <v>49</v>
      </c>
      <c r="C559" s="42"/>
    </row>
    <row r="560" spans="2:9" ht="39" thickBot="1" x14ac:dyDescent="0.25">
      <c r="B560" s="15" t="s">
        <v>2</v>
      </c>
      <c r="C560" s="16" t="s">
        <v>3</v>
      </c>
      <c r="D560" s="16" t="s">
        <v>4</v>
      </c>
      <c r="E560" s="16" t="s">
        <v>161</v>
      </c>
      <c r="F560" s="16" t="s">
        <v>162</v>
      </c>
      <c r="G560" s="16" t="s">
        <v>5</v>
      </c>
      <c r="H560" s="43" t="s">
        <v>6</v>
      </c>
      <c r="I560" s="17" t="s">
        <v>7</v>
      </c>
    </row>
    <row r="561" spans="2:9" ht="13.5" thickTop="1" x14ac:dyDescent="0.2">
      <c r="B561" s="14" t="str">
        <f>$B$10</f>
        <v>Amisulbrom</v>
      </c>
      <c r="C561" s="22">
        <f>VLOOKUP(OW_B_additie_hoog08[[#This Row],[Component]],OW_B_additie_hoog01[],2,FALSE)</f>
        <v>144.6336</v>
      </c>
      <c r="D561" s="45"/>
      <c r="E561" s="47"/>
      <c r="F561" s="47"/>
      <c r="G561" s="45"/>
      <c r="H561" s="22" t="str">
        <f t="shared" ref="H561:H576" si="77">IF(G561="","",100*G561/C561)</f>
        <v/>
      </c>
      <c r="I561" s="32" t="str">
        <f t="shared" ref="I561:I576" si="78">IFERROR(MIN(E561,F561)/MAX(E561,F561)*100,"")</f>
        <v/>
      </c>
    </row>
    <row r="562" spans="2:9" x14ac:dyDescent="0.2">
      <c r="B562" s="12" t="str">
        <f>$B$11</f>
        <v>Clothianidine</v>
      </c>
      <c r="C562" s="40">
        <f>VLOOKUP(OW_B_additie_hoog08[[#This Row],[Component]],OW_B_additie_hoog01[],2,FALSE)</f>
        <v>143.16479999999999</v>
      </c>
      <c r="D562" s="46"/>
      <c r="E562" s="48"/>
      <c r="F562" s="48"/>
      <c r="G562" s="45"/>
      <c r="H562" s="40" t="str">
        <f t="shared" si="77"/>
        <v/>
      </c>
      <c r="I562" s="32" t="str">
        <f t="shared" si="78"/>
        <v/>
      </c>
    </row>
    <row r="563" spans="2:9" x14ac:dyDescent="0.2">
      <c r="B563" s="12" t="str">
        <f>$B$12</f>
        <v>Cyazofamide</v>
      </c>
      <c r="C563" s="40">
        <f>VLOOKUP(OW_B_additie_hoog08[[#This Row],[Component]],OW_B_additie_hoog01[],2,FALSE)</f>
        <v>144.05760000000001</v>
      </c>
      <c r="D563" s="46"/>
      <c r="E563" s="48"/>
      <c r="F563" s="48"/>
      <c r="G563" s="45"/>
      <c r="H563" s="40" t="str">
        <f t="shared" si="77"/>
        <v/>
      </c>
      <c r="I563" s="32" t="str">
        <f t="shared" si="78"/>
        <v/>
      </c>
    </row>
    <row r="564" spans="2:9" x14ac:dyDescent="0.2">
      <c r="B564" s="12" t="str">
        <f>$B$13</f>
        <v>Cymoxanil</v>
      </c>
      <c r="C564" s="40">
        <f>VLOOKUP(OW_B_additie_hoog08[[#This Row],[Component]],OW_B_additie_hoog01[],2,FALSE)</f>
        <v>143.69760000000002</v>
      </c>
      <c r="D564" s="46"/>
      <c r="E564" s="48"/>
      <c r="F564" s="48"/>
      <c r="G564" s="45"/>
      <c r="H564" s="40" t="str">
        <f t="shared" si="77"/>
        <v/>
      </c>
      <c r="I564" s="32" t="str">
        <f t="shared" si="78"/>
        <v/>
      </c>
    </row>
    <row r="565" spans="2:9" x14ac:dyDescent="0.2">
      <c r="B565" s="12" t="str">
        <f>$B$14</f>
        <v>Desmedifam</v>
      </c>
      <c r="C565" s="40">
        <f>VLOOKUP(OW_B_additie_hoog08[[#This Row],[Component]],OW_B_additie_hoog01[],2,FALSE)</f>
        <v>144.37440000000004</v>
      </c>
      <c r="D565" s="46"/>
      <c r="E565" s="48"/>
      <c r="F565" s="48"/>
      <c r="G565" s="45"/>
      <c r="H565" s="40" t="str">
        <f t="shared" si="77"/>
        <v/>
      </c>
      <c r="I565" s="32" t="str">
        <f t="shared" si="78"/>
        <v/>
      </c>
    </row>
    <row r="566" spans="2:9" x14ac:dyDescent="0.2">
      <c r="B566" s="12" t="str">
        <f>$B$15</f>
        <v>Fenmedifam</v>
      </c>
      <c r="C566" s="40">
        <f>VLOOKUP(OW_B_additie_hoog08[[#This Row],[Component]],OW_B_additie_hoog01[],2,FALSE)</f>
        <v>143.88479999999998</v>
      </c>
      <c r="D566" s="46"/>
      <c r="E566" s="48"/>
      <c r="F566" s="48"/>
      <c r="G566" s="45"/>
      <c r="H566" s="40" t="str">
        <f t="shared" si="77"/>
        <v/>
      </c>
      <c r="I566" s="32" t="str">
        <f t="shared" si="78"/>
        <v/>
      </c>
    </row>
    <row r="567" spans="2:9" x14ac:dyDescent="0.2">
      <c r="B567" s="12" t="str">
        <f>$B$16</f>
        <v>Fenoxycarb</v>
      </c>
      <c r="C567" s="40">
        <f>VLOOKUP(OW_B_additie_hoog08[[#This Row],[Component]],OW_B_additie_hoog01[],2,FALSE)</f>
        <v>146.9376</v>
      </c>
      <c r="D567" s="46"/>
      <c r="E567" s="48"/>
      <c r="F567" s="48"/>
      <c r="G567" s="45"/>
      <c r="H567" s="40" t="str">
        <f t="shared" si="77"/>
        <v/>
      </c>
      <c r="I567" s="32" t="str">
        <f t="shared" si="78"/>
        <v/>
      </c>
    </row>
    <row r="568" spans="2:9" x14ac:dyDescent="0.2">
      <c r="B568" s="12" t="str">
        <f>$B$17</f>
        <v>Fipronil</v>
      </c>
      <c r="C568" s="40">
        <f>VLOOKUP(OW_B_additie_hoog08[[#This Row],[Component]],OW_B_additie_hoog01[],2,FALSE)</f>
        <v>144.18719999999999</v>
      </c>
      <c r="D568" s="46"/>
      <c r="E568" s="48"/>
      <c r="F568" s="48"/>
      <c r="G568" s="45"/>
      <c r="H568" s="40" t="str">
        <f t="shared" si="77"/>
        <v/>
      </c>
      <c r="I568" s="32" t="str">
        <f t="shared" si="78"/>
        <v/>
      </c>
    </row>
    <row r="569" spans="2:9" x14ac:dyDescent="0.2">
      <c r="B569" s="12" t="str">
        <f>$B$18</f>
        <v>Florasulam</v>
      </c>
      <c r="C569" s="40">
        <f>VLOOKUP(OW_B_additie_hoog08[[#This Row],[Component]],OW_B_additie_hoog01[],2,FALSE)</f>
        <v>144.73440000000005</v>
      </c>
      <c r="D569" s="46"/>
      <c r="E569" s="48"/>
      <c r="F569" s="48"/>
      <c r="G569" s="45"/>
      <c r="H569" s="40" t="str">
        <f t="shared" si="77"/>
        <v/>
      </c>
      <c r="I569" s="32" t="str">
        <f t="shared" si="78"/>
        <v/>
      </c>
    </row>
    <row r="570" spans="2:9" x14ac:dyDescent="0.2">
      <c r="B570" s="12" t="str">
        <f>$B$19</f>
        <v>Fluazifop-P-butyl</v>
      </c>
      <c r="C570" s="40">
        <f>VLOOKUP(OW_B_additie_hoog08[[#This Row],[Component]],OW_B_additie_hoog01[],2,FALSE)</f>
        <v>144.93599999999998</v>
      </c>
      <c r="D570" s="46"/>
      <c r="E570" s="48"/>
      <c r="F570" s="48"/>
      <c r="G570" s="45"/>
      <c r="H570" s="40" t="str">
        <f t="shared" si="77"/>
        <v/>
      </c>
      <c r="I570" s="32" t="str">
        <f t="shared" si="78"/>
        <v/>
      </c>
    </row>
    <row r="571" spans="2:9" x14ac:dyDescent="0.2">
      <c r="B571" s="12" t="str">
        <f>$B$20</f>
        <v>Fluazinam</v>
      </c>
      <c r="C571" s="40">
        <f>VLOOKUP(OW_B_additie_hoog08[[#This Row],[Component]],OW_B_additie_hoog01[],2,FALSE)</f>
        <v>145.38239999999999</v>
      </c>
      <c r="D571" s="46"/>
      <c r="E571" s="48"/>
      <c r="F571" s="48"/>
      <c r="G571" s="45"/>
      <c r="H571" s="40" t="str">
        <f t="shared" si="77"/>
        <v/>
      </c>
      <c r="I571" s="32" t="str">
        <f t="shared" si="78"/>
        <v/>
      </c>
    </row>
    <row r="572" spans="2:9" x14ac:dyDescent="0.2">
      <c r="B572" s="12" t="str">
        <f>$B$21</f>
        <v>Fludioxonil</v>
      </c>
      <c r="C572" s="40">
        <f>VLOOKUP(OW_B_additie_hoog08[[#This Row],[Component]],OW_B_additie_hoog01[],2,FALSE)</f>
        <v>144.36000000000001</v>
      </c>
      <c r="D572" s="46"/>
      <c r="E572" s="48"/>
      <c r="F572" s="48"/>
      <c r="G572" s="45"/>
      <c r="H572" s="40" t="str">
        <f t="shared" si="77"/>
        <v/>
      </c>
      <c r="I572" s="32" t="str">
        <f t="shared" si="78"/>
        <v/>
      </c>
    </row>
    <row r="573" spans="2:9" x14ac:dyDescent="0.2">
      <c r="B573" s="12" t="str">
        <f>$B$22</f>
        <v>Mesotrione</v>
      </c>
      <c r="C573" s="40">
        <f>VLOOKUP(OW_B_additie_hoog08[[#This Row],[Component]],OW_B_additie_hoog01[],2,FALSE)</f>
        <v>144.9504</v>
      </c>
      <c r="D573" s="46"/>
      <c r="E573" s="48"/>
      <c r="F573" s="48"/>
      <c r="G573" s="45"/>
      <c r="H573" s="40" t="str">
        <f t="shared" si="77"/>
        <v/>
      </c>
      <c r="I573" s="32" t="str">
        <f t="shared" si="78"/>
        <v/>
      </c>
    </row>
    <row r="574" spans="2:9" x14ac:dyDescent="0.2">
      <c r="B574" s="12" t="str">
        <f>$B$23</f>
        <v>Methoxyfenozide</v>
      </c>
      <c r="C574" s="40">
        <f>VLOOKUP(OW_B_additie_hoog08[[#This Row],[Component]],OW_B_additie_hoog01[],2,FALSE)</f>
        <v>144.84960000000001</v>
      </c>
      <c r="D574" s="46"/>
      <c r="E574" s="48"/>
      <c r="F574" s="48"/>
      <c r="G574" s="45"/>
      <c r="H574" s="40" t="str">
        <f t="shared" si="77"/>
        <v/>
      </c>
      <c r="I574" s="32" t="str">
        <f t="shared" si="78"/>
        <v/>
      </c>
    </row>
    <row r="575" spans="2:9" x14ac:dyDescent="0.2">
      <c r="B575" s="12" t="str">
        <f>$B$24</f>
        <v>Oxamyl</v>
      </c>
      <c r="C575" s="40">
        <f>VLOOKUP(OW_B_additie_hoog08[[#This Row],[Component]],OW_B_additie_hoog01[],2,FALSE)</f>
        <v>145.49759999999998</v>
      </c>
      <c r="D575" s="46"/>
      <c r="E575" s="48"/>
      <c r="F575" s="48"/>
      <c r="G575" s="45"/>
      <c r="H575" s="40" t="str">
        <f t="shared" si="77"/>
        <v/>
      </c>
      <c r="I575" s="32" t="str">
        <f t="shared" si="78"/>
        <v/>
      </c>
    </row>
    <row r="576" spans="2:9" x14ac:dyDescent="0.2">
      <c r="B576" s="13" t="str">
        <f>$B$25</f>
        <v>Triallaat</v>
      </c>
      <c r="C576" s="41">
        <f>VLOOKUP(OW_B_additie_hoog08[[#This Row],[Component]],OW_B_additie_hoog01[],2,FALSE)</f>
        <v>143.74080000000001</v>
      </c>
      <c r="D576" s="46"/>
      <c r="E576" s="48"/>
      <c r="F576" s="48"/>
      <c r="G576" s="45"/>
      <c r="H576" s="41" t="str">
        <f t="shared" si="77"/>
        <v/>
      </c>
      <c r="I576" s="32" t="str">
        <f t="shared" si="78"/>
        <v/>
      </c>
    </row>
    <row r="577" spans="2:9" x14ac:dyDescent="0.2">
      <c r="C577" s="42"/>
    </row>
    <row r="578" spans="2:9" ht="20.25" x14ac:dyDescent="0.3">
      <c r="B578" s="8" t="s">
        <v>75</v>
      </c>
      <c r="C578" s="42"/>
    </row>
    <row r="579" spans="2:9" ht="43.5" customHeight="1" thickBot="1" x14ac:dyDescent="0.25">
      <c r="B579" s="15" t="s">
        <v>2</v>
      </c>
      <c r="C579" s="16" t="s">
        <v>3</v>
      </c>
      <c r="D579" s="16" t="s">
        <v>4</v>
      </c>
      <c r="E579" s="16" t="s">
        <v>161</v>
      </c>
      <c r="F579" s="16" t="s">
        <v>162</v>
      </c>
      <c r="G579" s="16" t="s">
        <v>5</v>
      </c>
      <c r="H579" s="43" t="s">
        <v>6</v>
      </c>
      <c r="I579" s="17" t="s">
        <v>7</v>
      </c>
    </row>
    <row r="580" spans="2:9" ht="13.5" thickTop="1" x14ac:dyDescent="0.2">
      <c r="B580" s="14" t="str">
        <f>$B$10</f>
        <v>Amisulbrom</v>
      </c>
      <c r="C580" s="22">
        <f>VLOOKUP(KAL_standaard_4_02[[#This Row],[Component]],Kalibratie4[],2,FALSE)</f>
        <v>120.52799999999999</v>
      </c>
      <c r="D580" s="45"/>
      <c r="E580" s="47"/>
      <c r="F580" s="47"/>
      <c r="G580" s="45"/>
      <c r="H580" s="22" t="str">
        <f t="shared" ref="H580:H595" si="79">IF(G580="","",100*G580/C580)</f>
        <v/>
      </c>
      <c r="I580" s="32" t="str">
        <f t="shared" ref="I580:I595" si="80">IFERROR(MIN(E580,F580)/MAX(E580,F580)*100,"")</f>
        <v/>
      </c>
    </row>
    <row r="581" spans="2:9" x14ac:dyDescent="0.2">
      <c r="B581" s="12" t="str">
        <f>$B$11</f>
        <v>Clothianidine</v>
      </c>
      <c r="C581" s="40">
        <f>VLOOKUP(KAL_standaard_4_02[[#This Row],[Component]],Kalibratie4[],2,FALSE)</f>
        <v>119.304</v>
      </c>
      <c r="D581" s="46"/>
      <c r="E581" s="48"/>
      <c r="F581" s="48"/>
      <c r="G581" s="45"/>
      <c r="H581" s="40" t="str">
        <f t="shared" si="79"/>
        <v/>
      </c>
      <c r="I581" s="32" t="str">
        <f t="shared" si="80"/>
        <v/>
      </c>
    </row>
    <row r="582" spans="2:9" x14ac:dyDescent="0.2">
      <c r="B582" s="12" t="str">
        <f>$B$12</f>
        <v>Cyazofamide</v>
      </c>
      <c r="C582" s="40">
        <f>VLOOKUP(KAL_standaard_4_02[[#This Row],[Component]],Kalibratie4[],2,FALSE)</f>
        <v>120.04799999999999</v>
      </c>
      <c r="D582" s="46"/>
      <c r="E582" s="48"/>
      <c r="F582" s="48"/>
      <c r="G582" s="45"/>
      <c r="H582" s="40" t="str">
        <f t="shared" si="79"/>
        <v/>
      </c>
      <c r="I582" s="32" t="str">
        <f t="shared" si="80"/>
        <v/>
      </c>
    </row>
    <row r="583" spans="2:9" x14ac:dyDescent="0.2">
      <c r="B583" s="12" t="str">
        <f>$B$13</f>
        <v>Cymoxanil</v>
      </c>
      <c r="C583" s="40">
        <f>VLOOKUP(KAL_standaard_4_02[[#This Row],[Component]],Kalibratie4[],2,FALSE)</f>
        <v>119.74799999999999</v>
      </c>
      <c r="D583" s="46"/>
      <c r="E583" s="48"/>
      <c r="F583" s="48"/>
      <c r="G583" s="45"/>
      <c r="H583" s="40" t="str">
        <f t="shared" si="79"/>
        <v/>
      </c>
      <c r="I583" s="32" t="str">
        <f t="shared" si="80"/>
        <v/>
      </c>
    </row>
    <row r="584" spans="2:9" x14ac:dyDescent="0.2">
      <c r="B584" s="12" t="str">
        <f>$B$14</f>
        <v>Desmedifam</v>
      </c>
      <c r="C584" s="40">
        <f>VLOOKUP(KAL_standaard_4_02[[#This Row],[Component]],Kalibratie4[],2,FALSE)</f>
        <v>120.31200000000004</v>
      </c>
      <c r="D584" s="46"/>
      <c r="E584" s="48"/>
      <c r="F584" s="48"/>
      <c r="G584" s="45"/>
      <c r="H584" s="40" t="str">
        <f t="shared" si="79"/>
        <v/>
      </c>
      <c r="I584" s="32" t="str">
        <f t="shared" si="80"/>
        <v/>
      </c>
    </row>
    <row r="585" spans="2:9" x14ac:dyDescent="0.2">
      <c r="B585" s="12" t="str">
        <f>$B$15</f>
        <v>Fenmedifam</v>
      </c>
      <c r="C585" s="40">
        <f>VLOOKUP(KAL_standaard_4_02[[#This Row],[Component]],Kalibratie4[],2,FALSE)</f>
        <v>119.904</v>
      </c>
      <c r="D585" s="46"/>
      <c r="E585" s="48"/>
      <c r="F585" s="48"/>
      <c r="G585" s="45"/>
      <c r="H585" s="40" t="str">
        <f t="shared" si="79"/>
        <v/>
      </c>
      <c r="I585" s="32" t="str">
        <f t="shared" si="80"/>
        <v/>
      </c>
    </row>
    <row r="586" spans="2:9" x14ac:dyDescent="0.2">
      <c r="B586" s="12" t="str">
        <f>$B$16</f>
        <v>Fenoxycarb</v>
      </c>
      <c r="C586" s="40">
        <f>VLOOKUP(KAL_standaard_4_02[[#This Row],[Component]],Kalibratie4[],2,FALSE)</f>
        <v>122.44800000000001</v>
      </c>
      <c r="D586" s="46"/>
      <c r="E586" s="48"/>
      <c r="F586" s="48"/>
      <c r="G586" s="45"/>
      <c r="H586" s="40" t="str">
        <f t="shared" si="79"/>
        <v/>
      </c>
      <c r="I586" s="32" t="str">
        <f t="shared" si="80"/>
        <v/>
      </c>
    </row>
    <row r="587" spans="2:9" x14ac:dyDescent="0.2">
      <c r="B587" s="12" t="str">
        <f>$B$17</f>
        <v>Fipronil</v>
      </c>
      <c r="C587" s="40">
        <f>VLOOKUP(KAL_standaard_4_02[[#This Row],[Component]],Kalibratie4[],2,FALSE)</f>
        <v>120.15600000000001</v>
      </c>
      <c r="D587" s="46"/>
      <c r="E587" s="48"/>
      <c r="F587" s="48"/>
      <c r="G587" s="45"/>
      <c r="H587" s="40" t="str">
        <f t="shared" si="79"/>
        <v/>
      </c>
      <c r="I587" s="32" t="str">
        <f t="shared" si="80"/>
        <v/>
      </c>
    </row>
    <row r="588" spans="2:9" x14ac:dyDescent="0.2">
      <c r="B588" s="12" t="str">
        <f>$B$18</f>
        <v>Florasulam</v>
      </c>
      <c r="C588" s="40">
        <f>VLOOKUP(KAL_standaard_4_02[[#This Row],[Component]],Kalibratie4[],2,FALSE)</f>
        <v>120.61200000000002</v>
      </c>
      <c r="D588" s="46"/>
      <c r="E588" s="48"/>
      <c r="F588" s="48"/>
      <c r="G588" s="45"/>
      <c r="H588" s="40" t="str">
        <f t="shared" si="79"/>
        <v/>
      </c>
      <c r="I588" s="32" t="str">
        <f t="shared" si="80"/>
        <v/>
      </c>
    </row>
    <row r="589" spans="2:9" x14ac:dyDescent="0.2">
      <c r="B589" s="12" t="str">
        <f>$B$19</f>
        <v>Fluazifop-P-butyl</v>
      </c>
      <c r="C589" s="40">
        <f>VLOOKUP(KAL_standaard_4_02[[#This Row],[Component]],Kalibratie4[],2,FALSE)</f>
        <v>120.78</v>
      </c>
      <c r="D589" s="46"/>
      <c r="E589" s="48"/>
      <c r="F589" s="48"/>
      <c r="G589" s="45"/>
      <c r="H589" s="40" t="str">
        <f t="shared" si="79"/>
        <v/>
      </c>
      <c r="I589" s="32" t="str">
        <f t="shared" si="80"/>
        <v/>
      </c>
    </row>
    <row r="590" spans="2:9" x14ac:dyDescent="0.2">
      <c r="B590" s="12" t="str">
        <f>$B$20</f>
        <v>Fluazinam</v>
      </c>
      <c r="C590" s="40">
        <f>VLOOKUP(KAL_standaard_4_02[[#This Row],[Component]],Kalibratie4[],2,FALSE)</f>
        <v>121.15199999999999</v>
      </c>
      <c r="D590" s="46"/>
      <c r="E590" s="48"/>
      <c r="F590" s="48"/>
      <c r="G590" s="45"/>
      <c r="H590" s="40" t="str">
        <f t="shared" si="79"/>
        <v/>
      </c>
      <c r="I590" s="32" t="str">
        <f t="shared" si="80"/>
        <v/>
      </c>
    </row>
    <row r="591" spans="2:9" x14ac:dyDescent="0.2">
      <c r="B591" s="12" t="str">
        <f>$B$21</f>
        <v>Fludioxonil</v>
      </c>
      <c r="C591" s="40">
        <f>VLOOKUP(KAL_standaard_4_02[[#This Row],[Component]],Kalibratie4[],2,FALSE)</f>
        <v>120.30000000000001</v>
      </c>
      <c r="D591" s="46"/>
      <c r="E591" s="48"/>
      <c r="F591" s="48"/>
      <c r="G591" s="45"/>
      <c r="H591" s="40" t="str">
        <f t="shared" si="79"/>
        <v/>
      </c>
      <c r="I591" s="32" t="str">
        <f t="shared" si="80"/>
        <v/>
      </c>
    </row>
    <row r="592" spans="2:9" x14ac:dyDescent="0.2">
      <c r="B592" s="12" t="str">
        <f>$B$22</f>
        <v>Mesotrione</v>
      </c>
      <c r="C592" s="40">
        <f>VLOOKUP(KAL_standaard_4_02[[#This Row],[Component]],Kalibratie4[],2,FALSE)</f>
        <v>120.79200000000002</v>
      </c>
      <c r="D592" s="46"/>
      <c r="E592" s="48"/>
      <c r="F592" s="48"/>
      <c r="G592" s="45"/>
      <c r="H592" s="40" t="str">
        <f t="shared" si="79"/>
        <v/>
      </c>
      <c r="I592" s="32" t="str">
        <f t="shared" si="80"/>
        <v/>
      </c>
    </row>
    <row r="593" spans="2:9" x14ac:dyDescent="0.2">
      <c r="B593" s="12" t="str">
        <f>$B$23</f>
        <v>Methoxyfenozide</v>
      </c>
      <c r="C593" s="40">
        <f>VLOOKUP(KAL_standaard_4_02[[#This Row],[Component]],Kalibratie4[],2,FALSE)</f>
        <v>120.70800000000001</v>
      </c>
      <c r="D593" s="46"/>
      <c r="E593" s="48"/>
      <c r="F593" s="48"/>
      <c r="G593" s="45"/>
      <c r="H593" s="40" t="str">
        <f t="shared" si="79"/>
        <v/>
      </c>
      <c r="I593" s="32" t="str">
        <f t="shared" si="80"/>
        <v/>
      </c>
    </row>
    <row r="594" spans="2:9" x14ac:dyDescent="0.2">
      <c r="B594" s="12" t="str">
        <f>$B$24</f>
        <v>Oxamyl</v>
      </c>
      <c r="C594" s="40">
        <f>VLOOKUP(KAL_standaard_4_02[[#This Row],[Component]],Kalibratie4[],2,FALSE)</f>
        <v>121.24799999999999</v>
      </c>
      <c r="D594" s="46"/>
      <c r="E594" s="48"/>
      <c r="F594" s="48"/>
      <c r="G594" s="45"/>
      <c r="H594" s="40" t="str">
        <f t="shared" si="79"/>
        <v/>
      </c>
      <c r="I594" s="32" t="str">
        <f t="shared" si="80"/>
        <v/>
      </c>
    </row>
    <row r="595" spans="2:9" x14ac:dyDescent="0.2">
      <c r="B595" s="13" t="str">
        <f>$B$25</f>
        <v>Triallaat</v>
      </c>
      <c r="C595" s="41">
        <f>VLOOKUP(KAL_standaard_4_02[[#This Row],[Component]],Kalibratie4[],2,FALSE)</f>
        <v>119.78400000000003</v>
      </c>
      <c r="D595" s="46"/>
      <c r="E595" s="48"/>
      <c r="F595" s="48"/>
      <c r="G595" s="45"/>
      <c r="H595" s="41" t="str">
        <f t="shared" si="79"/>
        <v/>
      </c>
      <c r="I595" s="32" t="str">
        <f t="shared" si="80"/>
        <v/>
      </c>
    </row>
    <row r="596" spans="2:9" x14ac:dyDescent="0.2">
      <c r="C596" s="42"/>
    </row>
    <row r="597" spans="2:9" ht="20.25" x14ac:dyDescent="0.3">
      <c r="B597" s="8" t="s">
        <v>50</v>
      </c>
      <c r="C597" s="42"/>
    </row>
    <row r="598" spans="2:9" ht="39" thickBot="1" x14ac:dyDescent="0.25">
      <c r="B598" s="15" t="s">
        <v>2</v>
      </c>
      <c r="C598" s="16" t="s">
        <v>3</v>
      </c>
      <c r="D598" s="16" t="s">
        <v>4</v>
      </c>
      <c r="E598" s="16" t="s">
        <v>161</v>
      </c>
      <c r="F598" s="16" t="s">
        <v>162</v>
      </c>
      <c r="G598" s="16" t="s">
        <v>5</v>
      </c>
      <c r="H598" s="43" t="s">
        <v>6</v>
      </c>
      <c r="I598" s="17" t="s">
        <v>7</v>
      </c>
    </row>
    <row r="599" spans="2:9" ht="13.5" thickTop="1" x14ac:dyDescent="0.2">
      <c r="B599" s="14" t="str">
        <f>$B$10</f>
        <v>Amisulbrom</v>
      </c>
      <c r="C599" s="22" t="s">
        <v>9</v>
      </c>
      <c r="D599" s="45"/>
      <c r="E599" s="47"/>
      <c r="F599" s="47"/>
      <c r="G599" s="45"/>
      <c r="H599" s="22" t="s">
        <v>10</v>
      </c>
      <c r="I599" s="32" t="str">
        <f t="shared" ref="I599:I614" si="81">IFERROR(MIN(E599,F599)/MAX(E599,F599)*100,"")</f>
        <v/>
      </c>
    </row>
    <row r="600" spans="2:9" x14ac:dyDescent="0.2">
      <c r="B600" s="12" t="str">
        <f>$B$11</f>
        <v>Clothianidine</v>
      </c>
      <c r="C600" s="40" t="s">
        <v>9</v>
      </c>
      <c r="D600" s="46"/>
      <c r="E600" s="48"/>
      <c r="F600" s="48"/>
      <c r="G600" s="45"/>
      <c r="H600" s="40" t="s">
        <v>10</v>
      </c>
      <c r="I600" s="32" t="str">
        <f t="shared" si="81"/>
        <v/>
      </c>
    </row>
    <row r="601" spans="2:9" x14ac:dyDescent="0.2">
      <c r="B601" s="12" t="str">
        <f>$B$12</f>
        <v>Cyazofamide</v>
      </c>
      <c r="C601" s="40" t="s">
        <v>9</v>
      </c>
      <c r="D601" s="46"/>
      <c r="E601" s="48"/>
      <c r="F601" s="48"/>
      <c r="G601" s="45"/>
      <c r="H601" s="40" t="s">
        <v>10</v>
      </c>
      <c r="I601" s="32" t="str">
        <f t="shared" si="81"/>
        <v/>
      </c>
    </row>
    <row r="602" spans="2:9" x14ac:dyDescent="0.2">
      <c r="B602" s="12" t="str">
        <f>$B$13</f>
        <v>Cymoxanil</v>
      </c>
      <c r="C602" s="40" t="s">
        <v>9</v>
      </c>
      <c r="D602" s="46"/>
      <c r="E602" s="48"/>
      <c r="F602" s="48"/>
      <c r="G602" s="45"/>
      <c r="H602" s="40" t="s">
        <v>10</v>
      </c>
      <c r="I602" s="32" t="str">
        <f t="shared" si="81"/>
        <v/>
      </c>
    </row>
    <row r="603" spans="2:9" x14ac:dyDescent="0.2">
      <c r="B603" s="12" t="str">
        <f>$B$14</f>
        <v>Desmedifam</v>
      </c>
      <c r="C603" s="40" t="s">
        <v>9</v>
      </c>
      <c r="D603" s="46"/>
      <c r="E603" s="48"/>
      <c r="F603" s="48"/>
      <c r="G603" s="45"/>
      <c r="H603" s="40" t="s">
        <v>10</v>
      </c>
      <c r="I603" s="32" t="str">
        <f t="shared" si="81"/>
        <v/>
      </c>
    </row>
    <row r="604" spans="2:9" x14ac:dyDescent="0.2">
      <c r="B604" s="12" t="str">
        <f>$B$15</f>
        <v>Fenmedifam</v>
      </c>
      <c r="C604" s="40" t="s">
        <v>9</v>
      </c>
      <c r="D604" s="46"/>
      <c r="E604" s="48"/>
      <c r="F604" s="48"/>
      <c r="G604" s="45"/>
      <c r="H604" s="40" t="s">
        <v>10</v>
      </c>
      <c r="I604" s="32" t="str">
        <f t="shared" si="81"/>
        <v/>
      </c>
    </row>
    <row r="605" spans="2:9" x14ac:dyDescent="0.2">
      <c r="B605" s="12" t="str">
        <f>$B$16</f>
        <v>Fenoxycarb</v>
      </c>
      <c r="C605" s="40" t="s">
        <v>9</v>
      </c>
      <c r="D605" s="46"/>
      <c r="E605" s="48"/>
      <c r="F605" s="48"/>
      <c r="G605" s="45"/>
      <c r="H605" s="40" t="s">
        <v>10</v>
      </c>
      <c r="I605" s="32" t="str">
        <f t="shared" si="81"/>
        <v/>
      </c>
    </row>
    <row r="606" spans="2:9" x14ac:dyDescent="0.2">
      <c r="B606" s="12" t="str">
        <f>$B$17</f>
        <v>Fipronil</v>
      </c>
      <c r="C606" s="40" t="s">
        <v>9</v>
      </c>
      <c r="D606" s="46"/>
      <c r="E606" s="48"/>
      <c r="F606" s="48"/>
      <c r="G606" s="45"/>
      <c r="H606" s="40" t="s">
        <v>10</v>
      </c>
      <c r="I606" s="32" t="str">
        <f t="shared" si="81"/>
        <v/>
      </c>
    </row>
    <row r="607" spans="2:9" x14ac:dyDescent="0.2">
      <c r="B607" s="12" t="str">
        <f>$B$18</f>
        <v>Florasulam</v>
      </c>
      <c r="C607" s="40" t="s">
        <v>9</v>
      </c>
      <c r="D607" s="46"/>
      <c r="E607" s="48"/>
      <c r="F607" s="48"/>
      <c r="G607" s="45"/>
      <c r="H607" s="40" t="s">
        <v>10</v>
      </c>
      <c r="I607" s="32" t="str">
        <f t="shared" si="81"/>
        <v/>
      </c>
    </row>
    <row r="608" spans="2:9" x14ac:dyDescent="0.2">
      <c r="B608" s="12" t="str">
        <f>$B$19</f>
        <v>Fluazifop-P-butyl</v>
      </c>
      <c r="C608" s="40" t="s">
        <v>9</v>
      </c>
      <c r="D608" s="46"/>
      <c r="E608" s="48"/>
      <c r="F608" s="48"/>
      <c r="G608" s="45"/>
      <c r="H608" s="40" t="s">
        <v>10</v>
      </c>
      <c r="I608" s="32" t="str">
        <f t="shared" si="81"/>
        <v/>
      </c>
    </row>
    <row r="609" spans="2:9" x14ac:dyDescent="0.2">
      <c r="B609" s="12" t="str">
        <f>$B$20</f>
        <v>Fluazinam</v>
      </c>
      <c r="C609" s="40" t="s">
        <v>9</v>
      </c>
      <c r="D609" s="46"/>
      <c r="E609" s="48"/>
      <c r="F609" s="48"/>
      <c r="G609" s="45"/>
      <c r="H609" s="40" t="s">
        <v>10</v>
      </c>
      <c r="I609" s="32" t="str">
        <f t="shared" si="81"/>
        <v/>
      </c>
    </row>
    <row r="610" spans="2:9" x14ac:dyDescent="0.2">
      <c r="B610" s="12" t="str">
        <f>$B$21</f>
        <v>Fludioxonil</v>
      </c>
      <c r="C610" s="40" t="s">
        <v>9</v>
      </c>
      <c r="D610" s="46"/>
      <c r="E610" s="48"/>
      <c r="F610" s="48"/>
      <c r="G610" s="45"/>
      <c r="H610" s="40" t="s">
        <v>10</v>
      </c>
      <c r="I610" s="32" t="str">
        <f t="shared" si="81"/>
        <v/>
      </c>
    </row>
    <row r="611" spans="2:9" x14ac:dyDescent="0.2">
      <c r="B611" s="12" t="str">
        <f>$B$22</f>
        <v>Mesotrione</v>
      </c>
      <c r="C611" s="40" t="s">
        <v>9</v>
      </c>
      <c r="D611" s="46"/>
      <c r="E611" s="48"/>
      <c r="F611" s="48"/>
      <c r="G611" s="45"/>
      <c r="H611" s="40" t="s">
        <v>10</v>
      </c>
      <c r="I611" s="32" t="str">
        <f t="shared" si="81"/>
        <v/>
      </c>
    </row>
    <row r="612" spans="2:9" x14ac:dyDescent="0.2">
      <c r="B612" s="12" t="str">
        <f>$B$23</f>
        <v>Methoxyfenozide</v>
      </c>
      <c r="C612" s="40" t="s">
        <v>9</v>
      </c>
      <c r="D612" s="46"/>
      <c r="E612" s="48"/>
      <c r="F612" s="48"/>
      <c r="G612" s="45"/>
      <c r="H612" s="40" t="s">
        <v>10</v>
      </c>
      <c r="I612" s="32" t="str">
        <f t="shared" si="81"/>
        <v/>
      </c>
    </row>
    <row r="613" spans="2:9" x14ac:dyDescent="0.2">
      <c r="B613" s="12" t="str">
        <f>$B$24</f>
        <v>Oxamyl</v>
      </c>
      <c r="C613" s="40" t="s">
        <v>9</v>
      </c>
      <c r="D613" s="46"/>
      <c r="E613" s="48"/>
      <c r="F613" s="48"/>
      <c r="G613" s="45"/>
      <c r="H613" s="40" t="s">
        <v>10</v>
      </c>
      <c r="I613" s="32" t="str">
        <f t="shared" si="81"/>
        <v/>
      </c>
    </row>
    <row r="614" spans="2:9" x14ac:dyDescent="0.2">
      <c r="B614" s="13" t="str">
        <f>$B$25</f>
        <v>Triallaat</v>
      </c>
      <c r="C614" s="41" t="s">
        <v>9</v>
      </c>
      <c r="D614" s="46"/>
      <c r="E614" s="48"/>
      <c r="F614" s="48"/>
      <c r="G614" s="45"/>
      <c r="H614" s="41" t="s">
        <v>10</v>
      </c>
      <c r="I614" s="32" t="str">
        <f t="shared" si="81"/>
        <v/>
      </c>
    </row>
    <row r="615" spans="2:9" x14ac:dyDescent="0.2">
      <c r="C615" s="42"/>
    </row>
    <row r="616" spans="2:9" ht="20.25" x14ac:dyDescent="0.3">
      <c r="B616" s="8" t="s">
        <v>101</v>
      </c>
      <c r="C616" s="42"/>
    </row>
    <row r="617" spans="2:9" ht="39" thickBot="1" x14ac:dyDescent="0.25">
      <c r="B617" s="15" t="s">
        <v>2</v>
      </c>
      <c r="C617" s="16" t="s">
        <v>3</v>
      </c>
      <c r="D617" s="16" t="s">
        <v>4</v>
      </c>
      <c r="E617" s="16" t="s">
        <v>161</v>
      </c>
      <c r="F617" s="16" t="s">
        <v>162</v>
      </c>
      <c r="G617" s="16" t="s">
        <v>5</v>
      </c>
      <c r="H617" s="43" t="s">
        <v>6</v>
      </c>
      <c r="I617" s="17" t="s">
        <v>7</v>
      </c>
    </row>
    <row r="618" spans="2:9" ht="13.5" thickTop="1" x14ac:dyDescent="0.2">
      <c r="B618" s="14" t="str">
        <f>$B$10</f>
        <v>Amisulbrom</v>
      </c>
      <c r="C618" s="22">
        <f>VLOOKUP(KAL_1_2xvv01[[#This Row],[Component]],Kalibratie1[],2,FALSE)/2</f>
        <v>4.0175999999999998</v>
      </c>
      <c r="D618" s="45"/>
      <c r="E618" s="47"/>
      <c r="F618" s="47"/>
      <c r="G618" s="45"/>
      <c r="H618" s="22" t="str">
        <f>IF(G618="","",100*G618/C618)</f>
        <v/>
      </c>
      <c r="I618" s="32" t="str">
        <f t="shared" ref="I618:I633" si="82">IFERROR(MIN(E618,F618)/MAX(E618,F618)*100,"")</f>
        <v/>
      </c>
    </row>
    <row r="619" spans="2:9" x14ac:dyDescent="0.2">
      <c r="B619" s="12" t="str">
        <f>$B$11</f>
        <v>Clothianidine</v>
      </c>
      <c r="C619" s="40">
        <f>VLOOKUP(KAL_1_2xvv01[[#This Row],[Component]],Kalibratie1[],2,FALSE)/2</f>
        <v>3.9767999999999999</v>
      </c>
      <c r="D619" s="46"/>
      <c r="E619" s="48"/>
      <c r="F619" s="48"/>
      <c r="G619" s="45"/>
      <c r="H619" s="22" t="str">
        <f t="shared" ref="H619:H633" si="83">IF(G619="","",100*G619/C619)</f>
        <v/>
      </c>
      <c r="I619" s="32" t="str">
        <f t="shared" si="82"/>
        <v/>
      </c>
    </row>
    <row r="620" spans="2:9" x14ac:dyDescent="0.2">
      <c r="B620" s="12" t="str">
        <f>$B$12</f>
        <v>Cyazofamide</v>
      </c>
      <c r="C620" s="40">
        <f>VLOOKUP(KAL_1_2xvv01[[#This Row],[Component]],Kalibratie1[],2,FALSE)/2</f>
        <v>4.0015999999999998</v>
      </c>
      <c r="D620" s="46"/>
      <c r="E620" s="48"/>
      <c r="F620" s="48"/>
      <c r="G620" s="45"/>
      <c r="H620" s="22" t="str">
        <f t="shared" si="83"/>
        <v/>
      </c>
      <c r="I620" s="32" t="str">
        <f t="shared" si="82"/>
        <v/>
      </c>
    </row>
    <row r="621" spans="2:9" x14ac:dyDescent="0.2">
      <c r="B621" s="12" t="str">
        <f>$B$13</f>
        <v>Cymoxanil</v>
      </c>
      <c r="C621" s="40">
        <f>VLOOKUP(KAL_1_2xvv01[[#This Row],[Component]],Kalibratie1[],2,FALSE)/2</f>
        <v>3.9916000000000005</v>
      </c>
      <c r="D621" s="46"/>
      <c r="E621" s="48"/>
      <c r="F621" s="48"/>
      <c r="G621" s="45"/>
      <c r="H621" s="22" t="str">
        <f t="shared" si="83"/>
        <v/>
      </c>
      <c r="I621" s="32" t="str">
        <f t="shared" si="82"/>
        <v/>
      </c>
    </row>
    <row r="622" spans="2:9" x14ac:dyDescent="0.2">
      <c r="B622" s="12" t="str">
        <f>$B$14</f>
        <v>Desmedifam</v>
      </c>
      <c r="C622" s="40">
        <f>VLOOKUP(KAL_1_2xvv01[[#This Row],[Component]],Kalibratie1[],2,FALSE)/2</f>
        <v>4.0104000000000006</v>
      </c>
      <c r="D622" s="46"/>
      <c r="E622" s="48"/>
      <c r="F622" s="48"/>
      <c r="G622" s="45"/>
      <c r="H622" s="22" t="str">
        <f t="shared" si="83"/>
        <v/>
      </c>
      <c r="I622" s="32" t="str">
        <f t="shared" si="82"/>
        <v/>
      </c>
    </row>
    <row r="623" spans="2:9" x14ac:dyDescent="0.2">
      <c r="B623" s="12" t="str">
        <f>$B$15</f>
        <v>Fenmedifam</v>
      </c>
      <c r="C623" s="40">
        <f>VLOOKUP(KAL_1_2xvv01[[#This Row],[Component]],Kalibratie1[],2,FALSE)/2</f>
        <v>3.9968000000000008</v>
      </c>
      <c r="D623" s="46"/>
      <c r="E623" s="48"/>
      <c r="F623" s="48"/>
      <c r="G623" s="45"/>
      <c r="H623" s="22" t="str">
        <f t="shared" si="83"/>
        <v/>
      </c>
      <c r="I623" s="32" t="str">
        <f t="shared" si="82"/>
        <v/>
      </c>
    </row>
    <row r="624" spans="2:9" x14ac:dyDescent="0.2">
      <c r="B624" s="12" t="str">
        <f>$B$16</f>
        <v>Fenoxycarb</v>
      </c>
      <c r="C624" s="40">
        <f>VLOOKUP(KAL_1_2xvv01[[#This Row],[Component]],Kalibratie1[],2,FALSE)/2</f>
        <v>4.0815999999999999</v>
      </c>
      <c r="D624" s="46"/>
      <c r="E624" s="48"/>
      <c r="F624" s="48"/>
      <c r="G624" s="45"/>
      <c r="H624" s="22" t="str">
        <f t="shared" si="83"/>
        <v/>
      </c>
      <c r="I624" s="32" t="str">
        <f t="shared" si="82"/>
        <v/>
      </c>
    </row>
    <row r="625" spans="2:9" x14ac:dyDescent="0.2">
      <c r="B625" s="12" t="str">
        <f>$B$17</f>
        <v>Fipronil</v>
      </c>
      <c r="C625" s="40">
        <f>VLOOKUP(KAL_1_2xvv01[[#This Row],[Component]],Kalibratie1[],2,FALSE)/2</f>
        <v>4.0051999999999994</v>
      </c>
      <c r="D625" s="46"/>
      <c r="E625" s="48"/>
      <c r="F625" s="48"/>
      <c r="G625" s="45"/>
      <c r="H625" s="22" t="str">
        <f t="shared" si="83"/>
        <v/>
      </c>
      <c r="I625" s="32" t="str">
        <f t="shared" si="82"/>
        <v/>
      </c>
    </row>
    <row r="626" spans="2:9" x14ac:dyDescent="0.2">
      <c r="B626" s="12" t="str">
        <f>$B$18</f>
        <v>Florasulam</v>
      </c>
      <c r="C626" s="40">
        <f>VLOOKUP(KAL_1_2xvv01[[#This Row],[Component]],Kalibratie1[],2,FALSE)/2</f>
        <v>4.0204000000000004</v>
      </c>
      <c r="D626" s="46"/>
      <c r="E626" s="48"/>
      <c r="F626" s="48"/>
      <c r="G626" s="45"/>
      <c r="H626" s="22" t="str">
        <f t="shared" si="83"/>
        <v/>
      </c>
      <c r="I626" s="32" t="str">
        <f t="shared" si="82"/>
        <v/>
      </c>
    </row>
    <row r="627" spans="2:9" x14ac:dyDescent="0.2">
      <c r="B627" s="12" t="str">
        <f>$B$19</f>
        <v>Fluazifop-P-butyl</v>
      </c>
      <c r="C627" s="40">
        <f>VLOOKUP(KAL_1_2xvv01[[#This Row],[Component]],Kalibratie1[],2,FALSE)/2</f>
        <v>4.0259999999999998</v>
      </c>
      <c r="D627" s="46"/>
      <c r="E627" s="48"/>
      <c r="F627" s="48"/>
      <c r="G627" s="45"/>
      <c r="H627" s="22" t="str">
        <f t="shared" si="83"/>
        <v/>
      </c>
      <c r="I627" s="32" t="str">
        <f t="shared" si="82"/>
        <v/>
      </c>
    </row>
    <row r="628" spans="2:9" x14ac:dyDescent="0.2">
      <c r="B628" s="12" t="str">
        <f>$B$20</f>
        <v>Fluazinam</v>
      </c>
      <c r="C628" s="40">
        <f>VLOOKUP(KAL_1_2xvv01[[#This Row],[Component]],Kalibratie1[],2,FALSE)/2</f>
        <v>4.0383999999999993</v>
      </c>
      <c r="D628" s="46"/>
      <c r="E628" s="48"/>
      <c r="F628" s="48"/>
      <c r="G628" s="45"/>
      <c r="H628" s="22" t="str">
        <f t="shared" si="83"/>
        <v/>
      </c>
      <c r="I628" s="32" t="str">
        <f t="shared" si="82"/>
        <v/>
      </c>
    </row>
    <row r="629" spans="2:9" x14ac:dyDescent="0.2">
      <c r="B629" s="12" t="str">
        <f>$B$21</f>
        <v>Fludioxonil</v>
      </c>
      <c r="C629" s="40">
        <f>VLOOKUP(KAL_1_2xvv01[[#This Row],[Component]],Kalibratie1[],2,FALSE)/2</f>
        <v>4.01</v>
      </c>
      <c r="D629" s="46"/>
      <c r="E629" s="48"/>
      <c r="F629" s="48"/>
      <c r="G629" s="45"/>
      <c r="H629" s="22" t="str">
        <f t="shared" si="83"/>
        <v/>
      </c>
      <c r="I629" s="32" t="str">
        <f t="shared" si="82"/>
        <v/>
      </c>
    </row>
    <row r="630" spans="2:9" x14ac:dyDescent="0.2">
      <c r="B630" s="12" t="str">
        <f>$B$22</f>
        <v>Mesotrione</v>
      </c>
      <c r="C630" s="40">
        <f>VLOOKUP(KAL_1_2xvv01[[#This Row],[Component]],Kalibratie1[],2,FALSE)/2</f>
        <v>4.0263999999999998</v>
      </c>
      <c r="D630" s="46"/>
      <c r="E630" s="48"/>
      <c r="F630" s="48"/>
      <c r="G630" s="45"/>
      <c r="H630" s="22" t="str">
        <f t="shared" si="83"/>
        <v/>
      </c>
      <c r="I630" s="32" t="str">
        <f t="shared" si="82"/>
        <v/>
      </c>
    </row>
    <row r="631" spans="2:9" x14ac:dyDescent="0.2">
      <c r="B631" s="12" t="str">
        <f>$B$23</f>
        <v>Methoxyfenozide</v>
      </c>
      <c r="C631" s="40">
        <f>VLOOKUP(KAL_1_2xvv01[[#This Row],[Component]],Kalibratie1[],2,FALSE)/2</f>
        <v>4.0236000000000001</v>
      </c>
      <c r="D631" s="46"/>
      <c r="E631" s="48"/>
      <c r="F631" s="48"/>
      <c r="G631" s="45"/>
      <c r="H631" s="22" t="str">
        <f t="shared" si="83"/>
        <v/>
      </c>
      <c r="I631" s="32" t="str">
        <f t="shared" si="82"/>
        <v/>
      </c>
    </row>
    <row r="632" spans="2:9" x14ac:dyDescent="0.2">
      <c r="B632" s="12" t="str">
        <f>$B$24</f>
        <v>Oxamyl</v>
      </c>
      <c r="C632" s="40">
        <f>VLOOKUP(KAL_1_2xvv01[[#This Row],[Component]],Kalibratie1[],2,FALSE)/2</f>
        <v>4.0415999999999999</v>
      </c>
      <c r="D632" s="46"/>
      <c r="E632" s="48"/>
      <c r="F632" s="48"/>
      <c r="G632" s="45"/>
      <c r="H632" s="22" t="str">
        <f t="shared" si="83"/>
        <v/>
      </c>
      <c r="I632" s="32" t="str">
        <f t="shared" si="82"/>
        <v/>
      </c>
    </row>
    <row r="633" spans="2:9" x14ac:dyDescent="0.2">
      <c r="B633" s="13" t="str">
        <f>$B$25</f>
        <v>Triallaat</v>
      </c>
      <c r="C633" s="41">
        <f>VLOOKUP(KAL_1_2xvv01[[#This Row],[Component]],Kalibratie1[],2,FALSE)/2</f>
        <v>3.9928000000000003</v>
      </c>
      <c r="D633" s="46"/>
      <c r="E633" s="48"/>
      <c r="F633" s="48"/>
      <c r="G633" s="45"/>
      <c r="H633" s="22" t="str">
        <f t="shared" si="83"/>
        <v/>
      </c>
      <c r="I633" s="32" t="str">
        <f t="shared" si="82"/>
        <v/>
      </c>
    </row>
    <row r="634" spans="2:9" x14ac:dyDescent="0.2">
      <c r="C634" s="42"/>
    </row>
    <row r="635" spans="2:9" ht="20.25" x14ac:dyDescent="0.3">
      <c r="B635" s="8" t="s">
        <v>102</v>
      </c>
      <c r="C635" s="42"/>
    </row>
    <row r="636" spans="2:9" ht="39" thickBot="1" x14ac:dyDescent="0.25">
      <c r="B636" s="15" t="s">
        <v>2</v>
      </c>
      <c r="C636" s="16" t="s">
        <v>3</v>
      </c>
      <c r="D636" s="16" t="s">
        <v>4</v>
      </c>
      <c r="E636" s="16" t="s">
        <v>161</v>
      </c>
      <c r="F636" s="16" t="s">
        <v>162</v>
      </c>
      <c r="G636" s="16" t="s">
        <v>5</v>
      </c>
      <c r="H636" s="43" t="s">
        <v>6</v>
      </c>
      <c r="I636" s="17" t="s">
        <v>7</v>
      </c>
    </row>
    <row r="637" spans="2:9" ht="13.5" thickTop="1" x14ac:dyDescent="0.2">
      <c r="B637" s="14" t="str">
        <f>$B$10</f>
        <v>Amisulbrom</v>
      </c>
      <c r="C637" s="22">
        <f>VLOOKUP(KAL_1_5xvv01[[#This Row],[Component]],Kalibratie1[],2,FALSE)/5</f>
        <v>1.60704</v>
      </c>
      <c r="D637" s="45"/>
      <c r="E637" s="47"/>
      <c r="F637" s="47"/>
      <c r="G637" s="45"/>
      <c r="H637" s="22" t="str">
        <f>IF(G637="","",100*G637/C637)</f>
        <v/>
      </c>
      <c r="I637" s="32" t="str">
        <f t="shared" ref="I637:I652" si="84">IFERROR(MIN(E637,F637)/MAX(E637,F637)*100,"")</f>
        <v/>
      </c>
    </row>
    <row r="638" spans="2:9" x14ac:dyDescent="0.2">
      <c r="B638" s="12" t="str">
        <f>$B$11</f>
        <v>Clothianidine</v>
      </c>
      <c r="C638" s="40">
        <f>VLOOKUP(KAL_1_5xvv01[[#This Row],[Component]],Kalibratie1[],2,FALSE)/5</f>
        <v>1.5907199999999999</v>
      </c>
      <c r="D638" s="46"/>
      <c r="E638" s="48"/>
      <c r="F638" s="48"/>
      <c r="G638" s="45"/>
      <c r="H638" s="40" t="str">
        <f t="shared" ref="H638:H652" si="85">IF(G638="","",100*G638/C638)</f>
        <v/>
      </c>
      <c r="I638" s="32" t="str">
        <f t="shared" si="84"/>
        <v/>
      </c>
    </row>
    <row r="639" spans="2:9" x14ac:dyDescent="0.2">
      <c r="B639" s="12" t="str">
        <f>$B$12</f>
        <v>Cyazofamide</v>
      </c>
      <c r="C639" s="40">
        <f>VLOOKUP(KAL_1_5xvv01[[#This Row],[Component]],Kalibratie1[],2,FALSE)/5</f>
        <v>1.6006399999999998</v>
      </c>
      <c r="D639" s="46"/>
      <c r="E639" s="48"/>
      <c r="F639" s="48"/>
      <c r="G639" s="45"/>
      <c r="H639" s="40" t="str">
        <f t="shared" si="85"/>
        <v/>
      </c>
      <c r="I639" s="32" t="str">
        <f t="shared" si="84"/>
        <v/>
      </c>
    </row>
    <row r="640" spans="2:9" x14ac:dyDescent="0.2">
      <c r="B640" s="12" t="str">
        <f>$B$13</f>
        <v>Cymoxanil</v>
      </c>
      <c r="C640" s="40">
        <f>VLOOKUP(KAL_1_5xvv01[[#This Row],[Component]],Kalibratie1[],2,FALSE)/5</f>
        <v>1.5966400000000003</v>
      </c>
      <c r="D640" s="46"/>
      <c r="E640" s="48"/>
      <c r="F640" s="48"/>
      <c r="G640" s="45"/>
      <c r="H640" s="40" t="str">
        <f t="shared" si="85"/>
        <v/>
      </c>
      <c r="I640" s="32" t="str">
        <f t="shared" si="84"/>
        <v/>
      </c>
    </row>
    <row r="641" spans="2:9" x14ac:dyDescent="0.2">
      <c r="B641" s="12" t="str">
        <f>$B$14</f>
        <v>Desmedifam</v>
      </c>
      <c r="C641" s="40">
        <f>VLOOKUP(KAL_1_5xvv01[[#This Row],[Component]],Kalibratie1[],2,FALSE)/5</f>
        <v>1.6041600000000003</v>
      </c>
      <c r="D641" s="46"/>
      <c r="E641" s="48"/>
      <c r="F641" s="48"/>
      <c r="G641" s="45"/>
      <c r="H641" s="40" t="str">
        <f t="shared" si="85"/>
        <v/>
      </c>
      <c r="I641" s="32" t="str">
        <f t="shared" si="84"/>
        <v/>
      </c>
    </row>
    <row r="642" spans="2:9" x14ac:dyDescent="0.2">
      <c r="B642" s="12" t="str">
        <f>$B$15</f>
        <v>Fenmedifam</v>
      </c>
      <c r="C642" s="40">
        <f>VLOOKUP(KAL_1_5xvv01[[#This Row],[Component]],Kalibratie1[],2,FALSE)/5</f>
        <v>1.5987200000000004</v>
      </c>
      <c r="D642" s="46"/>
      <c r="E642" s="48"/>
      <c r="F642" s="48"/>
      <c r="G642" s="45"/>
      <c r="H642" s="40" t="str">
        <f t="shared" si="85"/>
        <v/>
      </c>
      <c r="I642" s="32" t="str">
        <f t="shared" si="84"/>
        <v/>
      </c>
    </row>
    <row r="643" spans="2:9" x14ac:dyDescent="0.2">
      <c r="B643" s="12" t="str">
        <f>$B$16</f>
        <v>Fenoxycarb</v>
      </c>
      <c r="C643" s="40">
        <f>VLOOKUP(KAL_1_5xvv01[[#This Row],[Component]],Kalibratie1[],2,FALSE)/5</f>
        <v>1.6326399999999999</v>
      </c>
      <c r="D643" s="46"/>
      <c r="E643" s="48"/>
      <c r="F643" s="48"/>
      <c r="G643" s="45"/>
      <c r="H643" s="40" t="str">
        <f t="shared" si="85"/>
        <v/>
      </c>
      <c r="I643" s="32" t="str">
        <f t="shared" si="84"/>
        <v/>
      </c>
    </row>
    <row r="644" spans="2:9" x14ac:dyDescent="0.2">
      <c r="B644" s="12" t="str">
        <f>$B$17</f>
        <v>Fipronil</v>
      </c>
      <c r="C644" s="40">
        <f>VLOOKUP(KAL_1_5xvv01[[#This Row],[Component]],Kalibratie1[],2,FALSE)/5</f>
        <v>1.6020799999999997</v>
      </c>
      <c r="D644" s="46"/>
      <c r="E644" s="48"/>
      <c r="F644" s="48"/>
      <c r="G644" s="45"/>
      <c r="H644" s="40" t="str">
        <f t="shared" si="85"/>
        <v/>
      </c>
      <c r="I644" s="32" t="str">
        <f t="shared" si="84"/>
        <v/>
      </c>
    </row>
    <row r="645" spans="2:9" x14ac:dyDescent="0.2">
      <c r="B645" s="12" t="str">
        <f>$B$18</f>
        <v>Florasulam</v>
      </c>
      <c r="C645" s="40">
        <f>VLOOKUP(KAL_1_5xvv01[[#This Row],[Component]],Kalibratie1[],2,FALSE)/5</f>
        <v>1.6081600000000003</v>
      </c>
      <c r="D645" s="46"/>
      <c r="E645" s="48"/>
      <c r="F645" s="48"/>
      <c r="G645" s="45"/>
      <c r="H645" s="40" t="str">
        <f t="shared" si="85"/>
        <v/>
      </c>
      <c r="I645" s="32" t="str">
        <f t="shared" si="84"/>
        <v/>
      </c>
    </row>
    <row r="646" spans="2:9" x14ac:dyDescent="0.2">
      <c r="B646" s="12" t="str">
        <f>$B$19</f>
        <v>Fluazifop-P-butyl</v>
      </c>
      <c r="C646" s="40">
        <f>VLOOKUP(KAL_1_5xvv01[[#This Row],[Component]],Kalibratie1[],2,FALSE)/5</f>
        <v>1.6103999999999998</v>
      </c>
      <c r="D646" s="46"/>
      <c r="E646" s="48"/>
      <c r="F646" s="48"/>
      <c r="G646" s="45"/>
      <c r="H646" s="40" t="str">
        <f t="shared" si="85"/>
        <v/>
      </c>
      <c r="I646" s="32" t="str">
        <f t="shared" si="84"/>
        <v/>
      </c>
    </row>
    <row r="647" spans="2:9" x14ac:dyDescent="0.2">
      <c r="B647" s="12" t="str">
        <f>$B$20</f>
        <v>Fluazinam</v>
      </c>
      <c r="C647" s="40">
        <f>VLOOKUP(KAL_1_5xvv01[[#This Row],[Component]],Kalibratie1[],2,FALSE)/5</f>
        <v>1.6153599999999997</v>
      </c>
      <c r="D647" s="46"/>
      <c r="E647" s="48"/>
      <c r="F647" s="48"/>
      <c r="G647" s="45"/>
      <c r="H647" s="40" t="str">
        <f t="shared" si="85"/>
        <v/>
      </c>
      <c r="I647" s="32" t="str">
        <f t="shared" si="84"/>
        <v/>
      </c>
    </row>
    <row r="648" spans="2:9" x14ac:dyDescent="0.2">
      <c r="B648" s="12" t="str">
        <f>$B$21</f>
        <v>Fludioxonil</v>
      </c>
      <c r="C648" s="40">
        <f>VLOOKUP(KAL_1_5xvv01[[#This Row],[Component]],Kalibratie1[],2,FALSE)/5</f>
        <v>1.6039999999999999</v>
      </c>
      <c r="D648" s="46"/>
      <c r="E648" s="48"/>
      <c r="F648" s="48"/>
      <c r="G648" s="45"/>
      <c r="H648" s="40" t="str">
        <f t="shared" si="85"/>
        <v/>
      </c>
      <c r="I648" s="32" t="str">
        <f t="shared" si="84"/>
        <v/>
      </c>
    </row>
    <row r="649" spans="2:9" x14ac:dyDescent="0.2">
      <c r="B649" s="12" t="str">
        <f>$B$22</f>
        <v>Mesotrione</v>
      </c>
      <c r="C649" s="40">
        <f>VLOOKUP(KAL_1_5xvv01[[#This Row],[Component]],Kalibratie1[],2,FALSE)/5</f>
        <v>1.61056</v>
      </c>
      <c r="D649" s="46"/>
      <c r="E649" s="48"/>
      <c r="F649" s="48"/>
      <c r="G649" s="45"/>
      <c r="H649" s="40" t="str">
        <f t="shared" si="85"/>
        <v/>
      </c>
      <c r="I649" s="32" t="str">
        <f t="shared" si="84"/>
        <v/>
      </c>
    </row>
    <row r="650" spans="2:9" x14ac:dyDescent="0.2">
      <c r="B650" s="12" t="str">
        <f>$B$23</f>
        <v>Methoxyfenozide</v>
      </c>
      <c r="C650" s="40">
        <f>VLOOKUP(KAL_1_5xvv01[[#This Row],[Component]],Kalibratie1[],2,FALSE)/5</f>
        <v>1.60944</v>
      </c>
      <c r="D650" s="46"/>
      <c r="E650" s="48"/>
      <c r="F650" s="48"/>
      <c r="G650" s="45"/>
      <c r="H650" s="40" t="str">
        <f t="shared" si="85"/>
        <v/>
      </c>
      <c r="I650" s="32" t="str">
        <f t="shared" si="84"/>
        <v/>
      </c>
    </row>
    <row r="651" spans="2:9" x14ac:dyDescent="0.2">
      <c r="B651" s="12" t="str">
        <f>$B$24</f>
        <v>Oxamyl</v>
      </c>
      <c r="C651" s="40">
        <f>VLOOKUP(KAL_1_5xvv01[[#This Row],[Component]],Kalibratie1[],2,FALSE)/5</f>
        <v>1.6166399999999999</v>
      </c>
      <c r="D651" s="46"/>
      <c r="E651" s="48"/>
      <c r="F651" s="48"/>
      <c r="G651" s="45"/>
      <c r="H651" s="40" t="str">
        <f t="shared" si="85"/>
        <v/>
      </c>
      <c r="I651" s="32" t="str">
        <f t="shared" si="84"/>
        <v/>
      </c>
    </row>
    <row r="652" spans="2:9" x14ac:dyDescent="0.2">
      <c r="B652" s="13" t="str">
        <f>$B$25</f>
        <v>Triallaat</v>
      </c>
      <c r="C652" s="41">
        <f>VLOOKUP(KAL_1_5xvv01[[#This Row],[Component]],Kalibratie1[],2,FALSE)/5</f>
        <v>1.5971200000000001</v>
      </c>
      <c r="D652" s="46"/>
      <c r="E652" s="48"/>
      <c r="F652" s="48"/>
      <c r="G652" s="45"/>
      <c r="H652" s="41" t="str">
        <f t="shared" si="85"/>
        <v/>
      </c>
      <c r="I652" s="32" t="str">
        <f t="shared" si="84"/>
        <v/>
      </c>
    </row>
    <row r="653" spans="2:9" x14ac:dyDescent="0.2">
      <c r="C653" s="42"/>
    </row>
    <row r="654" spans="2:9" ht="20.25" x14ac:dyDescent="0.3">
      <c r="B654" s="8" t="s">
        <v>74</v>
      </c>
      <c r="C654" s="42"/>
    </row>
    <row r="655" spans="2:9" ht="39" thickBot="1" x14ac:dyDescent="0.25">
      <c r="B655" s="15" t="s">
        <v>2</v>
      </c>
      <c r="C655" s="16" t="s">
        <v>3</v>
      </c>
      <c r="D655" s="16" t="s">
        <v>4</v>
      </c>
      <c r="E655" s="16" t="s">
        <v>161</v>
      </c>
      <c r="F655" s="16" t="s">
        <v>162</v>
      </c>
      <c r="G655" s="16" t="s">
        <v>5</v>
      </c>
      <c r="H655" s="43" t="s">
        <v>6</v>
      </c>
      <c r="I655" s="17" t="s">
        <v>7</v>
      </c>
    </row>
    <row r="656" spans="2:9" ht="13.5" thickTop="1" x14ac:dyDescent="0.2">
      <c r="B656" s="14" t="str">
        <f>$B$10</f>
        <v>Amisulbrom</v>
      </c>
      <c r="C656" s="22">
        <f>VLOOKUP(KAL_standaard_4_03[[#This Row],[Component]],Kalibratie4[],2,FALSE)</f>
        <v>120.52799999999999</v>
      </c>
      <c r="D656" s="45"/>
      <c r="E656" s="47"/>
      <c r="F656" s="47"/>
      <c r="G656" s="45"/>
      <c r="H656" s="22" t="str">
        <f t="shared" ref="H656:H671" si="86">IF(G656="","",100*G656/C656)</f>
        <v/>
      </c>
      <c r="I656" s="32" t="str">
        <f t="shared" ref="I656:I671" si="87">IFERROR(MIN(E656,F656)/MAX(E656,F656)*100,"")</f>
        <v/>
      </c>
    </row>
    <row r="657" spans="2:9" x14ac:dyDescent="0.2">
      <c r="B657" s="12" t="str">
        <f>$B$11</f>
        <v>Clothianidine</v>
      </c>
      <c r="C657" s="40">
        <f>VLOOKUP(KAL_standaard_4_03[[#This Row],[Component]],Kalibratie4[],2,FALSE)</f>
        <v>119.304</v>
      </c>
      <c r="D657" s="46"/>
      <c r="E657" s="48"/>
      <c r="F657" s="48"/>
      <c r="G657" s="45"/>
      <c r="H657" s="40" t="str">
        <f t="shared" si="86"/>
        <v/>
      </c>
      <c r="I657" s="32" t="str">
        <f t="shared" si="87"/>
        <v/>
      </c>
    </row>
    <row r="658" spans="2:9" x14ac:dyDescent="0.2">
      <c r="B658" s="12" t="str">
        <f>$B$12</f>
        <v>Cyazofamide</v>
      </c>
      <c r="C658" s="40">
        <f>VLOOKUP(KAL_standaard_4_03[[#This Row],[Component]],Kalibratie4[],2,FALSE)</f>
        <v>120.04799999999999</v>
      </c>
      <c r="D658" s="46"/>
      <c r="E658" s="48"/>
      <c r="F658" s="48"/>
      <c r="G658" s="45"/>
      <c r="H658" s="40" t="str">
        <f t="shared" si="86"/>
        <v/>
      </c>
      <c r="I658" s="32" t="str">
        <f t="shared" si="87"/>
        <v/>
      </c>
    </row>
    <row r="659" spans="2:9" x14ac:dyDescent="0.2">
      <c r="B659" s="12" t="str">
        <f>$B$13</f>
        <v>Cymoxanil</v>
      </c>
      <c r="C659" s="40">
        <f>VLOOKUP(KAL_standaard_4_03[[#This Row],[Component]],Kalibratie4[],2,FALSE)</f>
        <v>119.74799999999999</v>
      </c>
      <c r="D659" s="46"/>
      <c r="E659" s="48"/>
      <c r="F659" s="48"/>
      <c r="G659" s="45"/>
      <c r="H659" s="40" t="str">
        <f t="shared" si="86"/>
        <v/>
      </c>
      <c r="I659" s="32" t="str">
        <f t="shared" si="87"/>
        <v/>
      </c>
    </row>
    <row r="660" spans="2:9" x14ac:dyDescent="0.2">
      <c r="B660" s="12" t="str">
        <f>$B$14</f>
        <v>Desmedifam</v>
      </c>
      <c r="C660" s="40">
        <f>VLOOKUP(KAL_standaard_4_03[[#This Row],[Component]],Kalibratie4[],2,FALSE)</f>
        <v>120.31200000000004</v>
      </c>
      <c r="D660" s="46"/>
      <c r="E660" s="48"/>
      <c r="F660" s="48"/>
      <c r="G660" s="45"/>
      <c r="H660" s="40" t="str">
        <f t="shared" si="86"/>
        <v/>
      </c>
      <c r="I660" s="32" t="str">
        <f t="shared" si="87"/>
        <v/>
      </c>
    </row>
    <row r="661" spans="2:9" x14ac:dyDescent="0.2">
      <c r="B661" s="12" t="str">
        <f>$B$15</f>
        <v>Fenmedifam</v>
      </c>
      <c r="C661" s="40">
        <f>VLOOKUP(KAL_standaard_4_03[[#This Row],[Component]],Kalibratie4[],2,FALSE)</f>
        <v>119.904</v>
      </c>
      <c r="D661" s="46"/>
      <c r="E661" s="48"/>
      <c r="F661" s="48"/>
      <c r="G661" s="45"/>
      <c r="H661" s="40" t="str">
        <f t="shared" si="86"/>
        <v/>
      </c>
      <c r="I661" s="32" t="str">
        <f t="shared" si="87"/>
        <v/>
      </c>
    </row>
    <row r="662" spans="2:9" x14ac:dyDescent="0.2">
      <c r="B662" s="12" t="str">
        <f>$B$16</f>
        <v>Fenoxycarb</v>
      </c>
      <c r="C662" s="40">
        <f>VLOOKUP(KAL_standaard_4_03[[#This Row],[Component]],Kalibratie4[],2,FALSE)</f>
        <v>122.44800000000001</v>
      </c>
      <c r="D662" s="46"/>
      <c r="E662" s="48"/>
      <c r="F662" s="48"/>
      <c r="G662" s="45"/>
      <c r="H662" s="40" t="str">
        <f t="shared" si="86"/>
        <v/>
      </c>
      <c r="I662" s="32" t="str">
        <f t="shared" si="87"/>
        <v/>
      </c>
    </row>
    <row r="663" spans="2:9" x14ac:dyDescent="0.2">
      <c r="B663" s="12" t="str">
        <f>$B$17</f>
        <v>Fipronil</v>
      </c>
      <c r="C663" s="40">
        <f>VLOOKUP(KAL_standaard_4_03[[#This Row],[Component]],Kalibratie4[],2,FALSE)</f>
        <v>120.15600000000001</v>
      </c>
      <c r="D663" s="46"/>
      <c r="E663" s="48"/>
      <c r="F663" s="48"/>
      <c r="G663" s="45"/>
      <c r="H663" s="40" t="str">
        <f t="shared" si="86"/>
        <v/>
      </c>
      <c r="I663" s="32" t="str">
        <f t="shared" si="87"/>
        <v/>
      </c>
    </row>
    <row r="664" spans="2:9" x14ac:dyDescent="0.2">
      <c r="B664" s="12" t="str">
        <f>$B$18</f>
        <v>Florasulam</v>
      </c>
      <c r="C664" s="40">
        <f>VLOOKUP(KAL_standaard_4_03[[#This Row],[Component]],Kalibratie4[],2,FALSE)</f>
        <v>120.61200000000002</v>
      </c>
      <c r="D664" s="46"/>
      <c r="E664" s="48"/>
      <c r="F664" s="48"/>
      <c r="G664" s="45"/>
      <c r="H664" s="40" t="str">
        <f t="shared" si="86"/>
        <v/>
      </c>
      <c r="I664" s="32" t="str">
        <f t="shared" si="87"/>
        <v/>
      </c>
    </row>
    <row r="665" spans="2:9" x14ac:dyDescent="0.2">
      <c r="B665" s="12" t="str">
        <f>$B$19</f>
        <v>Fluazifop-P-butyl</v>
      </c>
      <c r="C665" s="40">
        <f>VLOOKUP(KAL_standaard_4_03[[#This Row],[Component]],Kalibratie4[],2,FALSE)</f>
        <v>120.78</v>
      </c>
      <c r="D665" s="46"/>
      <c r="E665" s="48"/>
      <c r="F665" s="48"/>
      <c r="G665" s="45"/>
      <c r="H665" s="40" t="str">
        <f t="shared" si="86"/>
        <v/>
      </c>
      <c r="I665" s="32" t="str">
        <f t="shared" si="87"/>
        <v/>
      </c>
    </row>
    <row r="666" spans="2:9" x14ac:dyDescent="0.2">
      <c r="B666" s="12" t="str">
        <f>$B$20</f>
        <v>Fluazinam</v>
      </c>
      <c r="C666" s="40">
        <f>VLOOKUP(KAL_standaard_4_03[[#This Row],[Component]],Kalibratie4[],2,FALSE)</f>
        <v>121.15199999999999</v>
      </c>
      <c r="D666" s="46"/>
      <c r="E666" s="48"/>
      <c r="F666" s="48"/>
      <c r="G666" s="45"/>
      <c r="H666" s="40" t="str">
        <f t="shared" si="86"/>
        <v/>
      </c>
      <c r="I666" s="32" t="str">
        <f t="shared" si="87"/>
        <v/>
      </c>
    </row>
    <row r="667" spans="2:9" x14ac:dyDescent="0.2">
      <c r="B667" s="12" t="str">
        <f>$B$21</f>
        <v>Fludioxonil</v>
      </c>
      <c r="C667" s="40">
        <f>VLOOKUP(KAL_standaard_4_03[[#This Row],[Component]],Kalibratie4[],2,FALSE)</f>
        <v>120.30000000000001</v>
      </c>
      <c r="D667" s="46"/>
      <c r="E667" s="48"/>
      <c r="F667" s="48"/>
      <c r="G667" s="45"/>
      <c r="H667" s="40" t="str">
        <f t="shared" si="86"/>
        <v/>
      </c>
      <c r="I667" s="32" t="str">
        <f t="shared" si="87"/>
        <v/>
      </c>
    </row>
    <row r="668" spans="2:9" x14ac:dyDescent="0.2">
      <c r="B668" s="12" t="str">
        <f>$B$22</f>
        <v>Mesotrione</v>
      </c>
      <c r="C668" s="40">
        <f>VLOOKUP(KAL_standaard_4_03[[#This Row],[Component]],Kalibratie4[],2,FALSE)</f>
        <v>120.79200000000002</v>
      </c>
      <c r="D668" s="46"/>
      <c r="E668" s="48"/>
      <c r="F668" s="48"/>
      <c r="G668" s="45"/>
      <c r="H668" s="40" t="str">
        <f t="shared" si="86"/>
        <v/>
      </c>
      <c r="I668" s="32" t="str">
        <f t="shared" si="87"/>
        <v/>
      </c>
    </row>
    <row r="669" spans="2:9" x14ac:dyDescent="0.2">
      <c r="B669" s="12" t="str">
        <f>$B$23</f>
        <v>Methoxyfenozide</v>
      </c>
      <c r="C669" s="40">
        <f>VLOOKUP(KAL_standaard_4_03[[#This Row],[Component]],Kalibratie4[],2,FALSE)</f>
        <v>120.70800000000001</v>
      </c>
      <c r="D669" s="46"/>
      <c r="E669" s="48"/>
      <c r="F669" s="48"/>
      <c r="G669" s="45"/>
      <c r="H669" s="40" t="str">
        <f t="shared" si="86"/>
        <v/>
      </c>
      <c r="I669" s="32" t="str">
        <f t="shared" si="87"/>
        <v/>
      </c>
    </row>
    <row r="670" spans="2:9" x14ac:dyDescent="0.2">
      <c r="B670" s="12" t="str">
        <f>$B$24</f>
        <v>Oxamyl</v>
      </c>
      <c r="C670" s="40">
        <f>VLOOKUP(KAL_standaard_4_03[[#This Row],[Component]],Kalibratie4[],2,FALSE)</f>
        <v>121.24799999999999</v>
      </c>
      <c r="D670" s="46"/>
      <c r="E670" s="48"/>
      <c r="F670" s="48"/>
      <c r="G670" s="45"/>
      <c r="H670" s="40" t="str">
        <f t="shared" si="86"/>
        <v/>
      </c>
      <c r="I670" s="32" t="str">
        <f t="shared" si="87"/>
        <v/>
      </c>
    </row>
    <row r="671" spans="2:9" x14ac:dyDescent="0.2">
      <c r="B671" s="13" t="str">
        <f>$B$25</f>
        <v>Triallaat</v>
      </c>
      <c r="C671" s="41">
        <f>VLOOKUP(KAL_standaard_4_03[[#This Row],[Component]],Kalibratie4[],2,FALSE)</f>
        <v>119.78400000000003</v>
      </c>
      <c r="D671" s="46"/>
      <c r="E671" s="48"/>
      <c r="F671" s="48"/>
      <c r="G671" s="45"/>
      <c r="H671" s="41" t="str">
        <f t="shared" si="86"/>
        <v/>
      </c>
      <c r="I671" s="32" t="str">
        <f t="shared" si="87"/>
        <v/>
      </c>
    </row>
    <row r="672" spans="2:9" x14ac:dyDescent="0.2">
      <c r="C672" s="42"/>
    </row>
    <row r="673" spans="2:9" ht="20.25" x14ac:dyDescent="0.3">
      <c r="B673" s="8" t="s">
        <v>51</v>
      </c>
      <c r="C673" s="42"/>
    </row>
    <row r="674" spans="2:9" ht="39" thickBot="1" x14ac:dyDescent="0.25">
      <c r="B674" s="15" t="s">
        <v>2</v>
      </c>
      <c r="C674" s="16" t="s">
        <v>3</v>
      </c>
      <c r="D674" s="16" t="s">
        <v>4</v>
      </c>
      <c r="E674" s="16" t="s">
        <v>161</v>
      </c>
      <c r="F674" s="16" t="s">
        <v>162</v>
      </c>
      <c r="G674" s="16" t="s">
        <v>5</v>
      </c>
      <c r="H674" s="43" t="s">
        <v>6</v>
      </c>
      <c r="I674" s="17" t="s">
        <v>7</v>
      </c>
    </row>
    <row r="675" spans="2:9" ht="13.5" thickTop="1" x14ac:dyDescent="0.2">
      <c r="B675" s="14" t="str">
        <f>$B$10</f>
        <v>Amisulbrom</v>
      </c>
      <c r="C675" s="22">
        <f>VLOOKUP(OW_B_additie_hoog09[[#This Row],[Component]],OW_B_additie_hoog01[],2,FALSE)</f>
        <v>144.6336</v>
      </c>
      <c r="D675" s="45"/>
      <c r="E675" s="47"/>
      <c r="F675" s="47"/>
      <c r="G675" s="45"/>
      <c r="H675" s="22" t="str">
        <f t="shared" ref="H675:H690" si="88">IF(G675="","",100*G675/C675)</f>
        <v/>
      </c>
      <c r="I675" s="32" t="str">
        <f t="shared" ref="I675:I690" si="89">IFERROR(MIN(E675,F675)/MAX(E675,F675)*100,"")</f>
        <v/>
      </c>
    </row>
    <row r="676" spans="2:9" x14ac:dyDescent="0.2">
      <c r="B676" s="12" t="str">
        <f>$B$11</f>
        <v>Clothianidine</v>
      </c>
      <c r="C676" s="40">
        <f>VLOOKUP(OW_B_additie_hoog09[[#This Row],[Component]],OW_B_additie_hoog01[],2,FALSE)</f>
        <v>143.16479999999999</v>
      </c>
      <c r="D676" s="46"/>
      <c r="E676" s="48"/>
      <c r="F676" s="48"/>
      <c r="G676" s="45"/>
      <c r="H676" s="40" t="str">
        <f>IF(G676="","",100*G676/C676)</f>
        <v/>
      </c>
      <c r="I676" s="32" t="str">
        <f t="shared" si="89"/>
        <v/>
      </c>
    </row>
    <row r="677" spans="2:9" x14ac:dyDescent="0.2">
      <c r="B677" s="12" t="str">
        <f>$B$12</f>
        <v>Cyazofamide</v>
      </c>
      <c r="C677" s="40">
        <f>VLOOKUP(OW_B_additie_hoog09[[#This Row],[Component]],OW_B_additie_hoog01[],2,FALSE)</f>
        <v>144.05760000000001</v>
      </c>
      <c r="D677" s="46"/>
      <c r="E677" s="48"/>
      <c r="F677" s="48"/>
      <c r="G677" s="45"/>
      <c r="H677" s="40" t="str">
        <f t="shared" si="88"/>
        <v/>
      </c>
      <c r="I677" s="32" t="str">
        <f t="shared" si="89"/>
        <v/>
      </c>
    </row>
    <row r="678" spans="2:9" x14ac:dyDescent="0.2">
      <c r="B678" s="12" t="str">
        <f>$B$13</f>
        <v>Cymoxanil</v>
      </c>
      <c r="C678" s="40">
        <f>VLOOKUP(OW_B_additie_hoog09[[#This Row],[Component]],OW_B_additie_hoog01[],2,FALSE)</f>
        <v>143.69760000000002</v>
      </c>
      <c r="D678" s="46"/>
      <c r="E678" s="48"/>
      <c r="F678" s="48"/>
      <c r="G678" s="45"/>
      <c r="H678" s="40" t="str">
        <f t="shared" si="88"/>
        <v/>
      </c>
      <c r="I678" s="32" t="str">
        <f t="shared" si="89"/>
        <v/>
      </c>
    </row>
    <row r="679" spans="2:9" x14ac:dyDescent="0.2">
      <c r="B679" s="12" t="str">
        <f>$B$14</f>
        <v>Desmedifam</v>
      </c>
      <c r="C679" s="40">
        <f>VLOOKUP(OW_B_additie_hoog09[[#This Row],[Component]],OW_B_additie_hoog01[],2,FALSE)</f>
        <v>144.37440000000004</v>
      </c>
      <c r="D679" s="46"/>
      <c r="E679" s="48"/>
      <c r="F679" s="48"/>
      <c r="G679" s="45"/>
      <c r="H679" s="40" t="str">
        <f t="shared" si="88"/>
        <v/>
      </c>
      <c r="I679" s="32" t="str">
        <f t="shared" si="89"/>
        <v/>
      </c>
    </row>
    <row r="680" spans="2:9" x14ac:dyDescent="0.2">
      <c r="B680" s="12" t="str">
        <f>$B$15</f>
        <v>Fenmedifam</v>
      </c>
      <c r="C680" s="40">
        <f>VLOOKUP(OW_B_additie_hoog09[[#This Row],[Component]],OW_B_additie_hoog01[],2,FALSE)</f>
        <v>143.88479999999998</v>
      </c>
      <c r="D680" s="46"/>
      <c r="E680" s="48"/>
      <c r="F680" s="48"/>
      <c r="G680" s="45"/>
      <c r="H680" s="40" t="str">
        <f t="shared" si="88"/>
        <v/>
      </c>
      <c r="I680" s="32" t="str">
        <f t="shared" si="89"/>
        <v/>
      </c>
    </row>
    <row r="681" spans="2:9" x14ac:dyDescent="0.2">
      <c r="B681" s="12" t="str">
        <f>$B$16</f>
        <v>Fenoxycarb</v>
      </c>
      <c r="C681" s="40">
        <f>VLOOKUP(OW_B_additie_hoog09[[#This Row],[Component]],OW_B_additie_hoog01[],2,FALSE)</f>
        <v>146.9376</v>
      </c>
      <c r="D681" s="46"/>
      <c r="E681" s="48"/>
      <c r="F681" s="48"/>
      <c r="G681" s="45"/>
      <c r="H681" s="40" t="str">
        <f t="shared" si="88"/>
        <v/>
      </c>
      <c r="I681" s="32" t="str">
        <f t="shared" si="89"/>
        <v/>
      </c>
    </row>
    <row r="682" spans="2:9" x14ac:dyDescent="0.2">
      <c r="B682" s="12" t="str">
        <f>$B$17</f>
        <v>Fipronil</v>
      </c>
      <c r="C682" s="40">
        <f>VLOOKUP(OW_B_additie_hoog09[[#This Row],[Component]],OW_B_additie_hoog01[],2,FALSE)</f>
        <v>144.18719999999999</v>
      </c>
      <c r="D682" s="46"/>
      <c r="E682" s="48"/>
      <c r="F682" s="48"/>
      <c r="G682" s="45"/>
      <c r="H682" s="40" t="str">
        <f t="shared" si="88"/>
        <v/>
      </c>
      <c r="I682" s="32" t="str">
        <f t="shared" si="89"/>
        <v/>
      </c>
    </row>
    <row r="683" spans="2:9" x14ac:dyDescent="0.2">
      <c r="B683" s="12" t="str">
        <f>$B$18</f>
        <v>Florasulam</v>
      </c>
      <c r="C683" s="40">
        <f>VLOOKUP(OW_B_additie_hoog09[[#This Row],[Component]],OW_B_additie_hoog01[],2,FALSE)</f>
        <v>144.73440000000005</v>
      </c>
      <c r="D683" s="46"/>
      <c r="E683" s="48"/>
      <c r="F683" s="48"/>
      <c r="G683" s="45"/>
      <c r="H683" s="40" t="str">
        <f t="shared" si="88"/>
        <v/>
      </c>
      <c r="I683" s="32" t="str">
        <f t="shared" si="89"/>
        <v/>
      </c>
    </row>
    <row r="684" spans="2:9" x14ac:dyDescent="0.2">
      <c r="B684" s="12" t="str">
        <f>$B$19</f>
        <v>Fluazifop-P-butyl</v>
      </c>
      <c r="C684" s="40">
        <f>VLOOKUP(OW_B_additie_hoog09[[#This Row],[Component]],OW_B_additie_hoog01[],2,FALSE)</f>
        <v>144.93599999999998</v>
      </c>
      <c r="D684" s="46"/>
      <c r="E684" s="48"/>
      <c r="F684" s="48"/>
      <c r="G684" s="45"/>
      <c r="H684" s="40" t="str">
        <f t="shared" si="88"/>
        <v/>
      </c>
      <c r="I684" s="32" t="str">
        <f t="shared" si="89"/>
        <v/>
      </c>
    </row>
    <row r="685" spans="2:9" x14ac:dyDescent="0.2">
      <c r="B685" s="12" t="str">
        <f>$B$20</f>
        <v>Fluazinam</v>
      </c>
      <c r="C685" s="40">
        <f>VLOOKUP(OW_B_additie_hoog09[[#This Row],[Component]],OW_B_additie_hoog01[],2,FALSE)</f>
        <v>145.38239999999999</v>
      </c>
      <c r="D685" s="46"/>
      <c r="E685" s="48"/>
      <c r="F685" s="48"/>
      <c r="G685" s="45"/>
      <c r="H685" s="40" t="str">
        <f t="shared" si="88"/>
        <v/>
      </c>
      <c r="I685" s="32" t="str">
        <f t="shared" si="89"/>
        <v/>
      </c>
    </row>
    <row r="686" spans="2:9" x14ac:dyDescent="0.2">
      <c r="B686" s="12" t="str">
        <f>$B$21</f>
        <v>Fludioxonil</v>
      </c>
      <c r="C686" s="40">
        <f>VLOOKUP(OW_B_additie_hoog09[[#This Row],[Component]],OW_B_additie_hoog01[],2,FALSE)</f>
        <v>144.36000000000001</v>
      </c>
      <c r="D686" s="46"/>
      <c r="E686" s="48"/>
      <c r="F686" s="48"/>
      <c r="G686" s="45"/>
      <c r="H686" s="40" t="str">
        <f t="shared" si="88"/>
        <v/>
      </c>
      <c r="I686" s="32" t="str">
        <f t="shared" si="89"/>
        <v/>
      </c>
    </row>
    <row r="687" spans="2:9" x14ac:dyDescent="0.2">
      <c r="B687" s="12" t="str">
        <f>$B$22</f>
        <v>Mesotrione</v>
      </c>
      <c r="C687" s="40">
        <f>VLOOKUP(OW_B_additie_hoog09[[#This Row],[Component]],OW_B_additie_hoog01[],2,FALSE)</f>
        <v>144.9504</v>
      </c>
      <c r="D687" s="46"/>
      <c r="E687" s="48"/>
      <c r="F687" s="48"/>
      <c r="G687" s="45"/>
      <c r="H687" s="40" t="str">
        <f t="shared" si="88"/>
        <v/>
      </c>
      <c r="I687" s="32" t="str">
        <f t="shared" si="89"/>
        <v/>
      </c>
    </row>
    <row r="688" spans="2:9" x14ac:dyDescent="0.2">
      <c r="B688" s="12" t="str">
        <f>$B$23</f>
        <v>Methoxyfenozide</v>
      </c>
      <c r="C688" s="40">
        <f>VLOOKUP(OW_B_additie_hoog09[[#This Row],[Component]],OW_B_additie_hoog01[],2,FALSE)</f>
        <v>144.84960000000001</v>
      </c>
      <c r="D688" s="46"/>
      <c r="E688" s="48"/>
      <c r="F688" s="48"/>
      <c r="G688" s="45"/>
      <c r="H688" s="40" t="str">
        <f t="shared" si="88"/>
        <v/>
      </c>
      <c r="I688" s="32" t="str">
        <f t="shared" si="89"/>
        <v/>
      </c>
    </row>
    <row r="689" spans="2:9" x14ac:dyDescent="0.2">
      <c r="B689" s="12" t="str">
        <f>$B$24</f>
        <v>Oxamyl</v>
      </c>
      <c r="C689" s="40">
        <f>VLOOKUP(OW_B_additie_hoog09[[#This Row],[Component]],OW_B_additie_hoog01[],2,FALSE)</f>
        <v>145.49759999999998</v>
      </c>
      <c r="D689" s="46"/>
      <c r="E689" s="48"/>
      <c r="F689" s="48"/>
      <c r="G689" s="45"/>
      <c r="H689" s="40" t="str">
        <f t="shared" si="88"/>
        <v/>
      </c>
      <c r="I689" s="32" t="str">
        <f t="shared" si="89"/>
        <v/>
      </c>
    </row>
    <row r="690" spans="2:9" x14ac:dyDescent="0.2">
      <c r="B690" s="13" t="str">
        <f>$B$25</f>
        <v>Triallaat</v>
      </c>
      <c r="C690" s="41">
        <f>VLOOKUP(OW_B_additie_hoog09[[#This Row],[Component]],OW_B_additie_hoog01[],2,FALSE)</f>
        <v>143.74080000000001</v>
      </c>
      <c r="D690" s="46"/>
      <c r="E690" s="48"/>
      <c r="F690" s="48"/>
      <c r="G690" s="45"/>
      <c r="H690" s="41" t="str">
        <f t="shared" si="88"/>
        <v/>
      </c>
      <c r="I690" s="32" t="str">
        <f t="shared" si="89"/>
        <v/>
      </c>
    </row>
    <row r="691" spans="2:9" x14ac:dyDescent="0.2">
      <c r="C691" s="42"/>
    </row>
    <row r="692" spans="2:9" ht="20.25" x14ac:dyDescent="0.3">
      <c r="B692" s="8" t="s">
        <v>52</v>
      </c>
      <c r="C692" s="42"/>
    </row>
    <row r="693" spans="2:9" ht="39" thickBot="1" x14ac:dyDescent="0.25">
      <c r="B693" s="15" t="s">
        <v>2</v>
      </c>
      <c r="C693" s="16" t="s">
        <v>3</v>
      </c>
      <c r="D693" s="16" t="s">
        <v>4</v>
      </c>
      <c r="E693" s="16" t="s">
        <v>161</v>
      </c>
      <c r="F693" s="16" t="s">
        <v>162</v>
      </c>
      <c r="G693" s="16" t="s">
        <v>5</v>
      </c>
      <c r="H693" s="43" t="s">
        <v>6</v>
      </c>
      <c r="I693" s="17" t="s">
        <v>7</v>
      </c>
    </row>
    <row r="694" spans="2:9" ht="13.5" thickTop="1" x14ac:dyDescent="0.2">
      <c r="B694" s="14" t="str">
        <f>$B$10</f>
        <v>Amisulbrom</v>
      </c>
      <c r="C694" s="22">
        <f>VLOOKUP(OW_B_additie_hoog10[[#This Row],[Component]],OW_B_additie_hoog01[],2,FALSE)</f>
        <v>144.6336</v>
      </c>
      <c r="D694" s="45"/>
      <c r="E694" s="47"/>
      <c r="F694" s="47"/>
      <c r="G694" s="45"/>
      <c r="H694" s="22" t="str">
        <f t="shared" ref="H694:H709" si="90">IF(G694="","",100*G694/C694)</f>
        <v/>
      </c>
      <c r="I694" s="32" t="str">
        <f t="shared" ref="I694:I709" si="91">IFERROR(MIN(E694,F694)/MAX(E694,F694)*100,"")</f>
        <v/>
      </c>
    </row>
    <row r="695" spans="2:9" x14ac:dyDescent="0.2">
      <c r="B695" s="12" t="str">
        <f>$B$11</f>
        <v>Clothianidine</v>
      </c>
      <c r="C695" s="40">
        <f>VLOOKUP(OW_B_additie_hoog10[[#This Row],[Component]],OW_B_additie_hoog01[],2,FALSE)</f>
        <v>143.16479999999999</v>
      </c>
      <c r="D695" s="46"/>
      <c r="E695" s="48"/>
      <c r="F695" s="48"/>
      <c r="G695" s="45"/>
      <c r="H695" s="40" t="str">
        <f t="shared" si="90"/>
        <v/>
      </c>
      <c r="I695" s="32" t="str">
        <f t="shared" si="91"/>
        <v/>
      </c>
    </row>
    <row r="696" spans="2:9" x14ac:dyDescent="0.2">
      <c r="B696" s="12" t="str">
        <f>$B$12</f>
        <v>Cyazofamide</v>
      </c>
      <c r="C696" s="40">
        <f>VLOOKUP(OW_B_additie_hoog10[[#This Row],[Component]],OW_B_additie_hoog01[],2,FALSE)</f>
        <v>144.05760000000001</v>
      </c>
      <c r="D696" s="46"/>
      <c r="E696" s="48"/>
      <c r="F696" s="48"/>
      <c r="G696" s="45"/>
      <c r="H696" s="40" t="str">
        <f t="shared" si="90"/>
        <v/>
      </c>
      <c r="I696" s="32" t="str">
        <f t="shared" si="91"/>
        <v/>
      </c>
    </row>
    <row r="697" spans="2:9" x14ac:dyDescent="0.2">
      <c r="B697" s="12" t="str">
        <f>$B$13</f>
        <v>Cymoxanil</v>
      </c>
      <c r="C697" s="40">
        <f>VLOOKUP(OW_B_additie_hoog10[[#This Row],[Component]],OW_B_additie_hoog01[],2,FALSE)</f>
        <v>143.69760000000002</v>
      </c>
      <c r="D697" s="46"/>
      <c r="E697" s="48"/>
      <c r="F697" s="48"/>
      <c r="G697" s="45"/>
      <c r="H697" s="40" t="str">
        <f t="shared" si="90"/>
        <v/>
      </c>
      <c r="I697" s="32" t="str">
        <f t="shared" si="91"/>
        <v/>
      </c>
    </row>
    <row r="698" spans="2:9" x14ac:dyDescent="0.2">
      <c r="B698" s="12" t="str">
        <f>$B$14</f>
        <v>Desmedifam</v>
      </c>
      <c r="C698" s="40">
        <f>VLOOKUP(OW_B_additie_hoog10[[#This Row],[Component]],OW_B_additie_hoog01[],2,FALSE)</f>
        <v>144.37440000000004</v>
      </c>
      <c r="D698" s="46"/>
      <c r="E698" s="48"/>
      <c r="F698" s="48"/>
      <c r="G698" s="45"/>
      <c r="H698" s="40" t="str">
        <f t="shared" si="90"/>
        <v/>
      </c>
      <c r="I698" s="32" t="str">
        <f t="shared" si="91"/>
        <v/>
      </c>
    </row>
    <row r="699" spans="2:9" x14ac:dyDescent="0.2">
      <c r="B699" s="12" t="str">
        <f>$B$15</f>
        <v>Fenmedifam</v>
      </c>
      <c r="C699" s="40">
        <f>VLOOKUP(OW_B_additie_hoog10[[#This Row],[Component]],OW_B_additie_hoog01[],2,FALSE)</f>
        <v>143.88479999999998</v>
      </c>
      <c r="D699" s="46"/>
      <c r="E699" s="48"/>
      <c r="F699" s="48"/>
      <c r="G699" s="45"/>
      <c r="H699" s="40" t="str">
        <f t="shared" si="90"/>
        <v/>
      </c>
      <c r="I699" s="32" t="str">
        <f t="shared" si="91"/>
        <v/>
      </c>
    </row>
    <row r="700" spans="2:9" x14ac:dyDescent="0.2">
      <c r="B700" s="12" t="str">
        <f>$B$16</f>
        <v>Fenoxycarb</v>
      </c>
      <c r="C700" s="40">
        <f>VLOOKUP(OW_B_additie_hoog10[[#This Row],[Component]],OW_B_additie_hoog01[],2,FALSE)</f>
        <v>146.9376</v>
      </c>
      <c r="D700" s="46"/>
      <c r="E700" s="48"/>
      <c r="F700" s="48"/>
      <c r="G700" s="45"/>
      <c r="H700" s="40" t="str">
        <f t="shared" si="90"/>
        <v/>
      </c>
      <c r="I700" s="32" t="str">
        <f t="shared" si="91"/>
        <v/>
      </c>
    </row>
    <row r="701" spans="2:9" x14ac:dyDescent="0.2">
      <c r="B701" s="12" t="str">
        <f>$B$17</f>
        <v>Fipronil</v>
      </c>
      <c r="C701" s="40">
        <f>VLOOKUP(OW_B_additie_hoog10[[#This Row],[Component]],OW_B_additie_hoog01[],2,FALSE)</f>
        <v>144.18719999999999</v>
      </c>
      <c r="D701" s="46"/>
      <c r="E701" s="48"/>
      <c r="F701" s="48"/>
      <c r="G701" s="45"/>
      <c r="H701" s="40" t="str">
        <f t="shared" si="90"/>
        <v/>
      </c>
      <c r="I701" s="32" t="str">
        <f t="shared" si="91"/>
        <v/>
      </c>
    </row>
    <row r="702" spans="2:9" x14ac:dyDescent="0.2">
      <c r="B702" s="12" t="str">
        <f>$B$18</f>
        <v>Florasulam</v>
      </c>
      <c r="C702" s="40">
        <f>VLOOKUP(OW_B_additie_hoog10[[#This Row],[Component]],OW_B_additie_hoog01[],2,FALSE)</f>
        <v>144.73440000000005</v>
      </c>
      <c r="D702" s="46"/>
      <c r="E702" s="48"/>
      <c r="F702" s="48"/>
      <c r="G702" s="45"/>
      <c r="H702" s="40" t="str">
        <f t="shared" si="90"/>
        <v/>
      </c>
      <c r="I702" s="32" t="str">
        <f t="shared" si="91"/>
        <v/>
      </c>
    </row>
    <row r="703" spans="2:9" x14ac:dyDescent="0.2">
      <c r="B703" s="12" t="str">
        <f>$B$19</f>
        <v>Fluazifop-P-butyl</v>
      </c>
      <c r="C703" s="40">
        <f>VLOOKUP(OW_B_additie_hoog10[[#This Row],[Component]],OW_B_additie_hoog01[],2,FALSE)</f>
        <v>144.93599999999998</v>
      </c>
      <c r="D703" s="46"/>
      <c r="E703" s="48"/>
      <c r="F703" s="48"/>
      <c r="G703" s="45"/>
      <c r="H703" s="40" t="str">
        <f t="shared" si="90"/>
        <v/>
      </c>
      <c r="I703" s="32" t="str">
        <f t="shared" si="91"/>
        <v/>
      </c>
    </row>
    <row r="704" spans="2:9" x14ac:dyDescent="0.2">
      <c r="B704" s="12" t="str">
        <f>$B$20</f>
        <v>Fluazinam</v>
      </c>
      <c r="C704" s="40">
        <f>VLOOKUP(OW_B_additie_hoog10[[#This Row],[Component]],OW_B_additie_hoog01[],2,FALSE)</f>
        <v>145.38239999999999</v>
      </c>
      <c r="D704" s="46"/>
      <c r="E704" s="48"/>
      <c r="F704" s="48"/>
      <c r="G704" s="45"/>
      <c r="H704" s="40" t="str">
        <f t="shared" si="90"/>
        <v/>
      </c>
      <c r="I704" s="32" t="str">
        <f t="shared" si="91"/>
        <v/>
      </c>
    </row>
    <row r="705" spans="2:9" x14ac:dyDescent="0.2">
      <c r="B705" s="12" t="str">
        <f>$B$21</f>
        <v>Fludioxonil</v>
      </c>
      <c r="C705" s="40">
        <f>VLOOKUP(OW_B_additie_hoog10[[#This Row],[Component]],OW_B_additie_hoog01[],2,FALSE)</f>
        <v>144.36000000000001</v>
      </c>
      <c r="D705" s="46"/>
      <c r="E705" s="48"/>
      <c r="F705" s="48"/>
      <c r="G705" s="45"/>
      <c r="H705" s="40" t="str">
        <f t="shared" si="90"/>
        <v/>
      </c>
      <c r="I705" s="32" t="str">
        <f t="shared" si="91"/>
        <v/>
      </c>
    </row>
    <row r="706" spans="2:9" x14ac:dyDescent="0.2">
      <c r="B706" s="12" t="str">
        <f>$B$22</f>
        <v>Mesotrione</v>
      </c>
      <c r="C706" s="40">
        <f>VLOOKUP(OW_B_additie_hoog10[[#This Row],[Component]],OW_B_additie_hoog01[],2,FALSE)</f>
        <v>144.9504</v>
      </c>
      <c r="D706" s="46"/>
      <c r="E706" s="48"/>
      <c r="F706" s="48"/>
      <c r="G706" s="45"/>
      <c r="H706" s="40" t="str">
        <f t="shared" si="90"/>
        <v/>
      </c>
      <c r="I706" s="32" t="str">
        <f t="shared" si="91"/>
        <v/>
      </c>
    </row>
    <row r="707" spans="2:9" x14ac:dyDescent="0.2">
      <c r="B707" s="12" t="str">
        <f>$B$23</f>
        <v>Methoxyfenozide</v>
      </c>
      <c r="C707" s="40">
        <f>VLOOKUP(OW_B_additie_hoog10[[#This Row],[Component]],OW_B_additie_hoog01[],2,FALSE)</f>
        <v>144.84960000000001</v>
      </c>
      <c r="D707" s="46"/>
      <c r="E707" s="48"/>
      <c r="F707" s="48"/>
      <c r="G707" s="45"/>
      <c r="H707" s="40" t="str">
        <f t="shared" si="90"/>
        <v/>
      </c>
      <c r="I707" s="32" t="str">
        <f t="shared" si="91"/>
        <v/>
      </c>
    </row>
    <row r="708" spans="2:9" x14ac:dyDescent="0.2">
      <c r="B708" s="12" t="str">
        <f>$B$24</f>
        <v>Oxamyl</v>
      </c>
      <c r="C708" s="40">
        <f>VLOOKUP(OW_B_additie_hoog10[[#This Row],[Component]],OW_B_additie_hoog01[],2,FALSE)</f>
        <v>145.49759999999998</v>
      </c>
      <c r="D708" s="46"/>
      <c r="E708" s="48"/>
      <c r="F708" s="48"/>
      <c r="G708" s="45"/>
      <c r="H708" s="40" t="str">
        <f t="shared" si="90"/>
        <v/>
      </c>
      <c r="I708" s="32" t="str">
        <f t="shared" si="91"/>
        <v/>
      </c>
    </row>
    <row r="709" spans="2:9" x14ac:dyDescent="0.2">
      <c r="B709" s="13" t="str">
        <f>$B$25</f>
        <v>Triallaat</v>
      </c>
      <c r="C709" s="41">
        <f>VLOOKUP(OW_B_additie_hoog10[[#This Row],[Component]],OW_B_additie_hoog01[],2,FALSE)</f>
        <v>143.74080000000001</v>
      </c>
      <c r="D709" s="46"/>
      <c r="E709" s="48"/>
      <c r="F709" s="48"/>
      <c r="G709" s="45"/>
      <c r="H709" s="41" t="str">
        <f t="shared" si="90"/>
        <v/>
      </c>
      <c r="I709" s="32" t="str">
        <f t="shared" si="91"/>
        <v/>
      </c>
    </row>
    <row r="710" spans="2:9" x14ac:dyDescent="0.2">
      <c r="C710" s="42"/>
    </row>
    <row r="711" spans="2:9" ht="20.25" x14ac:dyDescent="0.3">
      <c r="B711" s="8" t="s">
        <v>73</v>
      </c>
      <c r="C711" s="42"/>
    </row>
    <row r="712" spans="2:9" ht="39" thickBot="1" x14ac:dyDescent="0.25">
      <c r="B712" s="15" t="s">
        <v>2</v>
      </c>
      <c r="C712" s="16" t="s">
        <v>3</v>
      </c>
      <c r="D712" s="16" t="s">
        <v>4</v>
      </c>
      <c r="E712" s="16" t="s">
        <v>161</v>
      </c>
      <c r="F712" s="16" t="s">
        <v>162</v>
      </c>
      <c r="G712" s="16" t="s">
        <v>5</v>
      </c>
      <c r="H712" s="43" t="s">
        <v>6</v>
      </c>
      <c r="I712" s="17" t="s">
        <v>7</v>
      </c>
    </row>
    <row r="713" spans="2:9" ht="13.5" thickTop="1" x14ac:dyDescent="0.2">
      <c r="B713" s="14" t="str">
        <f>$B$10</f>
        <v>Amisulbrom</v>
      </c>
      <c r="C713" s="22">
        <f>VLOOKUP(KAL_standaard_4_04[[#This Row],[Component]],Kalibratie4[],2,FALSE)</f>
        <v>120.52799999999999</v>
      </c>
      <c r="D713" s="45"/>
      <c r="E713" s="47"/>
      <c r="F713" s="47"/>
      <c r="G713" s="45"/>
      <c r="H713" s="22" t="str">
        <f t="shared" ref="H713:H728" si="92">IF(G713="","",100*G713/C713)</f>
        <v/>
      </c>
      <c r="I713" s="32" t="str">
        <f t="shared" ref="I713:I728" si="93">IFERROR(MIN(E713,F713)/MAX(E713,F713)*100,"")</f>
        <v/>
      </c>
    </row>
    <row r="714" spans="2:9" x14ac:dyDescent="0.2">
      <c r="B714" s="12" t="str">
        <f>$B$11</f>
        <v>Clothianidine</v>
      </c>
      <c r="C714" s="40">
        <f>VLOOKUP(KAL_standaard_4_04[[#This Row],[Component]],Kalibratie4[],2,FALSE)</f>
        <v>119.304</v>
      </c>
      <c r="D714" s="46"/>
      <c r="E714" s="48"/>
      <c r="F714" s="48"/>
      <c r="G714" s="45"/>
      <c r="H714" s="40" t="str">
        <f t="shared" si="92"/>
        <v/>
      </c>
      <c r="I714" s="32" t="str">
        <f t="shared" si="93"/>
        <v/>
      </c>
    </row>
    <row r="715" spans="2:9" x14ac:dyDescent="0.2">
      <c r="B715" s="12" t="str">
        <f>$B$12</f>
        <v>Cyazofamide</v>
      </c>
      <c r="C715" s="40">
        <f>VLOOKUP(KAL_standaard_4_04[[#This Row],[Component]],Kalibratie4[],2,FALSE)</f>
        <v>120.04799999999999</v>
      </c>
      <c r="D715" s="46"/>
      <c r="E715" s="48"/>
      <c r="F715" s="48"/>
      <c r="G715" s="45"/>
      <c r="H715" s="40" t="str">
        <f t="shared" si="92"/>
        <v/>
      </c>
      <c r="I715" s="32" t="str">
        <f t="shared" si="93"/>
        <v/>
      </c>
    </row>
    <row r="716" spans="2:9" x14ac:dyDescent="0.2">
      <c r="B716" s="12" t="str">
        <f>$B$13</f>
        <v>Cymoxanil</v>
      </c>
      <c r="C716" s="40">
        <f>VLOOKUP(KAL_standaard_4_04[[#This Row],[Component]],Kalibratie4[],2,FALSE)</f>
        <v>119.74799999999999</v>
      </c>
      <c r="D716" s="46"/>
      <c r="E716" s="48"/>
      <c r="F716" s="48"/>
      <c r="G716" s="45"/>
      <c r="H716" s="40" t="str">
        <f t="shared" si="92"/>
        <v/>
      </c>
      <c r="I716" s="32" t="str">
        <f t="shared" si="93"/>
        <v/>
      </c>
    </row>
    <row r="717" spans="2:9" x14ac:dyDescent="0.2">
      <c r="B717" s="12" t="str">
        <f>$B$14</f>
        <v>Desmedifam</v>
      </c>
      <c r="C717" s="40">
        <f>VLOOKUP(KAL_standaard_4_04[[#This Row],[Component]],Kalibratie4[],2,FALSE)</f>
        <v>120.31200000000004</v>
      </c>
      <c r="D717" s="46"/>
      <c r="E717" s="48"/>
      <c r="F717" s="48"/>
      <c r="G717" s="45"/>
      <c r="H717" s="40" t="str">
        <f t="shared" si="92"/>
        <v/>
      </c>
      <c r="I717" s="32" t="str">
        <f t="shared" si="93"/>
        <v/>
      </c>
    </row>
    <row r="718" spans="2:9" x14ac:dyDescent="0.2">
      <c r="B718" s="12" t="str">
        <f>$B$15</f>
        <v>Fenmedifam</v>
      </c>
      <c r="C718" s="40">
        <f>VLOOKUP(KAL_standaard_4_04[[#This Row],[Component]],Kalibratie4[],2,FALSE)</f>
        <v>119.904</v>
      </c>
      <c r="D718" s="46"/>
      <c r="E718" s="48"/>
      <c r="F718" s="48"/>
      <c r="G718" s="45"/>
      <c r="H718" s="40" t="str">
        <f t="shared" si="92"/>
        <v/>
      </c>
      <c r="I718" s="32" t="str">
        <f t="shared" si="93"/>
        <v/>
      </c>
    </row>
    <row r="719" spans="2:9" x14ac:dyDescent="0.2">
      <c r="B719" s="12" t="str">
        <f>$B$16</f>
        <v>Fenoxycarb</v>
      </c>
      <c r="C719" s="40">
        <f>VLOOKUP(KAL_standaard_4_04[[#This Row],[Component]],Kalibratie4[],2,FALSE)</f>
        <v>122.44800000000001</v>
      </c>
      <c r="D719" s="46"/>
      <c r="E719" s="48"/>
      <c r="F719" s="48"/>
      <c r="G719" s="45"/>
      <c r="H719" s="40" t="str">
        <f t="shared" si="92"/>
        <v/>
      </c>
      <c r="I719" s="32" t="str">
        <f t="shared" si="93"/>
        <v/>
      </c>
    </row>
    <row r="720" spans="2:9" x14ac:dyDescent="0.2">
      <c r="B720" s="12" t="str">
        <f>$B$17</f>
        <v>Fipronil</v>
      </c>
      <c r="C720" s="40">
        <f>VLOOKUP(KAL_standaard_4_04[[#This Row],[Component]],Kalibratie4[],2,FALSE)</f>
        <v>120.15600000000001</v>
      </c>
      <c r="D720" s="46"/>
      <c r="E720" s="48"/>
      <c r="F720" s="48"/>
      <c r="G720" s="45"/>
      <c r="H720" s="40" t="str">
        <f t="shared" si="92"/>
        <v/>
      </c>
      <c r="I720" s="32" t="str">
        <f t="shared" si="93"/>
        <v/>
      </c>
    </row>
    <row r="721" spans="2:9" x14ac:dyDescent="0.2">
      <c r="B721" s="12" t="str">
        <f>$B$18</f>
        <v>Florasulam</v>
      </c>
      <c r="C721" s="40">
        <f>VLOOKUP(KAL_standaard_4_04[[#This Row],[Component]],Kalibratie4[],2,FALSE)</f>
        <v>120.61200000000002</v>
      </c>
      <c r="D721" s="46"/>
      <c r="E721" s="48"/>
      <c r="F721" s="48"/>
      <c r="G721" s="45"/>
      <c r="H721" s="40" t="str">
        <f t="shared" si="92"/>
        <v/>
      </c>
      <c r="I721" s="32" t="str">
        <f t="shared" si="93"/>
        <v/>
      </c>
    </row>
    <row r="722" spans="2:9" x14ac:dyDescent="0.2">
      <c r="B722" s="12" t="str">
        <f>$B$19</f>
        <v>Fluazifop-P-butyl</v>
      </c>
      <c r="C722" s="40">
        <f>VLOOKUP(KAL_standaard_4_04[[#This Row],[Component]],Kalibratie4[],2,FALSE)</f>
        <v>120.78</v>
      </c>
      <c r="D722" s="46"/>
      <c r="E722" s="48"/>
      <c r="F722" s="48"/>
      <c r="G722" s="45"/>
      <c r="H722" s="40" t="str">
        <f t="shared" si="92"/>
        <v/>
      </c>
      <c r="I722" s="32" t="str">
        <f t="shared" si="93"/>
        <v/>
      </c>
    </row>
    <row r="723" spans="2:9" x14ac:dyDescent="0.2">
      <c r="B723" s="12" t="str">
        <f>$B$20</f>
        <v>Fluazinam</v>
      </c>
      <c r="C723" s="40">
        <f>VLOOKUP(KAL_standaard_4_04[[#This Row],[Component]],Kalibratie4[],2,FALSE)</f>
        <v>121.15199999999999</v>
      </c>
      <c r="D723" s="46"/>
      <c r="E723" s="48"/>
      <c r="F723" s="48"/>
      <c r="G723" s="45"/>
      <c r="H723" s="40" t="str">
        <f t="shared" si="92"/>
        <v/>
      </c>
      <c r="I723" s="32" t="str">
        <f t="shared" si="93"/>
        <v/>
      </c>
    </row>
    <row r="724" spans="2:9" x14ac:dyDescent="0.2">
      <c r="B724" s="12" t="str">
        <f>$B$21</f>
        <v>Fludioxonil</v>
      </c>
      <c r="C724" s="40">
        <f>VLOOKUP(KAL_standaard_4_04[[#This Row],[Component]],Kalibratie4[],2,FALSE)</f>
        <v>120.30000000000001</v>
      </c>
      <c r="D724" s="46"/>
      <c r="E724" s="48"/>
      <c r="F724" s="48"/>
      <c r="G724" s="45"/>
      <c r="H724" s="40" t="str">
        <f t="shared" si="92"/>
        <v/>
      </c>
      <c r="I724" s="32" t="str">
        <f t="shared" si="93"/>
        <v/>
      </c>
    </row>
    <row r="725" spans="2:9" x14ac:dyDescent="0.2">
      <c r="B725" s="12" t="str">
        <f>$B$22</f>
        <v>Mesotrione</v>
      </c>
      <c r="C725" s="40">
        <f>VLOOKUP(KAL_standaard_4_04[[#This Row],[Component]],Kalibratie4[],2,FALSE)</f>
        <v>120.79200000000002</v>
      </c>
      <c r="D725" s="46"/>
      <c r="E725" s="48"/>
      <c r="F725" s="48"/>
      <c r="G725" s="45"/>
      <c r="H725" s="40" t="str">
        <f t="shared" si="92"/>
        <v/>
      </c>
      <c r="I725" s="32" t="str">
        <f t="shared" si="93"/>
        <v/>
      </c>
    </row>
    <row r="726" spans="2:9" x14ac:dyDescent="0.2">
      <c r="B726" s="12" t="str">
        <f>$B$23</f>
        <v>Methoxyfenozide</v>
      </c>
      <c r="C726" s="40">
        <f>VLOOKUP(KAL_standaard_4_04[[#This Row],[Component]],Kalibratie4[],2,FALSE)</f>
        <v>120.70800000000001</v>
      </c>
      <c r="D726" s="46"/>
      <c r="E726" s="48"/>
      <c r="F726" s="48"/>
      <c r="G726" s="45"/>
      <c r="H726" s="40" t="str">
        <f t="shared" si="92"/>
        <v/>
      </c>
      <c r="I726" s="32" t="str">
        <f t="shared" si="93"/>
        <v/>
      </c>
    </row>
    <row r="727" spans="2:9" x14ac:dyDescent="0.2">
      <c r="B727" s="12" t="str">
        <f>$B$24</f>
        <v>Oxamyl</v>
      </c>
      <c r="C727" s="40">
        <f>VLOOKUP(KAL_standaard_4_04[[#This Row],[Component]],Kalibratie4[],2,FALSE)</f>
        <v>121.24799999999999</v>
      </c>
      <c r="D727" s="46"/>
      <c r="E727" s="48"/>
      <c r="F727" s="48"/>
      <c r="G727" s="45"/>
      <c r="H727" s="40" t="str">
        <f t="shared" si="92"/>
        <v/>
      </c>
      <c r="I727" s="32" t="str">
        <f t="shared" si="93"/>
        <v/>
      </c>
    </row>
    <row r="728" spans="2:9" x14ac:dyDescent="0.2">
      <c r="B728" s="13" t="str">
        <f>$B$25</f>
        <v>Triallaat</v>
      </c>
      <c r="C728" s="41">
        <f>VLOOKUP(KAL_standaard_4_04[[#This Row],[Component]],Kalibratie4[],2,FALSE)</f>
        <v>119.78400000000003</v>
      </c>
      <c r="D728" s="46"/>
      <c r="E728" s="48"/>
      <c r="F728" s="48"/>
      <c r="G728" s="45"/>
      <c r="H728" s="41" t="str">
        <f t="shared" si="92"/>
        <v/>
      </c>
      <c r="I728" s="32" t="str">
        <f t="shared" si="93"/>
        <v/>
      </c>
    </row>
    <row r="729" spans="2:9" x14ac:dyDescent="0.2">
      <c r="C729" s="42"/>
    </row>
    <row r="730" spans="2:9" ht="20.25" x14ac:dyDescent="0.3">
      <c r="B730" s="8" t="s">
        <v>53</v>
      </c>
      <c r="C730" s="42"/>
    </row>
    <row r="731" spans="2:9" ht="39" thickBot="1" x14ac:dyDescent="0.25">
      <c r="B731" s="15" t="s">
        <v>2</v>
      </c>
      <c r="C731" s="16" t="s">
        <v>3</v>
      </c>
      <c r="D731" s="16" t="s">
        <v>4</v>
      </c>
      <c r="E731" s="16" t="s">
        <v>161</v>
      </c>
      <c r="F731" s="16" t="s">
        <v>162</v>
      </c>
      <c r="G731" s="16" t="s">
        <v>5</v>
      </c>
      <c r="H731" s="43" t="s">
        <v>6</v>
      </c>
      <c r="I731" s="17" t="s">
        <v>7</v>
      </c>
    </row>
    <row r="732" spans="2:9" ht="13.5" thickTop="1" x14ac:dyDescent="0.2">
      <c r="B732" s="14" t="str">
        <f>$B$10</f>
        <v>Amisulbrom</v>
      </c>
      <c r="C732" s="22">
        <f>VLOOKUP(OW_B_additie_hoog11[[#This Row],[Component]],OW_B_additie_hoog01[],2,FALSE)</f>
        <v>144.6336</v>
      </c>
      <c r="D732" s="45"/>
      <c r="E732" s="47"/>
      <c r="F732" s="47"/>
      <c r="G732" s="45"/>
      <c r="H732" s="22" t="str">
        <f t="shared" ref="H732:H747" si="94">IF(G732="","",100*G732/C732)</f>
        <v/>
      </c>
      <c r="I732" s="32" t="str">
        <f t="shared" ref="I732:I747" si="95">IFERROR(MIN(E732,F732)/MAX(E732,F732)*100,"")</f>
        <v/>
      </c>
    </row>
    <row r="733" spans="2:9" x14ac:dyDescent="0.2">
      <c r="B733" s="12" t="str">
        <f>$B$11</f>
        <v>Clothianidine</v>
      </c>
      <c r="C733" s="40">
        <f>VLOOKUP(OW_B_additie_hoog11[[#This Row],[Component]],OW_B_additie_hoog01[],2,FALSE)</f>
        <v>143.16479999999999</v>
      </c>
      <c r="D733" s="46"/>
      <c r="E733" s="48"/>
      <c r="F733" s="48"/>
      <c r="G733" s="45"/>
      <c r="H733" s="40" t="str">
        <f t="shared" si="94"/>
        <v/>
      </c>
      <c r="I733" s="32" t="str">
        <f t="shared" si="95"/>
        <v/>
      </c>
    </row>
    <row r="734" spans="2:9" x14ac:dyDescent="0.2">
      <c r="B734" s="12" t="str">
        <f>$B$12</f>
        <v>Cyazofamide</v>
      </c>
      <c r="C734" s="40">
        <f>VLOOKUP(OW_B_additie_hoog11[[#This Row],[Component]],OW_B_additie_hoog01[],2,FALSE)</f>
        <v>144.05760000000001</v>
      </c>
      <c r="D734" s="46"/>
      <c r="E734" s="48"/>
      <c r="F734" s="48"/>
      <c r="G734" s="45"/>
      <c r="H734" s="40" t="str">
        <f t="shared" si="94"/>
        <v/>
      </c>
      <c r="I734" s="32" t="str">
        <f t="shared" si="95"/>
        <v/>
      </c>
    </row>
    <row r="735" spans="2:9" x14ac:dyDescent="0.2">
      <c r="B735" s="12" t="str">
        <f>$B$13</f>
        <v>Cymoxanil</v>
      </c>
      <c r="C735" s="40">
        <f>VLOOKUP(OW_B_additie_hoog11[[#This Row],[Component]],OW_B_additie_hoog01[],2,FALSE)</f>
        <v>143.69760000000002</v>
      </c>
      <c r="D735" s="46"/>
      <c r="E735" s="48"/>
      <c r="F735" s="48"/>
      <c r="G735" s="45"/>
      <c r="H735" s="40" t="str">
        <f t="shared" si="94"/>
        <v/>
      </c>
      <c r="I735" s="32" t="str">
        <f t="shared" si="95"/>
        <v/>
      </c>
    </row>
    <row r="736" spans="2:9" x14ac:dyDescent="0.2">
      <c r="B736" s="12" t="str">
        <f>$B$14</f>
        <v>Desmedifam</v>
      </c>
      <c r="C736" s="40">
        <f>VLOOKUP(OW_B_additie_hoog11[[#This Row],[Component]],OW_B_additie_hoog01[],2,FALSE)</f>
        <v>144.37440000000004</v>
      </c>
      <c r="D736" s="46"/>
      <c r="E736" s="48"/>
      <c r="F736" s="48"/>
      <c r="G736" s="45"/>
      <c r="H736" s="40" t="str">
        <f t="shared" si="94"/>
        <v/>
      </c>
      <c r="I736" s="32" t="str">
        <f t="shared" si="95"/>
        <v/>
      </c>
    </row>
    <row r="737" spans="2:9" x14ac:dyDescent="0.2">
      <c r="B737" s="12" t="str">
        <f>$B$15</f>
        <v>Fenmedifam</v>
      </c>
      <c r="C737" s="40">
        <f>VLOOKUP(OW_B_additie_hoog11[[#This Row],[Component]],OW_B_additie_hoog01[],2,FALSE)</f>
        <v>143.88479999999998</v>
      </c>
      <c r="D737" s="46"/>
      <c r="E737" s="48"/>
      <c r="F737" s="48"/>
      <c r="G737" s="45"/>
      <c r="H737" s="40" t="str">
        <f t="shared" si="94"/>
        <v/>
      </c>
      <c r="I737" s="32" t="str">
        <f t="shared" si="95"/>
        <v/>
      </c>
    </row>
    <row r="738" spans="2:9" x14ac:dyDescent="0.2">
      <c r="B738" s="12" t="str">
        <f>$B$16</f>
        <v>Fenoxycarb</v>
      </c>
      <c r="C738" s="40">
        <f>VLOOKUP(OW_B_additie_hoog11[[#This Row],[Component]],OW_B_additie_hoog01[],2,FALSE)</f>
        <v>146.9376</v>
      </c>
      <c r="D738" s="46"/>
      <c r="E738" s="48"/>
      <c r="F738" s="48"/>
      <c r="G738" s="45"/>
      <c r="H738" s="40" t="str">
        <f t="shared" si="94"/>
        <v/>
      </c>
      <c r="I738" s="32" t="str">
        <f t="shared" si="95"/>
        <v/>
      </c>
    </row>
    <row r="739" spans="2:9" x14ac:dyDescent="0.2">
      <c r="B739" s="12" t="str">
        <f>$B$17</f>
        <v>Fipronil</v>
      </c>
      <c r="C739" s="40">
        <f>VLOOKUP(OW_B_additie_hoog11[[#This Row],[Component]],OW_B_additie_hoog01[],2,FALSE)</f>
        <v>144.18719999999999</v>
      </c>
      <c r="D739" s="46"/>
      <c r="E739" s="48"/>
      <c r="F739" s="48"/>
      <c r="G739" s="45"/>
      <c r="H739" s="40" t="str">
        <f t="shared" si="94"/>
        <v/>
      </c>
      <c r="I739" s="32" t="str">
        <f t="shared" si="95"/>
        <v/>
      </c>
    </row>
    <row r="740" spans="2:9" x14ac:dyDescent="0.2">
      <c r="B740" s="12" t="str">
        <f>$B$18</f>
        <v>Florasulam</v>
      </c>
      <c r="C740" s="40">
        <f>VLOOKUP(OW_B_additie_hoog11[[#This Row],[Component]],OW_B_additie_hoog01[],2,FALSE)</f>
        <v>144.73440000000005</v>
      </c>
      <c r="D740" s="46"/>
      <c r="E740" s="48"/>
      <c r="F740" s="48"/>
      <c r="G740" s="45"/>
      <c r="H740" s="40" t="str">
        <f t="shared" si="94"/>
        <v/>
      </c>
      <c r="I740" s="32" t="str">
        <f t="shared" si="95"/>
        <v/>
      </c>
    </row>
    <row r="741" spans="2:9" x14ac:dyDescent="0.2">
      <c r="B741" s="12" t="str">
        <f>$B$19</f>
        <v>Fluazifop-P-butyl</v>
      </c>
      <c r="C741" s="40">
        <f>VLOOKUP(OW_B_additie_hoog11[[#This Row],[Component]],OW_B_additie_hoog01[],2,FALSE)</f>
        <v>144.93599999999998</v>
      </c>
      <c r="D741" s="46"/>
      <c r="E741" s="48"/>
      <c r="F741" s="48"/>
      <c r="G741" s="45"/>
      <c r="H741" s="40" t="str">
        <f t="shared" si="94"/>
        <v/>
      </c>
      <c r="I741" s="32" t="str">
        <f t="shared" si="95"/>
        <v/>
      </c>
    </row>
    <row r="742" spans="2:9" x14ac:dyDescent="0.2">
      <c r="B742" s="12" t="str">
        <f>$B$20</f>
        <v>Fluazinam</v>
      </c>
      <c r="C742" s="40">
        <f>VLOOKUP(OW_B_additie_hoog11[[#This Row],[Component]],OW_B_additie_hoog01[],2,FALSE)</f>
        <v>145.38239999999999</v>
      </c>
      <c r="D742" s="46"/>
      <c r="E742" s="48"/>
      <c r="F742" s="48"/>
      <c r="G742" s="45"/>
      <c r="H742" s="40" t="str">
        <f t="shared" si="94"/>
        <v/>
      </c>
      <c r="I742" s="32" t="str">
        <f t="shared" si="95"/>
        <v/>
      </c>
    </row>
    <row r="743" spans="2:9" x14ac:dyDescent="0.2">
      <c r="B743" s="12" t="str">
        <f>$B$21</f>
        <v>Fludioxonil</v>
      </c>
      <c r="C743" s="40">
        <f>VLOOKUP(OW_B_additie_hoog11[[#This Row],[Component]],OW_B_additie_hoog01[],2,FALSE)</f>
        <v>144.36000000000001</v>
      </c>
      <c r="D743" s="46"/>
      <c r="E743" s="48"/>
      <c r="F743" s="48"/>
      <c r="G743" s="45"/>
      <c r="H743" s="40" t="str">
        <f t="shared" si="94"/>
        <v/>
      </c>
      <c r="I743" s="32" t="str">
        <f t="shared" si="95"/>
        <v/>
      </c>
    </row>
    <row r="744" spans="2:9" x14ac:dyDescent="0.2">
      <c r="B744" s="12" t="str">
        <f>$B$22</f>
        <v>Mesotrione</v>
      </c>
      <c r="C744" s="40">
        <f>VLOOKUP(OW_B_additie_hoog11[[#This Row],[Component]],OW_B_additie_hoog01[],2,FALSE)</f>
        <v>144.9504</v>
      </c>
      <c r="D744" s="46"/>
      <c r="E744" s="48"/>
      <c r="F744" s="48"/>
      <c r="G744" s="45"/>
      <c r="H744" s="40" t="str">
        <f t="shared" si="94"/>
        <v/>
      </c>
      <c r="I744" s="32" t="str">
        <f t="shared" si="95"/>
        <v/>
      </c>
    </row>
    <row r="745" spans="2:9" x14ac:dyDescent="0.2">
      <c r="B745" s="12" t="str">
        <f>$B$23</f>
        <v>Methoxyfenozide</v>
      </c>
      <c r="C745" s="40">
        <f>VLOOKUP(OW_B_additie_hoog11[[#This Row],[Component]],OW_B_additie_hoog01[],2,FALSE)</f>
        <v>144.84960000000001</v>
      </c>
      <c r="D745" s="46"/>
      <c r="E745" s="48"/>
      <c r="F745" s="48"/>
      <c r="G745" s="45"/>
      <c r="H745" s="40" t="str">
        <f t="shared" si="94"/>
        <v/>
      </c>
      <c r="I745" s="32" t="str">
        <f t="shared" si="95"/>
        <v/>
      </c>
    </row>
    <row r="746" spans="2:9" x14ac:dyDescent="0.2">
      <c r="B746" s="12" t="str">
        <f>$B$24</f>
        <v>Oxamyl</v>
      </c>
      <c r="C746" s="40">
        <f>VLOOKUP(OW_B_additie_hoog11[[#This Row],[Component]],OW_B_additie_hoog01[],2,FALSE)</f>
        <v>145.49759999999998</v>
      </c>
      <c r="D746" s="46"/>
      <c r="E746" s="48"/>
      <c r="F746" s="48"/>
      <c r="G746" s="45"/>
      <c r="H746" s="40" t="str">
        <f t="shared" si="94"/>
        <v/>
      </c>
      <c r="I746" s="32" t="str">
        <f t="shared" si="95"/>
        <v/>
      </c>
    </row>
    <row r="747" spans="2:9" x14ac:dyDescent="0.2">
      <c r="B747" s="13" t="str">
        <f>$B$25</f>
        <v>Triallaat</v>
      </c>
      <c r="C747" s="41">
        <f>VLOOKUP(OW_B_additie_hoog11[[#This Row],[Component]],OW_B_additie_hoog01[],2,FALSE)</f>
        <v>143.74080000000001</v>
      </c>
      <c r="D747" s="46"/>
      <c r="E747" s="48"/>
      <c r="F747" s="48"/>
      <c r="G747" s="45"/>
      <c r="H747" s="41" t="str">
        <f t="shared" si="94"/>
        <v/>
      </c>
      <c r="I747" s="32" t="str">
        <f t="shared" si="95"/>
        <v/>
      </c>
    </row>
    <row r="748" spans="2:9" x14ac:dyDescent="0.2">
      <c r="C748" s="42"/>
    </row>
    <row r="749" spans="2:9" ht="20.25" x14ac:dyDescent="0.3">
      <c r="B749" s="8" t="s">
        <v>54</v>
      </c>
      <c r="C749" s="42"/>
    </row>
    <row r="750" spans="2:9" ht="39" thickBot="1" x14ac:dyDescent="0.25">
      <c r="B750" s="15" t="s">
        <v>2</v>
      </c>
      <c r="C750" s="16" t="s">
        <v>3</v>
      </c>
      <c r="D750" s="16" t="s">
        <v>4</v>
      </c>
      <c r="E750" s="16" t="s">
        <v>161</v>
      </c>
      <c r="F750" s="16" t="s">
        <v>162</v>
      </c>
      <c r="G750" s="16" t="s">
        <v>5</v>
      </c>
      <c r="H750" s="43" t="s">
        <v>6</v>
      </c>
      <c r="I750" s="17" t="s">
        <v>7</v>
      </c>
    </row>
    <row r="751" spans="2:9" ht="13.5" thickTop="1" x14ac:dyDescent="0.2">
      <c r="B751" s="14" t="str">
        <f>$B$10</f>
        <v>Amisulbrom</v>
      </c>
      <c r="C751" s="22">
        <f>VLOOKUP(OW_B_additie_hoog12[[#This Row],[Component]],OW_B_additie_hoog01[],2,FALSE)</f>
        <v>144.6336</v>
      </c>
      <c r="D751" s="45"/>
      <c r="E751" s="47"/>
      <c r="F751" s="47"/>
      <c r="G751" s="45"/>
      <c r="H751" s="22" t="str">
        <f t="shared" ref="H751:H766" si="96">IF(G751="","",100*G751/C751)</f>
        <v/>
      </c>
      <c r="I751" s="32" t="str">
        <f t="shared" ref="I751:I766" si="97">IFERROR(MIN(E751,F751)/MAX(E751,F751)*100,"")</f>
        <v/>
      </c>
    </row>
    <row r="752" spans="2:9" x14ac:dyDescent="0.2">
      <c r="B752" s="12" t="str">
        <f>$B$11</f>
        <v>Clothianidine</v>
      </c>
      <c r="C752" s="40">
        <f>VLOOKUP(OW_B_additie_hoog12[[#This Row],[Component]],OW_B_additie_hoog01[],2,FALSE)</f>
        <v>143.16479999999999</v>
      </c>
      <c r="D752" s="46"/>
      <c r="E752" s="48"/>
      <c r="F752" s="48"/>
      <c r="G752" s="45"/>
      <c r="H752" s="40" t="str">
        <f t="shared" si="96"/>
        <v/>
      </c>
      <c r="I752" s="32" t="str">
        <f t="shared" si="97"/>
        <v/>
      </c>
    </row>
    <row r="753" spans="2:9" x14ac:dyDescent="0.2">
      <c r="B753" s="12" t="str">
        <f>$B$12</f>
        <v>Cyazofamide</v>
      </c>
      <c r="C753" s="40">
        <f>VLOOKUP(OW_B_additie_hoog12[[#This Row],[Component]],OW_B_additie_hoog01[],2,FALSE)</f>
        <v>144.05760000000001</v>
      </c>
      <c r="D753" s="46"/>
      <c r="E753" s="48"/>
      <c r="F753" s="48"/>
      <c r="G753" s="45"/>
      <c r="H753" s="40" t="str">
        <f t="shared" si="96"/>
        <v/>
      </c>
      <c r="I753" s="32" t="str">
        <f t="shared" si="97"/>
        <v/>
      </c>
    </row>
    <row r="754" spans="2:9" x14ac:dyDescent="0.2">
      <c r="B754" s="12" t="str">
        <f>$B$13</f>
        <v>Cymoxanil</v>
      </c>
      <c r="C754" s="40">
        <f>VLOOKUP(OW_B_additie_hoog12[[#This Row],[Component]],OW_B_additie_hoog01[],2,FALSE)</f>
        <v>143.69760000000002</v>
      </c>
      <c r="D754" s="46"/>
      <c r="E754" s="48"/>
      <c r="F754" s="48"/>
      <c r="G754" s="45"/>
      <c r="H754" s="40" t="str">
        <f t="shared" si="96"/>
        <v/>
      </c>
      <c r="I754" s="32" t="str">
        <f t="shared" si="97"/>
        <v/>
      </c>
    </row>
    <row r="755" spans="2:9" x14ac:dyDescent="0.2">
      <c r="B755" s="12" t="str">
        <f>$B$14</f>
        <v>Desmedifam</v>
      </c>
      <c r="C755" s="40">
        <f>VLOOKUP(OW_B_additie_hoog12[[#This Row],[Component]],OW_B_additie_hoog01[],2,FALSE)</f>
        <v>144.37440000000004</v>
      </c>
      <c r="D755" s="46"/>
      <c r="E755" s="48"/>
      <c r="F755" s="48"/>
      <c r="G755" s="45"/>
      <c r="H755" s="40" t="str">
        <f t="shared" si="96"/>
        <v/>
      </c>
      <c r="I755" s="32" t="str">
        <f t="shared" si="97"/>
        <v/>
      </c>
    </row>
    <row r="756" spans="2:9" x14ac:dyDescent="0.2">
      <c r="B756" s="12" t="str">
        <f>$B$15</f>
        <v>Fenmedifam</v>
      </c>
      <c r="C756" s="40">
        <f>VLOOKUP(OW_B_additie_hoog12[[#This Row],[Component]],OW_B_additie_hoog01[],2,FALSE)</f>
        <v>143.88479999999998</v>
      </c>
      <c r="D756" s="46"/>
      <c r="E756" s="48"/>
      <c r="F756" s="48"/>
      <c r="G756" s="45"/>
      <c r="H756" s="40" t="str">
        <f t="shared" si="96"/>
        <v/>
      </c>
      <c r="I756" s="32" t="str">
        <f t="shared" si="97"/>
        <v/>
      </c>
    </row>
    <row r="757" spans="2:9" x14ac:dyDescent="0.2">
      <c r="B757" s="12" t="str">
        <f>$B$16</f>
        <v>Fenoxycarb</v>
      </c>
      <c r="C757" s="40">
        <f>VLOOKUP(OW_B_additie_hoog12[[#This Row],[Component]],OW_B_additie_hoog01[],2,FALSE)</f>
        <v>146.9376</v>
      </c>
      <c r="D757" s="46"/>
      <c r="E757" s="48"/>
      <c r="F757" s="48"/>
      <c r="G757" s="45"/>
      <c r="H757" s="40" t="str">
        <f t="shared" si="96"/>
        <v/>
      </c>
      <c r="I757" s="32" t="str">
        <f t="shared" si="97"/>
        <v/>
      </c>
    </row>
    <row r="758" spans="2:9" x14ac:dyDescent="0.2">
      <c r="B758" s="12" t="str">
        <f>$B$17</f>
        <v>Fipronil</v>
      </c>
      <c r="C758" s="40">
        <f>VLOOKUP(OW_B_additie_hoog12[[#This Row],[Component]],OW_B_additie_hoog01[],2,FALSE)</f>
        <v>144.18719999999999</v>
      </c>
      <c r="D758" s="46"/>
      <c r="E758" s="48"/>
      <c r="F758" s="48"/>
      <c r="G758" s="45"/>
      <c r="H758" s="40" t="str">
        <f t="shared" si="96"/>
        <v/>
      </c>
      <c r="I758" s="32" t="str">
        <f t="shared" si="97"/>
        <v/>
      </c>
    </row>
    <row r="759" spans="2:9" x14ac:dyDescent="0.2">
      <c r="B759" s="12" t="str">
        <f>$B$18</f>
        <v>Florasulam</v>
      </c>
      <c r="C759" s="40">
        <f>VLOOKUP(OW_B_additie_hoog12[[#This Row],[Component]],OW_B_additie_hoog01[],2,FALSE)</f>
        <v>144.73440000000005</v>
      </c>
      <c r="D759" s="46"/>
      <c r="E759" s="48"/>
      <c r="F759" s="48"/>
      <c r="G759" s="45"/>
      <c r="H759" s="40" t="str">
        <f t="shared" si="96"/>
        <v/>
      </c>
      <c r="I759" s="32" t="str">
        <f t="shared" si="97"/>
        <v/>
      </c>
    </row>
    <row r="760" spans="2:9" x14ac:dyDescent="0.2">
      <c r="B760" s="12" t="str">
        <f>$B$19</f>
        <v>Fluazifop-P-butyl</v>
      </c>
      <c r="C760" s="40">
        <f>VLOOKUP(OW_B_additie_hoog12[[#This Row],[Component]],OW_B_additie_hoog01[],2,FALSE)</f>
        <v>144.93599999999998</v>
      </c>
      <c r="D760" s="46"/>
      <c r="E760" s="48"/>
      <c r="F760" s="48"/>
      <c r="G760" s="45"/>
      <c r="H760" s="40" t="str">
        <f t="shared" si="96"/>
        <v/>
      </c>
      <c r="I760" s="32" t="str">
        <f t="shared" si="97"/>
        <v/>
      </c>
    </row>
    <row r="761" spans="2:9" x14ac:dyDescent="0.2">
      <c r="B761" s="12" t="str">
        <f>$B$20</f>
        <v>Fluazinam</v>
      </c>
      <c r="C761" s="40">
        <f>VLOOKUP(OW_B_additie_hoog12[[#This Row],[Component]],OW_B_additie_hoog01[],2,FALSE)</f>
        <v>145.38239999999999</v>
      </c>
      <c r="D761" s="46"/>
      <c r="E761" s="48"/>
      <c r="F761" s="48"/>
      <c r="G761" s="45"/>
      <c r="H761" s="40" t="str">
        <f t="shared" si="96"/>
        <v/>
      </c>
      <c r="I761" s="32" t="str">
        <f t="shared" si="97"/>
        <v/>
      </c>
    </row>
    <row r="762" spans="2:9" x14ac:dyDescent="0.2">
      <c r="B762" s="12" t="str">
        <f>$B$21</f>
        <v>Fludioxonil</v>
      </c>
      <c r="C762" s="40">
        <f>VLOOKUP(OW_B_additie_hoog12[[#This Row],[Component]],OW_B_additie_hoog01[],2,FALSE)</f>
        <v>144.36000000000001</v>
      </c>
      <c r="D762" s="46"/>
      <c r="E762" s="48"/>
      <c r="F762" s="48"/>
      <c r="G762" s="45"/>
      <c r="H762" s="40" t="str">
        <f t="shared" si="96"/>
        <v/>
      </c>
      <c r="I762" s="32" t="str">
        <f t="shared" si="97"/>
        <v/>
      </c>
    </row>
    <row r="763" spans="2:9" x14ac:dyDescent="0.2">
      <c r="B763" s="12" t="str">
        <f>$B$22</f>
        <v>Mesotrione</v>
      </c>
      <c r="C763" s="40">
        <f>VLOOKUP(OW_B_additie_hoog12[[#This Row],[Component]],OW_B_additie_hoog01[],2,FALSE)</f>
        <v>144.9504</v>
      </c>
      <c r="D763" s="46"/>
      <c r="E763" s="48"/>
      <c r="F763" s="48"/>
      <c r="G763" s="45"/>
      <c r="H763" s="40" t="str">
        <f t="shared" si="96"/>
        <v/>
      </c>
      <c r="I763" s="32" t="str">
        <f t="shared" si="97"/>
        <v/>
      </c>
    </row>
    <row r="764" spans="2:9" x14ac:dyDescent="0.2">
      <c r="B764" s="12" t="str">
        <f>$B$23</f>
        <v>Methoxyfenozide</v>
      </c>
      <c r="C764" s="40">
        <f>VLOOKUP(OW_B_additie_hoog12[[#This Row],[Component]],OW_B_additie_hoog01[],2,FALSE)</f>
        <v>144.84960000000001</v>
      </c>
      <c r="D764" s="46"/>
      <c r="E764" s="48"/>
      <c r="F764" s="48"/>
      <c r="G764" s="45"/>
      <c r="H764" s="40" t="str">
        <f t="shared" si="96"/>
        <v/>
      </c>
      <c r="I764" s="32" t="str">
        <f t="shared" si="97"/>
        <v/>
      </c>
    </row>
    <row r="765" spans="2:9" x14ac:dyDescent="0.2">
      <c r="B765" s="12" t="str">
        <f>$B$24</f>
        <v>Oxamyl</v>
      </c>
      <c r="C765" s="40">
        <f>VLOOKUP(OW_B_additie_hoog12[[#This Row],[Component]],OW_B_additie_hoog01[],2,FALSE)</f>
        <v>145.49759999999998</v>
      </c>
      <c r="D765" s="46"/>
      <c r="E765" s="48"/>
      <c r="F765" s="48"/>
      <c r="G765" s="45"/>
      <c r="H765" s="40" t="str">
        <f t="shared" si="96"/>
        <v/>
      </c>
      <c r="I765" s="32" t="str">
        <f t="shared" si="97"/>
        <v/>
      </c>
    </row>
    <row r="766" spans="2:9" x14ac:dyDescent="0.2">
      <c r="B766" s="13" t="str">
        <f>$B$25</f>
        <v>Triallaat</v>
      </c>
      <c r="C766" s="41">
        <f>VLOOKUP(OW_B_additie_hoog12[[#This Row],[Component]],OW_B_additie_hoog01[],2,FALSE)</f>
        <v>143.74080000000001</v>
      </c>
      <c r="D766" s="46"/>
      <c r="E766" s="48"/>
      <c r="F766" s="48"/>
      <c r="G766" s="45"/>
      <c r="H766" s="41" t="str">
        <f t="shared" si="96"/>
        <v/>
      </c>
      <c r="I766" s="32" t="str">
        <f t="shared" si="97"/>
        <v/>
      </c>
    </row>
    <row r="767" spans="2:9" x14ac:dyDescent="0.2">
      <c r="C767" s="42"/>
    </row>
    <row r="768" spans="2:9" ht="20.25" x14ac:dyDescent="0.3">
      <c r="B768" s="8" t="s">
        <v>72</v>
      </c>
      <c r="C768" s="42"/>
    </row>
    <row r="769" spans="2:9" ht="39" thickBot="1" x14ac:dyDescent="0.25">
      <c r="B769" s="15" t="s">
        <v>2</v>
      </c>
      <c r="C769" s="16" t="s">
        <v>3</v>
      </c>
      <c r="D769" s="16" t="s">
        <v>4</v>
      </c>
      <c r="E769" s="16" t="s">
        <v>161</v>
      </c>
      <c r="F769" s="16" t="s">
        <v>162</v>
      </c>
      <c r="G769" s="16" t="s">
        <v>5</v>
      </c>
      <c r="H769" s="43" t="s">
        <v>6</v>
      </c>
      <c r="I769" s="17" t="s">
        <v>7</v>
      </c>
    </row>
    <row r="770" spans="2:9" ht="13.5" thickTop="1" x14ac:dyDescent="0.2">
      <c r="B770" s="14" t="str">
        <f>$B$10</f>
        <v>Amisulbrom</v>
      </c>
      <c r="C770" s="22">
        <f>VLOOKUP(KAL_standaard_4_05[[#This Row],[Component]],Kalibratie4[],2,FALSE)</f>
        <v>120.52799999999999</v>
      </c>
      <c r="D770" s="45"/>
      <c r="E770" s="47"/>
      <c r="F770" s="47"/>
      <c r="G770" s="45"/>
      <c r="H770" s="22" t="str">
        <f t="shared" ref="H770:H785" si="98">IF(G770="","",100*G770/C770)</f>
        <v/>
      </c>
      <c r="I770" s="32" t="str">
        <f t="shared" ref="I770:I785" si="99">IFERROR(MIN(E770,F770)/MAX(E770,F770)*100,"")</f>
        <v/>
      </c>
    </row>
    <row r="771" spans="2:9" x14ac:dyDescent="0.2">
      <c r="B771" s="12" t="str">
        <f>$B$11</f>
        <v>Clothianidine</v>
      </c>
      <c r="C771" s="40">
        <f>VLOOKUP(KAL_standaard_4_05[[#This Row],[Component]],Kalibratie4[],2,FALSE)</f>
        <v>119.304</v>
      </c>
      <c r="D771" s="46"/>
      <c r="E771" s="48"/>
      <c r="F771" s="48"/>
      <c r="G771" s="45"/>
      <c r="H771" s="40" t="str">
        <f t="shared" si="98"/>
        <v/>
      </c>
      <c r="I771" s="32" t="str">
        <f t="shared" si="99"/>
        <v/>
      </c>
    </row>
    <row r="772" spans="2:9" x14ac:dyDescent="0.2">
      <c r="B772" s="12" t="str">
        <f>$B$12</f>
        <v>Cyazofamide</v>
      </c>
      <c r="C772" s="40">
        <f>VLOOKUP(KAL_standaard_4_05[[#This Row],[Component]],Kalibratie4[],2,FALSE)</f>
        <v>120.04799999999999</v>
      </c>
      <c r="D772" s="46"/>
      <c r="E772" s="48"/>
      <c r="F772" s="48"/>
      <c r="G772" s="45"/>
      <c r="H772" s="40" t="str">
        <f t="shared" si="98"/>
        <v/>
      </c>
      <c r="I772" s="32" t="str">
        <f t="shared" si="99"/>
        <v/>
      </c>
    </row>
    <row r="773" spans="2:9" x14ac:dyDescent="0.2">
      <c r="B773" s="12" t="str">
        <f>$B$13</f>
        <v>Cymoxanil</v>
      </c>
      <c r="C773" s="40">
        <f>VLOOKUP(KAL_standaard_4_05[[#This Row],[Component]],Kalibratie4[],2,FALSE)</f>
        <v>119.74799999999999</v>
      </c>
      <c r="D773" s="46"/>
      <c r="E773" s="48"/>
      <c r="F773" s="48"/>
      <c r="G773" s="45"/>
      <c r="H773" s="40" t="str">
        <f t="shared" si="98"/>
        <v/>
      </c>
      <c r="I773" s="32" t="str">
        <f t="shared" si="99"/>
        <v/>
      </c>
    </row>
    <row r="774" spans="2:9" x14ac:dyDescent="0.2">
      <c r="B774" s="12" t="str">
        <f>$B$14</f>
        <v>Desmedifam</v>
      </c>
      <c r="C774" s="40">
        <f>VLOOKUP(KAL_standaard_4_05[[#This Row],[Component]],Kalibratie4[],2,FALSE)</f>
        <v>120.31200000000004</v>
      </c>
      <c r="D774" s="46"/>
      <c r="E774" s="48"/>
      <c r="F774" s="48"/>
      <c r="G774" s="45"/>
      <c r="H774" s="40" t="str">
        <f t="shared" si="98"/>
        <v/>
      </c>
      <c r="I774" s="32" t="str">
        <f t="shared" si="99"/>
        <v/>
      </c>
    </row>
    <row r="775" spans="2:9" x14ac:dyDescent="0.2">
      <c r="B775" s="12" t="str">
        <f>$B$15</f>
        <v>Fenmedifam</v>
      </c>
      <c r="C775" s="40">
        <f>VLOOKUP(KAL_standaard_4_05[[#This Row],[Component]],Kalibratie4[],2,FALSE)</f>
        <v>119.904</v>
      </c>
      <c r="D775" s="46"/>
      <c r="E775" s="48"/>
      <c r="F775" s="48"/>
      <c r="G775" s="45"/>
      <c r="H775" s="40" t="str">
        <f t="shared" si="98"/>
        <v/>
      </c>
      <c r="I775" s="32" t="str">
        <f t="shared" si="99"/>
        <v/>
      </c>
    </row>
    <row r="776" spans="2:9" x14ac:dyDescent="0.2">
      <c r="B776" s="12" t="str">
        <f>$B$16</f>
        <v>Fenoxycarb</v>
      </c>
      <c r="C776" s="40">
        <f>VLOOKUP(KAL_standaard_4_05[[#This Row],[Component]],Kalibratie4[],2,FALSE)</f>
        <v>122.44800000000001</v>
      </c>
      <c r="D776" s="46"/>
      <c r="E776" s="48"/>
      <c r="F776" s="48"/>
      <c r="G776" s="45"/>
      <c r="H776" s="40" t="str">
        <f t="shared" si="98"/>
        <v/>
      </c>
      <c r="I776" s="32" t="str">
        <f t="shared" si="99"/>
        <v/>
      </c>
    </row>
    <row r="777" spans="2:9" x14ac:dyDescent="0.2">
      <c r="B777" s="12" t="str">
        <f>$B$17</f>
        <v>Fipronil</v>
      </c>
      <c r="C777" s="40">
        <f>VLOOKUP(KAL_standaard_4_05[[#This Row],[Component]],Kalibratie4[],2,FALSE)</f>
        <v>120.15600000000001</v>
      </c>
      <c r="D777" s="46"/>
      <c r="E777" s="48"/>
      <c r="F777" s="48"/>
      <c r="G777" s="45"/>
      <c r="H777" s="40" t="str">
        <f t="shared" si="98"/>
        <v/>
      </c>
      <c r="I777" s="32" t="str">
        <f t="shared" si="99"/>
        <v/>
      </c>
    </row>
    <row r="778" spans="2:9" x14ac:dyDescent="0.2">
      <c r="B778" s="12" t="str">
        <f>$B$18</f>
        <v>Florasulam</v>
      </c>
      <c r="C778" s="40">
        <f>VLOOKUP(KAL_standaard_4_05[[#This Row],[Component]],Kalibratie4[],2,FALSE)</f>
        <v>120.61200000000002</v>
      </c>
      <c r="D778" s="46"/>
      <c r="E778" s="48"/>
      <c r="F778" s="48"/>
      <c r="G778" s="45"/>
      <c r="H778" s="40" t="str">
        <f t="shared" si="98"/>
        <v/>
      </c>
      <c r="I778" s="32" t="str">
        <f t="shared" si="99"/>
        <v/>
      </c>
    </row>
    <row r="779" spans="2:9" x14ac:dyDescent="0.2">
      <c r="B779" s="12" t="str">
        <f>$B$19</f>
        <v>Fluazifop-P-butyl</v>
      </c>
      <c r="C779" s="40">
        <f>VLOOKUP(KAL_standaard_4_05[[#This Row],[Component]],Kalibratie4[],2,FALSE)</f>
        <v>120.78</v>
      </c>
      <c r="D779" s="46"/>
      <c r="E779" s="48"/>
      <c r="F779" s="48"/>
      <c r="G779" s="45"/>
      <c r="H779" s="40" t="str">
        <f t="shared" si="98"/>
        <v/>
      </c>
      <c r="I779" s="32" t="str">
        <f t="shared" si="99"/>
        <v/>
      </c>
    </row>
    <row r="780" spans="2:9" x14ac:dyDescent="0.2">
      <c r="B780" s="12" t="str">
        <f>$B$20</f>
        <v>Fluazinam</v>
      </c>
      <c r="C780" s="40">
        <f>VLOOKUP(KAL_standaard_4_05[[#This Row],[Component]],Kalibratie4[],2,FALSE)</f>
        <v>121.15199999999999</v>
      </c>
      <c r="D780" s="46"/>
      <c r="E780" s="48"/>
      <c r="F780" s="48"/>
      <c r="G780" s="45"/>
      <c r="H780" s="40" t="str">
        <f t="shared" si="98"/>
        <v/>
      </c>
      <c r="I780" s="32" t="str">
        <f t="shared" si="99"/>
        <v/>
      </c>
    </row>
    <row r="781" spans="2:9" x14ac:dyDescent="0.2">
      <c r="B781" s="12" t="str">
        <f>$B$21</f>
        <v>Fludioxonil</v>
      </c>
      <c r="C781" s="40">
        <f>VLOOKUP(KAL_standaard_4_05[[#This Row],[Component]],Kalibratie4[],2,FALSE)</f>
        <v>120.30000000000001</v>
      </c>
      <c r="D781" s="46"/>
      <c r="E781" s="48"/>
      <c r="F781" s="48"/>
      <c r="G781" s="45"/>
      <c r="H781" s="40" t="str">
        <f t="shared" si="98"/>
        <v/>
      </c>
      <c r="I781" s="32" t="str">
        <f t="shared" si="99"/>
        <v/>
      </c>
    </row>
    <row r="782" spans="2:9" x14ac:dyDescent="0.2">
      <c r="B782" s="12" t="str">
        <f>$B$22</f>
        <v>Mesotrione</v>
      </c>
      <c r="C782" s="40">
        <f>VLOOKUP(KAL_standaard_4_05[[#This Row],[Component]],Kalibratie4[],2,FALSE)</f>
        <v>120.79200000000002</v>
      </c>
      <c r="D782" s="46"/>
      <c r="E782" s="48"/>
      <c r="F782" s="48"/>
      <c r="G782" s="45"/>
      <c r="H782" s="40" t="str">
        <f t="shared" si="98"/>
        <v/>
      </c>
      <c r="I782" s="32" t="str">
        <f t="shared" si="99"/>
        <v/>
      </c>
    </row>
    <row r="783" spans="2:9" x14ac:dyDescent="0.2">
      <c r="B783" s="12" t="str">
        <f>$B$23</f>
        <v>Methoxyfenozide</v>
      </c>
      <c r="C783" s="40">
        <f>VLOOKUP(KAL_standaard_4_05[[#This Row],[Component]],Kalibratie4[],2,FALSE)</f>
        <v>120.70800000000001</v>
      </c>
      <c r="D783" s="46"/>
      <c r="E783" s="48"/>
      <c r="F783" s="48"/>
      <c r="G783" s="45"/>
      <c r="H783" s="40" t="str">
        <f t="shared" si="98"/>
        <v/>
      </c>
      <c r="I783" s="32" t="str">
        <f t="shared" si="99"/>
        <v/>
      </c>
    </row>
    <row r="784" spans="2:9" x14ac:dyDescent="0.2">
      <c r="B784" s="12" t="str">
        <f>$B$24</f>
        <v>Oxamyl</v>
      </c>
      <c r="C784" s="40">
        <f>VLOOKUP(KAL_standaard_4_05[[#This Row],[Component]],Kalibratie4[],2,FALSE)</f>
        <v>121.24799999999999</v>
      </c>
      <c r="D784" s="46"/>
      <c r="E784" s="48"/>
      <c r="F784" s="48"/>
      <c r="G784" s="45"/>
      <c r="H784" s="40" t="str">
        <f t="shared" si="98"/>
        <v/>
      </c>
      <c r="I784" s="32" t="str">
        <f t="shared" si="99"/>
        <v/>
      </c>
    </row>
    <row r="785" spans="2:9" x14ac:dyDescent="0.2">
      <c r="B785" s="13" t="str">
        <f>$B$25</f>
        <v>Triallaat</v>
      </c>
      <c r="C785" s="41">
        <f>VLOOKUP(KAL_standaard_4_05[[#This Row],[Component]],Kalibratie4[],2,FALSE)</f>
        <v>119.78400000000003</v>
      </c>
      <c r="D785" s="46"/>
      <c r="E785" s="48"/>
      <c r="F785" s="48"/>
      <c r="G785" s="45"/>
      <c r="H785" s="41" t="str">
        <f t="shared" si="98"/>
        <v/>
      </c>
      <c r="I785" s="32" t="str">
        <f t="shared" si="99"/>
        <v/>
      </c>
    </row>
    <row r="786" spans="2:9" x14ac:dyDescent="0.2">
      <c r="C786" s="42"/>
    </row>
    <row r="787" spans="2:9" ht="20.25" x14ac:dyDescent="0.3">
      <c r="B787" s="8" t="s">
        <v>55</v>
      </c>
      <c r="C787" s="42"/>
    </row>
    <row r="788" spans="2:9" ht="39" thickBot="1" x14ac:dyDescent="0.25">
      <c r="B788" s="15" t="s">
        <v>2</v>
      </c>
      <c r="C788" s="16" t="s">
        <v>3</v>
      </c>
      <c r="D788" s="16" t="s">
        <v>4</v>
      </c>
      <c r="E788" s="16" t="s">
        <v>161</v>
      </c>
      <c r="F788" s="16" t="s">
        <v>162</v>
      </c>
      <c r="G788" s="16" t="s">
        <v>5</v>
      </c>
      <c r="H788" s="43" t="s">
        <v>6</v>
      </c>
      <c r="I788" s="17" t="s">
        <v>7</v>
      </c>
    </row>
    <row r="789" spans="2:9" ht="13.5" thickTop="1" x14ac:dyDescent="0.2">
      <c r="B789" s="14" t="str">
        <f>$B$10</f>
        <v>Amisulbrom</v>
      </c>
      <c r="C789" s="22">
        <f>VLOOKUP(OW_B_additie_hoog13[[#This Row],[Component]],OW_B_additie_hoog01[],2,FALSE)</f>
        <v>144.6336</v>
      </c>
      <c r="D789" s="45"/>
      <c r="E789" s="47"/>
      <c r="F789" s="47"/>
      <c r="G789" s="45"/>
      <c r="H789" s="22" t="str">
        <f t="shared" ref="H789:H804" si="100">IF(G789="","",100*G789/C789)</f>
        <v/>
      </c>
      <c r="I789" s="32" t="str">
        <f t="shared" ref="I789:I804" si="101">IFERROR(MIN(E789,F789)/MAX(E789,F789)*100,"")</f>
        <v/>
      </c>
    </row>
    <row r="790" spans="2:9" x14ac:dyDescent="0.2">
      <c r="B790" s="12" t="str">
        <f>$B$11</f>
        <v>Clothianidine</v>
      </c>
      <c r="C790" s="40">
        <f>VLOOKUP(OW_B_additie_hoog13[[#This Row],[Component]],OW_B_additie_hoog01[],2,FALSE)</f>
        <v>143.16479999999999</v>
      </c>
      <c r="D790" s="46"/>
      <c r="E790" s="48"/>
      <c r="F790" s="48"/>
      <c r="G790" s="45"/>
      <c r="H790" s="40" t="str">
        <f t="shared" si="100"/>
        <v/>
      </c>
      <c r="I790" s="32" t="str">
        <f t="shared" si="101"/>
        <v/>
      </c>
    </row>
    <row r="791" spans="2:9" x14ac:dyDescent="0.2">
      <c r="B791" s="12" t="str">
        <f>$B$12</f>
        <v>Cyazofamide</v>
      </c>
      <c r="C791" s="40">
        <f>VLOOKUP(OW_B_additie_hoog13[[#This Row],[Component]],OW_B_additie_hoog01[],2,FALSE)</f>
        <v>144.05760000000001</v>
      </c>
      <c r="D791" s="46"/>
      <c r="E791" s="48"/>
      <c r="F791" s="48"/>
      <c r="G791" s="45"/>
      <c r="H791" s="40" t="str">
        <f t="shared" si="100"/>
        <v/>
      </c>
      <c r="I791" s="32" t="str">
        <f t="shared" si="101"/>
        <v/>
      </c>
    </row>
    <row r="792" spans="2:9" x14ac:dyDescent="0.2">
      <c r="B792" s="12" t="str">
        <f>$B$13</f>
        <v>Cymoxanil</v>
      </c>
      <c r="C792" s="40">
        <f>VLOOKUP(OW_B_additie_hoog13[[#This Row],[Component]],OW_B_additie_hoog01[],2,FALSE)</f>
        <v>143.69760000000002</v>
      </c>
      <c r="D792" s="46"/>
      <c r="E792" s="48"/>
      <c r="F792" s="48"/>
      <c r="G792" s="45"/>
      <c r="H792" s="40" t="str">
        <f t="shared" si="100"/>
        <v/>
      </c>
      <c r="I792" s="32" t="str">
        <f t="shared" si="101"/>
        <v/>
      </c>
    </row>
    <row r="793" spans="2:9" x14ac:dyDescent="0.2">
      <c r="B793" s="12" t="str">
        <f>$B$14</f>
        <v>Desmedifam</v>
      </c>
      <c r="C793" s="40">
        <f>VLOOKUP(OW_B_additie_hoog13[[#This Row],[Component]],OW_B_additie_hoog01[],2,FALSE)</f>
        <v>144.37440000000004</v>
      </c>
      <c r="D793" s="46"/>
      <c r="E793" s="48"/>
      <c r="F793" s="48"/>
      <c r="G793" s="45"/>
      <c r="H793" s="40" t="str">
        <f t="shared" si="100"/>
        <v/>
      </c>
      <c r="I793" s="32" t="str">
        <f t="shared" si="101"/>
        <v/>
      </c>
    </row>
    <row r="794" spans="2:9" x14ac:dyDescent="0.2">
      <c r="B794" s="12" t="str">
        <f>$B$15</f>
        <v>Fenmedifam</v>
      </c>
      <c r="C794" s="40">
        <f>VLOOKUP(OW_B_additie_hoog13[[#This Row],[Component]],OW_B_additie_hoog01[],2,FALSE)</f>
        <v>143.88479999999998</v>
      </c>
      <c r="D794" s="46"/>
      <c r="E794" s="48"/>
      <c r="F794" s="48"/>
      <c r="G794" s="45"/>
      <c r="H794" s="40" t="str">
        <f t="shared" si="100"/>
        <v/>
      </c>
      <c r="I794" s="32" t="str">
        <f t="shared" si="101"/>
        <v/>
      </c>
    </row>
    <row r="795" spans="2:9" x14ac:dyDescent="0.2">
      <c r="B795" s="12" t="str">
        <f>$B$16</f>
        <v>Fenoxycarb</v>
      </c>
      <c r="C795" s="40">
        <f>VLOOKUP(OW_B_additie_hoog13[[#This Row],[Component]],OW_B_additie_hoog01[],2,FALSE)</f>
        <v>146.9376</v>
      </c>
      <c r="D795" s="46"/>
      <c r="E795" s="48"/>
      <c r="F795" s="48"/>
      <c r="G795" s="45"/>
      <c r="H795" s="40" t="str">
        <f t="shared" si="100"/>
        <v/>
      </c>
      <c r="I795" s="32" t="str">
        <f t="shared" si="101"/>
        <v/>
      </c>
    </row>
    <row r="796" spans="2:9" x14ac:dyDescent="0.2">
      <c r="B796" s="12" t="str">
        <f>$B$17</f>
        <v>Fipronil</v>
      </c>
      <c r="C796" s="40">
        <f>VLOOKUP(OW_B_additie_hoog13[[#This Row],[Component]],OW_B_additie_hoog01[],2,FALSE)</f>
        <v>144.18719999999999</v>
      </c>
      <c r="D796" s="46"/>
      <c r="E796" s="48"/>
      <c r="F796" s="48"/>
      <c r="G796" s="45"/>
      <c r="H796" s="40" t="str">
        <f t="shared" si="100"/>
        <v/>
      </c>
      <c r="I796" s="32" t="str">
        <f t="shared" si="101"/>
        <v/>
      </c>
    </row>
    <row r="797" spans="2:9" x14ac:dyDescent="0.2">
      <c r="B797" s="12" t="str">
        <f>$B$18</f>
        <v>Florasulam</v>
      </c>
      <c r="C797" s="40">
        <f>VLOOKUP(OW_B_additie_hoog13[[#This Row],[Component]],OW_B_additie_hoog01[],2,FALSE)</f>
        <v>144.73440000000005</v>
      </c>
      <c r="D797" s="46"/>
      <c r="E797" s="48"/>
      <c r="F797" s="48"/>
      <c r="G797" s="45"/>
      <c r="H797" s="40" t="str">
        <f t="shared" si="100"/>
        <v/>
      </c>
      <c r="I797" s="32" t="str">
        <f t="shared" si="101"/>
        <v/>
      </c>
    </row>
    <row r="798" spans="2:9" x14ac:dyDescent="0.2">
      <c r="B798" s="12" t="str">
        <f>$B$19</f>
        <v>Fluazifop-P-butyl</v>
      </c>
      <c r="C798" s="40">
        <f>VLOOKUP(OW_B_additie_hoog13[[#This Row],[Component]],OW_B_additie_hoog01[],2,FALSE)</f>
        <v>144.93599999999998</v>
      </c>
      <c r="D798" s="46"/>
      <c r="E798" s="48"/>
      <c r="F798" s="48"/>
      <c r="G798" s="45"/>
      <c r="H798" s="40" t="str">
        <f t="shared" si="100"/>
        <v/>
      </c>
      <c r="I798" s="32" t="str">
        <f t="shared" si="101"/>
        <v/>
      </c>
    </row>
    <row r="799" spans="2:9" x14ac:dyDescent="0.2">
      <c r="B799" s="12" t="str">
        <f>$B$20</f>
        <v>Fluazinam</v>
      </c>
      <c r="C799" s="40">
        <f>VLOOKUP(OW_B_additie_hoog13[[#This Row],[Component]],OW_B_additie_hoog01[],2,FALSE)</f>
        <v>145.38239999999999</v>
      </c>
      <c r="D799" s="46"/>
      <c r="E799" s="48"/>
      <c r="F799" s="48"/>
      <c r="G799" s="45"/>
      <c r="H799" s="40" t="str">
        <f t="shared" si="100"/>
        <v/>
      </c>
      <c r="I799" s="32" t="str">
        <f t="shared" si="101"/>
        <v/>
      </c>
    </row>
    <row r="800" spans="2:9" x14ac:dyDescent="0.2">
      <c r="B800" s="12" t="str">
        <f>$B$21</f>
        <v>Fludioxonil</v>
      </c>
      <c r="C800" s="40">
        <f>VLOOKUP(OW_B_additie_hoog13[[#This Row],[Component]],OW_B_additie_hoog01[],2,FALSE)</f>
        <v>144.36000000000001</v>
      </c>
      <c r="D800" s="46"/>
      <c r="E800" s="48"/>
      <c r="F800" s="48"/>
      <c r="G800" s="45"/>
      <c r="H800" s="40" t="str">
        <f t="shared" si="100"/>
        <v/>
      </c>
      <c r="I800" s="32" t="str">
        <f t="shared" si="101"/>
        <v/>
      </c>
    </row>
    <row r="801" spans="2:9" x14ac:dyDescent="0.2">
      <c r="B801" s="12" t="str">
        <f>$B$22</f>
        <v>Mesotrione</v>
      </c>
      <c r="C801" s="40">
        <f>VLOOKUP(OW_B_additie_hoog13[[#This Row],[Component]],OW_B_additie_hoog01[],2,FALSE)</f>
        <v>144.9504</v>
      </c>
      <c r="D801" s="46"/>
      <c r="E801" s="48"/>
      <c r="F801" s="48"/>
      <c r="G801" s="45"/>
      <c r="H801" s="40" t="str">
        <f t="shared" si="100"/>
        <v/>
      </c>
      <c r="I801" s="32" t="str">
        <f t="shared" si="101"/>
        <v/>
      </c>
    </row>
    <row r="802" spans="2:9" x14ac:dyDescent="0.2">
      <c r="B802" s="12" t="str">
        <f>$B$23</f>
        <v>Methoxyfenozide</v>
      </c>
      <c r="C802" s="40">
        <f>VLOOKUP(OW_B_additie_hoog13[[#This Row],[Component]],OW_B_additie_hoog01[],2,FALSE)</f>
        <v>144.84960000000001</v>
      </c>
      <c r="D802" s="46"/>
      <c r="E802" s="48"/>
      <c r="F802" s="48"/>
      <c r="G802" s="45"/>
      <c r="H802" s="40" t="str">
        <f t="shared" si="100"/>
        <v/>
      </c>
      <c r="I802" s="32" t="str">
        <f t="shared" si="101"/>
        <v/>
      </c>
    </row>
    <row r="803" spans="2:9" x14ac:dyDescent="0.2">
      <c r="B803" s="12" t="str">
        <f>$B$24</f>
        <v>Oxamyl</v>
      </c>
      <c r="C803" s="40">
        <f>VLOOKUP(OW_B_additie_hoog13[[#This Row],[Component]],OW_B_additie_hoog01[],2,FALSE)</f>
        <v>145.49759999999998</v>
      </c>
      <c r="D803" s="46"/>
      <c r="E803" s="48"/>
      <c r="F803" s="48"/>
      <c r="G803" s="45"/>
      <c r="H803" s="40" t="str">
        <f t="shared" si="100"/>
        <v/>
      </c>
      <c r="I803" s="32" t="str">
        <f t="shared" si="101"/>
        <v/>
      </c>
    </row>
    <row r="804" spans="2:9" x14ac:dyDescent="0.2">
      <c r="B804" s="13" t="str">
        <f>$B$25</f>
        <v>Triallaat</v>
      </c>
      <c r="C804" s="41">
        <f>VLOOKUP(OW_B_additie_hoog13[[#This Row],[Component]],OW_B_additie_hoog01[],2,FALSE)</f>
        <v>143.74080000000001</v>
      </c>
      <c r="D804" s="46"/>
      <c r="E804" s="48"/>
      <c r="F804" s="48"/>
      <c r="G804" s="45"/>
      <c r="H804" s="41" t="str">
        <f t="shared" si="100"/>
        <v/>
      </c>
      <c r="I804" s="32" t="str">
        <f t="shared" si="101"/>
        <v/>
      </c>
    </row>
    <row r="805" spans="2:9" x14ac:dyDescent="0.2">
      <c r="C805" s="42"/>
    </row>
    <row r="806" spans="2:9" ht="20.25" x14ac:dyDescent="0.3">
      <c r="B806" s="8" t="s">
        <v>56</v>
      </c>
      <c r="C806" s="42"/>
    </row>
    <row r="807" spans="2:9" ht="39" thickBot="1" x14ac:dyDescent="0.25">
      <c r="B807" s="15" t="s">
        <v>2</v>
      </c>
      <c r="C807" s="16" t="s">
        <v>3</v>
      </c>
      <c r="D807" s="16" t="s">
        <v>4</v>
      </c>
      <c r="E807" s="16" t="s">
        <v>161</v>
      </c>
      <c r="F807" s="16" t="s">
        <v>162</v>
      </c>
      <c r="G807" s="16" t="s">
        <v>5</v>
      </c>
      <c r="H807" s="43" t="s">
        <v>6</v>
      </c>
      <c r="I807" s="17" t="s">
        <v>7</v>
      </c>
    </row>
    <row r="808" spans="2:9" ht="13.5" thickTop="1" x14ac:dyDescent="0.2">
      <c r="B808" s="14" t="str">
        <f>$B$10</f>
        <v>Amisulbrom</v>
      </c>
      <c r="C808" s="22">
        <f>VLOOKUP(OW_B_additie_hoog14[[#This Row],[Component]],OW_B_additie_hoog01[],2,FALSE)</f>
        <v>144.6336</v>
      </c>
      <c r="D808" s="45"/>
      <c r="E808" s="47"/>
      <c r="F808" s="47"/>
      <c r="G808" s="45"/>
      <c r="H808" s="22" t="str">
        <f t="shared" ref="H808:H823" si="102">IF(G808="","",100*G808/C808)</f>
        <v/>
      </c>
      <c r="I808" s="32" t="str">
        <f t="shared" ref="I808:I823" si="103">IFERROR(MIN(E808,F808)/MAX(E808,F808)*100,"")</f>
        <v/>
      </c>
    </row>
    <row r="809" spans="2:9" x14ac:dyDescent="0.2">
      <c r="B809" s="12" t="str">
        <f>$B$11</f>
        <v>Clothianidine</v>
      </c>
      <c r="C809" s="40">
        <f>VLOOKUP(OW_B_additie_hoog14[[#This Row],[Component]],OW_B_additie_hoog01[],2,FALSE)</f>
        <v>143.16479999999999</v>
      </c>
      <c r="D809" s="46"/>
      <c r="E809" s="48"/>
      <c r="F809" s="48"/>
      <c r="G809" s="45"/>
      <c r="H809" s="40" t="str">
        <f t="shared" si="102"/>
        <v/>
      </c>
      <c r="I809" s="32" t="str">
        <f t="shared" si="103"/>
        <v/>
      </c>
    </row>
    <row r="810" spans="2:9" x14ac:dyDescent="0.2">
      <c r="B810" s="12" t="str">
        <f>$B$12</f>
        <v>Cyazofamide</v>
      </c>
      <c r="C810" s="40">
        <f>VLOOKUP(OW_B_additie_hoog14[[#This Row],[Component]],OW_B_additie_hoog01[],2,FALSE)</f>
        <v>144.05760000000001</v>
      </c>
      <c r="D810" s="46"/>
      <c r="E810" s="48"/>
      <c r="F810" s="48"/>
      <c r="G810" s="45"/>
      <c r="H810" s="40" t="str">
        <f t="shared" si="102"/>
        <v/>
      </c>
      <c r="I810" s="32" t="str">
        <f t="shared" si="103"/>
        <v/>
      </c>
    </row>
    <row r="811" spans="2:9" x14ac:dyDescent="0.2">
      <c r="B811" s="12" t="str">
        <f>$B$13</f>
        <v>Cymoxanil</v>
      </c>
      <c r="C811" s="40">
        <f>VLOOKUP(OW_B_additie_hoog14[[#This Row],[Component]],OW_B_additie_hoog01[],2,FALSE)</f>
        <v>143.69760000000002</v>
      </c>
      <c r="D811" s="46"/>
      <c r="E811" s="48"/>
      <c r="F811" s="48"/>
      <c r="G811" s="45"/>
      <c r="H811" s="40" t="str">
        <f t="shared" si="102"/>
        <v/>
      </c>
      <c r="I811" s="32" t="str">
        <f t="shared" si="103"/>
        <v/>
      </c>
    </row>
    <row r="812" spans="2:9" x14ac:dyDescent="0.2">
      <c r="B812" s="12" t="str">
        <f>$B$14</f>
        <v>Desmedifam</v>
      </c>
      <c r="C812" s="40">
        <f>VLOOKUP(OW_B_additie_hoog14[[#This Row],[Component]],OW_B_additie_hoog01[],2,FALSE)</f>
        <v>144.37440000000004</v>
      </c>
      <c r="D812" s="46"/>
      <c r="E812" s="48"/>
      <c r="F812" s="48"/>
      <c r="G812" s="45"/>
      <c r="H812" s="40" t="str">
        <f t="shared" si="102"/>
        <v/>
      </c>
      <c r="I812" s="32" t="str">
        <f t="shared" si="103"/>
        <v/>
      </c>
    </row>
    <row r="813" spans="2:9" x14ac:dyDescent="0.2">
      <c r="B813" s="12" t="str">
        <f>$B$15</f>
        <v>Fenmedifam</v>
      </c>
      <c r="C813" s="40">
        <f>VLOOKUP(OW_B_additie_hoog14[[#This Row],[Component]],OW_B_additie_hoog01[],2,FALSE)</f>
        <v>143.88479999999998</v>
      </c>
      <c r="D813" s="46"/>
      <c r="E813" s="48"/>
      <c r="F813" s="48"/>
      <c r="G813" s="45"/>
      <c r="H813" s="40" t="str">
        <f t="shared" si="102"/>
        <v/>
      </c>
      <c r="I813" s="32" t="str">
        <f t="shared" si="103"/>
        <v/>
      </c>
    </row>
    <row r="814" spans="2:9" x14ac:dyDescent="0.2">
      <c r="B814" s="12" t="str">
        <f>$B$16</f>
        <v>Fenoxycarb</v>
      </c>
      <c r="C814" s="40">
        <f>VLOOKUP(OW_B_additie_hoog14[[#This Row],[Component]],OW_B_additie_hoog01[],2,FALSE)</f>
        <v>146.9376</v>
      </c>
      <c r="D814" s="46"/>
      <c r="E814" s="48"/>
      <c r="F814" s="48"/>
      <c r="G814" s="45"/>
      <c r="H814" s="40" t="str">
        <f t="shared" si="102"/>
        <v/>
      </c>
      <c r="I814" s="32" t="str">
        <f t="shared" si="103"/>
        <v/>
      </c>
    </row>
    <row r="815" spans="2:9" x14ac:dyDescent="0.2">
      <c r="B815" s="12" t="str">
        <f>$B$17</f>
        <v>Fipronil</v>
      </c>
      <c r="C815" s="40">
        <f>VLOOKUP(OW_B_additie_hoog14[[#This Row],[Component]],OW_B_additie_hoog01[],2,FALSE)</f>
        <v>144.18719999999999</v>
      </c>
      <c r="D815" s="46"/>
      <c r="E815" s="48"/>
      <c r="F815" s="48"/>
      <c r="G815" s="45"/>
      <c r="H815" s="40" t="str">
        <f t="shared" si="102"/>
        <v/>
      </c>
      <c r="I815" s="32" t="str">
        <f t="shared" si="103"/>
        <v/>
      </c>
    </row>
    <row r="816" spans="2:9" x14ac:dyDescent="0.2">
      <c r="B816" s="12" t="str">
        <f>$B$18</f>
        <v>Florasulam</v>
      </c>
      <c r="C816" s="40">
        <f>VLOOKUP(OW_B_additie_hoog14[[#This Row],[Component]],OW_B_additie_hoog01[],2,FALSE)</f>
        <v>144.73440000000005</v>
      </c>
      <c r="D816" s="46"/>
      <c r="E816" s="48"/>
      <c r="F816" s="48"/>
      <c r="G816" s="45"/>
      <c r="H816" s="40" t="str">
        <f t="shared" si="102"/>
        <v/>
      </c>
      <c r="I816" s="32" t="str">
        <f t="shared" si="103"/>
        <v/>
      </c>
    </row>
    <row r="817" spans="2:9" x14ac:dyDescent="0.2">
      <c r="B817" s="12" t="str">
        <f>$B$19</f>
        <v>Fluazifop-P-butyl</v>
      </c>
      <c r="C817" s="40">
        <f>VLOOKUP(OW_B_additie_hoog14[[#This Row],[Component]],OW_B_additie_hoog01[],2,FALSE)</f>
        <v>144.93599999999998</v>
      </c>
      <c r="D817" s="46"/>
      <c r="E817" s="48"/>
      <c r="F817" s="48"/>
      <c r="G817" s="45"/>
      <c r="H817" s="40" t="str">
        <f t="shared" si="102"/>
        <v/>
      </c>
      <c r="I817" s="32" t="str">
        <f t="shared" si="103"/>
        <v/>
      </c>
    </row>
    <row r="818" spans="2:9" x14ac:dyDescent="0.2">
      <c r="B818" s="12" t="str">
        <f>$B$20</f>
        <v>Fluazinam</v>
      </c>
      <c r="C818" s="40">
        <f>VLOOKUP(OW_B_additie_hoog14[[#This Row],[Component]],OW_B_additie_hoog01[],2,FALSE)</f>
        <v>145.38239999999999</v>
      </c>
      <c r="D818" s="46"/>
      <c r="E818" s="48"/>
      <c r="F818" s="48"/>
      <c r="G818" s="45"/>
      <c r="H818" s="40" t="str">
        <f t="shared" si="102"/>
        <v/>
      </c>
      <c r="I818" s="32" t="str">
        <f t="shared" si="103"/>
        <v/>
      </c>
    </row>
    <row r="819" spans="2:9" x14ac:dyDescent="0.2">
      <c r="B819" s="12" t="str">
        <f>$B$21</f>
        <v>Fludioxonil</v>
      </c>
      <c r="C819" s="40">
        <f>VLOOKUP(OW_B_additie_hoog14[[#This Row],[Component]],OW_B_additie_hoog01[],2,FALSE)</f>
        <v>144.36000000000001</v>
      </c>
      <c r="D819" s="46"/>
      <c r="E819" s="48"/>
      <c r="F819" s="48"/>
      <c r="G819" s="45"/>
      <c r="H819" s="40" t="str">
        <f t="shared" si="102"/>
        <v/>
      </c>
      <c r="I819" s="32" t="str">
        <f t="shared" si="103"/>
        <v/>
      </c>
    </row>
    <row r="820" spans="2:9" x14ac:dyDescent="0.2">
      <c r="B820" s="12" t="str">
        <f>$B$22</f>
        <v>Mesotrione</v>
      </c>
      <c r="C820" s="40">
        <f>VLOOKUP(OW_B_additie_hoog14[[#This Row],[Component]],OW_B_additie_hoog01[],2,FALSE)</f>
        <v>144.9504</v>
      </c>
      <c r="D820" s="46"/>
      <c r="E820" s="48"/>
      <c r="F820" s="48"/>
      <c r="G820" s="45"/>
      <c r="H820" s="40" t="str">
        <f t="shared" si="102"/>
        <v/>
      </c>
      <c r="I820" s="32" t="str">
        <f t="shared" si="103"/>
        <v/>
      </c>
    </row>
    <row r="821" spans="2:9" x14ac:dyDescent="0.2">
      <c r="B821" s="12" t="str">
        <f>$B$23</f>
        <v>Methoxyfenozide</v>
      </c>
      <c r="C821" s="40">
        <f>VLOOKUP(OW_B_additie_hoog14[[#This Row],[Component]],OW_B_additie_hoog01[],2,FALSE)</f>
        <v>144.84960000000001</v>
      </c>
      <c r="D821" s="46"/>
      <c r="E821" s="48"/>
      <c r="F821" s="48"/>
      <c r="G821" s="45"/>
      <c r="H821" s="40" t="str">
        <f t="shared" si="102"/>
        <v/>
      </c>
      <c r="I821" s="32" t="str">
        <f t="shared" si="103"/>
        <v/>
      </c>
    </row>
    <row r="822" spans="2:9" x14ac:dyDescent="0.2">
      <c r="B822" s="12" t="str">
        <f>$B$24</f>
        <v>Oxamyl</v>
      </c>
      <c r="C822" s="40">
        <f>VLOOKUP(OW_B_additie_hoog14[[#This Row],[Component]],OW_B_additie_hoog01[],2,FALSE)</f>
        <v>145.49759999999998</v>
      </c>
      <c r="D822" s="46"/>
      <c r="E822" s="48"/>
      <c r="F822" s="48"/>
      <c r="G822" s="45"/>
      <c r="H822" s="40" t="str">
        <f t="shared" si="102"/>
        <v/>
      </c>
      <c r="I822" s="32" t="str">
        <f t="shared" si="103"/>
        <v/>
      </c>
    </row>
    <row r="823" spans="2:9" x14ac:dyDescent="0.2">
      <c r="B823" s="13" t="str">
        <f>$B$25</f>
        <v>Triallaat</v>
      </c>
      <c r="C823" s="41">
        <f>VLOOKUP(OW_B_additie_hoog14[[#This Row],[Component]],OW_B_additie_hoog01[],2,FALSE)</f>
        <v>143.74080000000001</v>
      </c>
      <c r="D823" s="46"/>
      <c r="E823" s="48"/>
      <c r="F823" s="48"/>
      <c r="G823" s="45"/>
      <c r="H823" s="41" t="str">
        <f t="shared" si="102"/>
        <v/>
      </c>
      <c r="I823" s="32" t="str">
        <f t="shared" si="103"/>
        <v/>
      </c>
    </row>
    <row r="824" spans="2:9" x14ac:dyDescent="0.2">
      <c r="C824" s="42"/>
    </row>
    <row r="825" spans="2:9" ht="20.25" x14ac:dyDescent="0.3">
      <c r="B825" s="8" t="s">
        <v>71</v>
      </c>
      <c r="C825" s="42"/>
    </row>
    <row r="826" spans="2:9" ht="39" thickBot="1" x14ac:dyDescent="0.25">
      <c r="B826" s="15" t="s">
        <v>2</v>
      </c>
      <c r="C826" s="16" t="s">
        <v>3</v>
      </c>
      <c r="D826" s="16" t="s">
        <v>4</v>
      </c>
      <c r="E826" s="16" t="s">
        <v>161</v>
      </c>
      <c r="F826" s="16" t="s">
        <v>162</v>
      </c>
      <c r="G826" s="16" t="s">
        <v>5</v>
      </c>
      <c r="H826" s="43" t="s">
        <v>6</v>
      </c>
      <c r="I826" s="17" t="s">
        <v>7</v>
      </c>
    </row>
    <row r="827" spans="2:9" ht="13.5" thickTop="1" x14ac:dyDescent="0.2">
      <c r="B827" s="14" t="str">
        <f>$B$10</f>
        <v>Amisulbrom</v>
      </c>
      <c r="C827" s="22">
        <f>VLOOKUP(KAL_standaard_4_06[[#This Row],[Component]],Kalibratie4[],2,FALSE)</f>
        <v>120.52799999999999</v>
      </c>
      <c r="D827" s="45"/>
      <c r="E827" s="47"/>
      <c r="F827" s="47"/>
      <c r="G827" s="45"/>
      <c r="H827" s="22" t="str">
        <f t="shared" ref="H827:H842" si="104">IF(G827="","",100*G827/C827)</f>
        <v/>
      </c>
      <c r="I827" s="32" t="str">
        <f t="shared" ref="I827:I842" si="105">IFERROR(MIN(E827,F827)/MAX(E827,F827)*100,"")</f>
        <v/>
      </c>
    </row>
    <row r="828" spans="2:9" x14ac:dyDescent="0.2">
      <c r="B828" s="12" t="str">
        <f>$B$11</f>
        <v>Clothianidine</v>
      </c>
      <c r="C828" s="40">
        <f>VLOOKUP(KAL_standaard_4_06[[#This Row],[Component]],Kalibratie4[],2,FALSE)</f>
        <v>119.304</v>
      </c>
      <c r="D828" s="46"/>
      <c r="E828" s="48"/>
      <c r="F828" s="48"/>
      <c r="G828" s="45"/>
      <c r="H828" s="40" t="str">
        <f t="shared" si="104"/>
        <v/>
      </c>
      <c r="I828" s="32" t="str">
        <f t="shared" si="105"/>
        <v/>
      </c>
    </row>
    <row r="829" spans="2:9" x14ac:dyDescent="0.2">
      <c r="B829" s="12" t="str">
        <f>$B$12</f>
        <v>Cyazofamide</v>
      </c>
      <c r="C829" s="40">
        <f>VLOOKUP(KAL_standaard_4_06[[#This Row],[Component]],Kalibratie4[],2,FALSE)</f>
        <v>120.04799999999999</v>
      </c>
      <c r="D829" s="46"/>
      <c r="E829" s="48"/>
      <c r="F829" s="48"/>
      <c r="G829" s="45"/>
      <c r="H829" s="40" t="str">
        <f t="shared" si="104"/>
        <v/>
      </c>
      <c r="I829" s="32" t="str">
        <f t="shared" si="105"/>
        <v/>
      </c>
    </row>
    <row r="830" spans="2:9" x14ac:dyDescent="0.2">
      <c r="B830" s="12" t="str">
        <f>$B$13</f>
        <v>Cymoxanil</v>
      </c>
      <c r="C830" s="40">
        <f>VLOOKUP(KAL_standaard_4_06[[#This Row],[Component]],Kalibratie4[],2,FALSE)</f>
        <v>119.74799999999999</v>
      </c>
      <c r="D830" s="46"/>
      <c r="E830" s="48"/>
      <c r="F830" s="48"/>
      <c r="G830" s="45"/>
      <c r="H830" s="40" t="str">
        <f t="shared" si="104"/>
        <v/>
      </c>
      <c r="I830" s="32" t="str">
        <f t="shared" si="105"/>
        <v/>
      </c>
    </row>
    <row r="831" spans="2:9" x14ac:dyDescent="0.2">
      <c r="B831" s="12" t="str">
        <f>$B$14</f>
        <v>Desmedifam</v>
      </c>
      <c r="C831" s="40">
        <f>VLOOKUP(KAL_standaard_4_06[[#This Row],[Component]],Kalibratie4[],2,FALSE)</f>
        <v>120.31200000000004</v>
      </c>
      <c r="D831" s="46"/>
      <c r="E831" s="48"/>
      <c r="F831" s="48"/>
      <c r="G831" s="45"/>
      <c r="H831" s="40" t="str">
        <f t="shared" si="104"/>
        <v/>
      </c>
      <c r="I831" s="32" t="str">
        <f t="shared" si="105"/>
        <v/>
      </c>
    </row>
    <row r="832" spans="2:9" x14ac:dyDescent="0.2">
      <c r="B832" s="12" t="str">
        <f>$B$15</f>
        <v>Fenmedifam</v>
      </c>
      <c r="C832" s="40">
        <f>VLOOKUP(KAL_standaard_4_06[[#This Row],[Component]],Kalibratie4[],2,FALSE)</f>
        <v>119.904</v>
      </c>
      <c r="D832" s="46"/>
      <c r="E832" s="48"/>
      <c r="F832" s="48"/>
      <c r="G832" s="45"/>
      <c r="H832" s="40" t="str">
        <f t="shared" si="104"/>
        <v/>
      </c>
      <c r="I832" s="32" t="str">
        <f t="shared" si="105"/>
        <v/>
      </c>
    </row>
    <row r="833" spans="2:9" x14ac:dyDescent="0.2">
      <c r="B833" s="12" t="str">
        <f>$B$16</f>
        <v>Fenoxycarb</v>
      </c>
      <c r="C833" s="40">
        <f>VLOOKUP(KAL_standaard_4_06[[#This Row],[Component]],Kalibratie4[],2,FALSE)</f>
        <v>122.44800000000001</v>
      </c>
      <c r="D833" s="46"/>
      <c r="E833" s="48"/>
      <c r="F833" s="48"/>
      <c r="G833" s="45"/>
      <c r="H833" s="40" t="str">
        <f t="shared" si="104"/>
        <v/>
      </c>
      <c r="I833" s="32" t="str">
        <f t="shared" si="105"/>
        <v/>
      </c>
    </row>
    <row r="834" spans="2:9" x14ac:dyDescent="0.2">
      <c r="B834" s="12" t="str">
        <f>$B$17</f>
        <v>Fipronil</v>
      </c>
      <c r="C834" s="40">
        <f>VLOOKUP(KAL_standaard_4_06[[#This Row],[Component]],Kalibratie4[],2,FALSE)</f>
        <v>120.15600000000001</v>
      </c>
      <c r="D834" s="46"/>
      <c r="E834" s="48"/>
      <c r="F834" s="48"/>
      <c r="G834" s="45"/>
      <c r="H834" s="40" t="str">
        <f t="shared" si="104"/>
        <v/>
      </c>
      <c r="I834" s="32" t="str">
        <f t="shared" si="105"/>
        <v/>
      </c>
    </row>
    <row r="835" spans="2:9" x14ac:dyDescent="0.2">
      <c r="B835" s="12" t="str">
        <f>$B$18</f>
        <v>Florasulam</v>
      </c>
      <c r="C835" s="40">
        <f>VLOOKUP(KAL_standaard_4_06[[#This Row],[Component]],Kalibratie4[],2,FALSE)</f>
        <v>120.61200000000002</v>
      </c>
      <c r="D835" s="46"/>
      <c r="E835" s="48"/>
      <c r="F835" s="48"/>
      <c r="G835" s="45"/>
      <c r="H835" s="40" t="str">
        <f t="shared" si="104"/>
        <v/>
      </c>
      <c r="I835" s="32" t="str">
        <f t="shared" si="105"/>
        <v/>
      </c>
    </row>
    <row r="836" spans="2:9" x14ac:dyDescent="0.2">
      <c r="B836" s="12" t="str">
        <f>$B$19</f>
        <v>Fluazifop-P-butyl</v>
      </c>
      <c r="C836" s="40">
        <f>VLOOKUP(KAL_standaard_4_06[[#This Row],[Component]],Kalibratie4[],2,FALSE)</f>
        <v>120.78</v>
      </c>
      <c r="D836" s="46"/>
      <c r="E836" s="48"/>
      <c r="F836" s="48"/>
      <c r="G836" s="45"/>
      <c r="H836" s="40" t="str">
        <f t="shared" si="104"/>
        <v/>
      </c>
      <c r="I836" s="32" t="str">
        <f t="shared" si="105"/>
        <v/>
      </c>
    </row>
    <row r="837" spans="2:9" x14ac:dyDescent="0.2">
      <c r="B837" s="12" t="str">
        <f>$B$20</f>
        <v>Fluazinam</v>
      </c>
      <c r="C837" s="40">
        <f>VLOOKUP(KAL_standaard_4_06[[#This Row],[Component]],Kalibratie4[],2,FALSE)</f>
        <v>121.15199999999999</v>
      </c>
      <c r="D837" s="46"/>
      <c r="E837" s="48"/>
      <c r="F837" s="48"/>
      <c r="G837" s="45"/>
      <c r="H837" s="40" t="str">
        <f t="shared" si="104"/>
        <v/>
      </c>
      <c r="I837" s="32" t="str">
        <f t="shared" si="105"/>
        <v/>
      </c>
    </row>
    <row r="838" spans="2:9" x14ac:dyDescent="0.2">
      <c r="B838" s="12" t="str">
        <f>$B$21</f>
        <v>Fludioxonil</v>
      </c>
      <c r="C838" s="40">
        <f>VLOOKUP(KAL_standaard_4_06[[#This Row],[Component]],Kalibratie4[],2,FALSE)</f>
        <v>120.30000000000001</v>
      </c>
      <c r="D838" s="46"/>
      <c r="E838" s="48"/>
      <c r="F838" s="48"/>
      <c r="G838" s="45"/>
      <c r="H838" s="40" t="str">
        <f t="shared" si="104"/>
        <v/>
      </c>
      <c r="I838" s="32" t="str">
        <f t="shared" si="105"/>
        <v/>
      </c>
    </row>
    <row r="839" spans="2:9" x14ac:dyDescent="0.2">
      <c r="B839" s="12" t="str">
        <f>$B$22</f>
        <v>Mesotrione</v>
      </c>
      <c r="C839" s="40">
        <f>VLOOKUP(KAL_standaard_4_06[[#This Row],[Component]],Kalibratie4[],2,FALSE)</f>
        <v>120.79200000000002</v>
      </c>
      <c r="D839" s="46"/>
      <c r="E839" s="48"/>
      <c r="F839" s="48"/>
      <c r="G839" s="45"/>
      <c r="H839" s="40" t="str">
        <f t="shared" si="104"/>
        <v/>
      </c>
      <c r="I839" s="32" t="str">
        <f t="shared" si="105"/>
        <v/>
      </c>
    </row>
    <row r="840" spans="2:9" x14ac:dyDescent="0.2">
      <c r="B840" s="12" t="str">
        <f>$B$23</f>
        <v>Methoxyfenozide</v>
      </c>
      <c r="C840" s="40">
        <f>VLOOKUP(KAL_standaard_4_06[[#This Row],[Component]],Kalibratie4[],2,FALSE)</f>
        <v>120.70800000000001</v>
      </c>
      <c r="D840" s="46"/>
      <c r="E840" s="48"/>
      <c r="F840" s="48"/>
      <c r="G840" s="45"/>
      <c r="H840" s="40" t="str">
        <f t="shared" si="104"/>
        <v/>
      </c>
      <c r="I840" s="32" t="str">
        <f t="shared" si="105"/>
        <v/>
      </c>
    </row>
    <row r="841" spans="2:9" x14ac:dyDescent="0.2">
      <c r="B841" s="12" t="str">
        <f>$B$24</f>
        <v>Oxamyl</v>
      </c>
      <c r="C841" s="40">
        <f>VLOOKUP(KAL_standaard_4_06[[#This Row],[Component]],Kalibratie4[],2,FALSE)</f>
        <v>121.24799999999999</v>
      </c>
      <c r="D841" s="46"/>
      <c r="E841" s="48"/>
      <c r="F841" s="48"/>
      <c r="G841" s="45"/>
      <c r="H841" s="40" t="str">
        <f t="shared" si="104"/>
        <v/>
      </c>
      <c r="I841" s="32" t="str">
        <f t="shared" si="105"/>
        <v/>
      </c>
    </row>
    <row r="842" spans="2:9" x14ac:dyDescent="0.2">
      <c r="B842" s="13" t="str">
        <f>$B$25</f>
        <v>Triallaat</v>
      </c>
      <c r="C842" s="41">
        <f>VLOOKUP(KAL_standaard_4_06[[#This Row],[Component]],Kalibratie4[],2,FALSE)</f>
        <v>119.78400000000003</v>
      </c>
      <c r="D842" s="46"/>
      <c r="E842" s="48"/>
      <c r="F842" s="48"/>
      <c r="G842" s="45"/>
      <c r="H842" s="41" t="str">
        <f t="shared" si="104"/>
        <v/>
      </c>
      <c r="I842" s="32" t="str">
        <f t="shared" si="105"/>
        <v/>
      </c>
    </row>
    <row r="843" spans="2:9" x14ac:dyDescent="0.2">
      <c r="C843" s="42"/>
    </row>
    <row r="844" spans="2:9" ht="20.25" x14ac:dyDescent="0.3">
      <c r="B844" s="8" t="s">
        <v>57</v>
      </c>
      <c r="C844" s="42"/>
    </row>
    <row r="845" spans="2:9" ht="39" thickBot="1" x14ac:dyDescent="0.25">
      <c r="B845" s="15" t="s">
        <v>2</v>
      </c>
      <c r="C845" s="16" t="s">
        <v>3</v>
      </c>
      <c r="D845" s="16" t="s">
        <v>4</v>
      </c>
      <c r="E845" s="16" t="s">
        <v>161</v>
      </c>
      <c r="F845" s="16" t="s">
        <v>162</v>
      </c>
      <c r="G845" s="16" t="s">
        <v>5</v>
      </c>
      <c r="H845" s="43" t="s">
        <v>6</v>
      </c>
      <c r="I845" s="17" t="s">
        <v>7</v>
      </c>
    </row>
    <row r="846" spans="2:9" ht="13.5" thickTop="1" x14ac:dyDescent="0.2">
      <c r="B846" s="14" t="str">
        <f>$B$10</f>
        <v>Amisulbrom</v>
      </c>
      <c r="C846" s="22">
        <f>VLOOKUP(OW_B_additie_hoog15[[#This Row],[Component]],OW_B_additie_hoog01[],2,FALSE)</f>
        <v>144.6336</v>
      </c>
      <c r="D846" s="45"/>
      <c r="E846" s="47"/>
      <c r="F846" s="47"/>
      <c r="G846" s="45"/>
      <c r="H846" s="22" t="str">
        <f t="shared" ref="H846:H861" si="106">IF(G846="","",100*G846/C846)</f>
        <v/>
      </c>
      <c r="I846" s="32" t="str">
        <f t="shared" ref="I846:I861" si="107">IFERROR(MIN(E846,F846)/MAX(E846,F846)*100,"")</f>
        <v/>
      </c>
    </row>
    <row r="847" spans="2:9" x14ac:dyDescent="0.2">
      <c r="B847" s="12" t="str">
        <f>$B$11</f>
        <v>Clothianidine</v>
      </c>
      <c r="C847" s="40">
        <f>VLOOKUP(OW_B_additie_hoog15[[#This Row],[Component]],OW_B_additie_hoog01[],2,FALSE)</f>
        <v>143.16479999999999</v>
      </c>
      <c r="D847" s="46"/>
      <c r="E847" s="48"/>
      <c r="F847" s="48"/>
      <c r="G847" s="45"/>
      <c r="H847" s="40" t="str">
        <f t="shared" si="106"/>
        <v/>
      </c>
      <c r="I847" s="32" t="str">
        <f t="shared" si="107"/>
        <v/>
      </c>
    </row>
    <row r="848" spans="2:9" x14ac:dyDescent="0.2">
      <c r="B848" s="12" t="str">
        <f>$B$12</f>
        <v>Cyazofamide</v>
      </c>
      <c r="C848" s="40">
        <f>VLOOKUP(OW_B_additie_hoog15[[#This Row],[Component]],OW_B_additie_hoog01[],2,FALSE)</f>
        <v>144.05760000000001</v>
      </c>
      <c r="D848" s="46"/>
      <c r="E848" s="48"/>
      <c r="F848" s="48"/>
      <c r="G848" s="45"/>
      <c r="H848" s="40" t="str">
        <f t="shared" si="106"/>
        <v/>
      </c>
      <c r="I848" s="32" t="str">
        <f t="shared" si="107"/>
        <v/>
      </c>
    </row>
    <row r="849" spans="2:9" x14ac:dyDescent="0.2">
      <c r="B849" s="12" t="str">
        <f>$B$13</f>
        <v>Cymoxanil</v>
      </c>
      <c r="C849" s="40">
        <f>VLOOKUP(OW_B_additie_hoog15[[#This Row],[Component]],OW_B_additie_hoog01[],2,FALSE)</f>
        <v>143.69760000000002</v>
      </c>
      <c r="D849" s="46"/>
      <c r="E849" s="48"/>
      <c r="F849" s="48"/>
      <c r="G849" s="45"/>
      <c r="H849" s="40" t="str">
        <f t="shared" si="106"/>
        <v/>
      </c>
      <c r="I849" s="32" t="str">
        <f t="shared" si="107"/>
        <v/>
      </c>
    </row>
    <row r="850" spans="2:9" x14ac:dyDescent="0.2">
      <c r="B850" s="12" t="str">
        <f>$B$14</f>
        <v>Desmedifam</v>
      </c>
      <c r="C850" s="40">
        <f>VLOOKUP(OW_B_additie_hoog15[[#This Row],[Component]],OW_B_additie_hoog01[],2,FALSE)</f>
        <v>144.37440000000004</v>
      </c>
      <c r="D850" s="46"/>
      <c r="E850" s="48"/>
      <c r="F850" s="48"/>
      <c r="G850" s="45"/>
      <c r="H850" s="40" t="str">
        <f t="shared" si="106"/>
        <v/>
      </c>
      <c r="I850" s="32" t="str">
        <f t="shared" si="107"/>
        <v/>
      </c>
    </row>
    <row r="851" spans="2:9" x14ac:dyDescent="0.2">
      <c r="B851" s="12" t="str">
        <f>$B$15</f>
        <v>Fenmedifam</v>
      </c>
      <c r="C851" s="40">
        <f>VLOOKUP(OW_B_additie_hoog15[[#This Row],[Component]],OW_B_additie_hoog01[],2,FALSE)</f>
        <v>143.88479999999998</v>
      </c>
      <c r="D851" s="46"/>
      <c r="E851" s="48"/>
      <c r="F851" s="48"/>
      <c r="G851" s="45"/>
      <c r="H851" s="40" t="str">
        <f t="shared" si="106"/>
        <v/>
      </c>
      <c r="I851" s="32" t="str">
        <f t="shared" si="107"/>
        <v/>
      </c>
    </row>
    <row r="852" spans="2:9" x14ac:dyDescent="0.2">
      <c r="B852" s="12" t="str">
        <f>$B$16</f>
        <v>Fenoxycarb</v>
      </c>
      <c r="C852" s="40">
        <f>VLOOKUP(OW_B_additie_hoog15[[#This Row],[Component]],OW_B_additie_hoog01[],2,FALSE)</f>
        <v>146.9376</v>
      </c>
      <c r="D852" s="46"/>
      <c r="E852" s="48"/>
      <c r="F852" s="48"/>
      <c r="G852" s="45"/>
      <c r="H852" s="40" t="str">
        <f t="shared" si="106"/>
        <v/>
      </c>
      <c r="I852" s="32" t="str">
        <f t="shared" si="107"/>
        <v/>
      </c>
    </row>
    <row r="853" spans="2:9" x14ac:dyDescent="0.2">
      <c r="B853" s="12" t="str">
        <f>$B$17</f>
        <v>Fipronil</v>
      </c>
      <c r="C853" s="40">
        <f>VLOOKUP(OW_B_additie_hoog15[[#This Row],[Component]],OW_B_additie_hoog01[],2,FALSE)</f>
        <v>144.18719999999999</v>
      </c>
      <c r="D853" s="46"/>
      <c r="E853" s="48"/>
      <c r="F853" s="48"/>
      <c r="G853" s="45"/>
      <c r="H853" s="40" t="str">
        <f t="shared" si="106"/>
        <v/>
      </c>
      <c r="I853" s="32" t="str">
        <f t="shared" si="107"/>
        <v/>
      </c>
    </row>
    <row r="854" spans="2:9" x14ac:dyDescent="0.2">
      <c r="B854" s="12" t="str">
        <f>$B$18</f>
        <v>Florasulam</v>
      </c>
      <c r="C854" s="40">
        <f>VLOOKUP(OW_B_additie_hoog15[[#This Row],[Component]],OW_B_additie_hoog01[],2,FALSE)</f>
        <v>144.73440000000005</v>
      </c>
      <c r="D854" s="46"/>
      <c r="E854" s="48"/>
      <c r="F854" s="48"/>
      <c r="G854" s="45"/>
      <c r="H854" s="40" t="str">
        <f t="shared" si="106"/>
        <v/>
      </c>
      <c r="I854" s="32" t="str">
        <f t="shared" si="107"/>
        <v/>
      </c>
    </row>
    <row r="855" spans="2:9" x14ac:dyDescent="0.2">
      <c r="B855" s="12" t="str">
        <f>$B$19</f>
        <v>Fluazifop-P-butyl</v>
      </c>
      <c r="C855" s="40">
        <f>VLOOKUP(OW_B_additie_hoog15[[#This Row],[Component]],OW_B_additie_hoog01[],2,FALSE)</f>
        <v>144.93599999999998</v>
      </c>
      <c r="D855" s="46"/>
      <c r="E855" s="48"/>
      <c r="F855" s="48"/>
      <c r="G855" s="45"/>
      <c r="H855" s="40" t="str">
        <f t="shared" si="106"/>
        <v/>
      </c>
      <c r="I855" s="32" t="str">
        <f t="shared" si="107"/>
        <v/>
      </c>
    </row>
    <row r="856" spans="2:9" x14ac:dyDescent="0.2">
      <c r="B856" s="12" t="str">
        <f>$B$20</f>
        <v>Fluazinam</v>
      </c>
      <c r="C856" s="40">
        <f>VLOOKUP(OW_B_additie_hoog15[[#This Row],[Component]],OW_B_additie_hoog01[],2,FALSE)</f>
        <v>145.38239999999999</v>
      </c>
      <c r="D856" s="46"/>
      <c r="E856" s="48"/>
      <c r="F856" s="48"/>
      <c r="G856" s="45"/>
      <c r="H856" s="40" t="str">
        <f t="shared" si="106"/>
        <v/>
      </c>
      <c r="I856" s="32" t="str">
        <f t="shared" si="107"/>
        <v/>
      </c>
    </row>
    <row r="857" spans="2:9" x14ac:dyDescent="0.2">
      <c r="B857" s="12" t="str">
        <f>$B$21</f>
        <v>Fludioxonil</v>
      </c>
      <c r="C857" s="40">
        <f>VLOOKUP(OW_B_additie_hoog15[[#This Row],[Component]],OW_B_additie_hoog01[],2,FALSE)</f>
        <v>144.36000000000001</v>
      </c>
      <c r="D857" s="46"/>
      <c r="E857" s="48"/>
      <c r="F857" s="48"/>
      <c r="G857" s="45"/>
      <c r="H857" s="40" t="str">
        <f t="shared" si="106"/>
        <v/>
      </c>
      <c r="I857" s="32" t="str">
        <f t="shared" si="107"/>
        <v/>
      </c>
    </row>
    <row r="858" spans="2:9" x14ac:dyDescent="0.2">
      <c r="B858" s="12" t="str">
        <f>$B$22</f>
        <v>Mesotrione</v>
      </c>
      <c r="C858" s="40">
        <f>VLOOKUP(OW_B_additie_hoog15[[#This Row],[Component]],OW_B_additie_hoog01[],2,FALSE)</f>
        <v>144.9504</v>
      </c>
      <c r="D858" s="46"/>
      <c r="E858" s="48"/>
      <c r="F858" s="48"/>
      <c r="G858" s="45"/>
      <c r="H858" s="40" t="str">
        <f t="shared" si="106"/>
        <v/>
      </c>
      <c r="I858" s="32" t="str">
        <f t="shared" si="107"/>
        <v/>
      </c>
    </row>
    <row r="859" spans="2:9" x14ac:dyDescent="0.2">
      <c r="B859" s="12" t="str">
        <f>$B$23</f>
        <v>Methoxyfenozide</v>
      </c>
      <c r="C859" s="40">
        <f>VLOOKUP(OW_B_additie_hoog15[[#This Row],[Component]],OW_B_additie_hoog01[],2,FALSE)</f>
        <v>144.84960000000001</v>
      </c>
      <c r="D859" s="46"/>
      <c r="E859" s="48"/>
      <c r="F859" s="48"/>
      <c r="G859" s="45"/>
      <c r="H859" s="40" t="str">
        <f t="shared" si="106"/>
        <v/>
      </c>
      <c r="I859" s="32" t="str">
        <f t="shared" si="107"/>
        <v/>
      </c>
    </row>
    <row r="860" spans="2:9" x14ac:dyDescent="0.2">
      <c r="B860" s="12" t="str">
        <f>$B$24</f>
        <v>Oxamyl</v>
      </c>
      <c r="C860" s="40">
        <f>VLOOKUP(OW_B_additie_hoog15[[#This Row],[Component]],OW_B_additie_hoog01[],2,FALSE)</f>
        <v>145.49759999999998</v>
      </c>
      <c r="D860" s="46"/>
      <c r="E860" s="48"/>
      <c r="F860" s="48"/>
      <c r="G860" s="45"/>
      <c r="H860" s="40" t="str">
        <f t="shared" si="106"/>
        <v/>
      </c>
      <c r="I860" s="32" t="str">
        <f t="shared" si="107"/>
        <v/>
      </c>
    </row>
    <row r="861" spans="2:9" x14ac:dyDescent="0.2">
      <c r="B861" s="13" t="str">
        <f>$B$25</f>
        <v>Triallaat</v>
      </c>
      <c r="C861" s="41">
        <f>VLOOKUP(OW_B_additie_hoog15[[#This Row],[Component]],OW_B_additie_hoog01[],2,FALSE)</f>
        <v>143.74080000000001</v>
      </c>
      <c r="D861" s="46"/>
      <c r="E861" s="48"/>
      <c r="F861" s="48"/>
      <c r="G861" s="45"/>
      <c r="H861" s="41" t="str">
        <f t="shared" si="106"/>
        <v/>
      </c>
      <c r="I861" s="32" t="str">
        <f t="shared" si="107"/>
        <v/>
      </c>
    </row>
    <row r="862" spans="2:9" x14ac:dyDescent="0.2">
      <c r="C862" s="42"/>
    </row>
    <row r="863" spans="2:9" ht="20.25" x14ac:dyDescent="0.3">
      <c r="B863" s="8" t="s">
        <v>58</v>
      </c>
      <c r="C863" s="42"/>
    </row>
    <row r="864" spans="2:9" ht="39" thickBot="1" x14ac:dyDescent="0.25">
      <c r="B864" s="15" t="s">
        <v>2</v>
      </c>
      <c r="C864" s="16" t="s">
        <v>3</v>
      </c>
      <c r="D864" s="16" t="s">
        <v>4</v>
      </c>
      <c r="E864" s="16" t="s">
        <v>161</v>
      </c>
      <c r="F864" s="16" t="s">
        <v>162</v>
      </c>
      <c r="G864" s="16" t="s">
        <v>5</v>
      </c>
      <c r="H864" s="43" t="s">
        <v>6</v>
      </c>
      <c r="I864" s="17" t="s">
        <v>7</v>
      </c>
    </row>
    <row r="865" spans="2:9" ht="13.5" thickTop="1" x14ac:dyDescent="0.2">
      <c r="B865" s="14" t="str">
        <f>$B$10</f>
        <v>Amisulbrom</v>
      </c>
      <c r="C865" s="22">
        <f>VLOOKUP(OW_B_additie_hoog16[[#This Row],[Component]],OW_B_additie_hoog01[],2,FALSE)</f>
        <v>144.6336</v>
      </c>
      <c r="D865" s="45"/>
      <c r="E865" s="47"/>
      <c r="F865" s="47"/>
      <c r="G865" s="45"/>
      <c r="H865" s="22" t="str">
        <f t="shared" ref="H865:H880" si="108">IF(G865="","",100*G865/C865)</f>
        <v/>
      </c>
      <c r="I865" s="32" t="str">
        <f t="shared" ref="I865:I880" si="109">IFERROR(MIN(E865,F865)/MAX(E865,F865)*100,"")</f>
        <v/>
      </c>
    </row>
    <row r="866" spans="2:9" x14ac:dyDescent="0.2">
      <c r="B866" s="12" t="str">
        <f>$B$11</f>
        <v>Clothianidine</v>
      </c>
      <c r="C866" s="40">
        <f>VLOOKUP(OW_B_additie_hoog16[[#This Row],[Component]],OW_B_additie_hoog01[],2,FALSE)</f>
        <v>143.16479999999999</v>
      </c>
      <c r="D866" s="46"/>
      <c r="E866" s="48"/>
      <c r="F866" s="48"/>
      <c r="G866" s="45"/>
      <c r="H866" s="40" t="str">
        <f t="shared" si="108"/>
        <v/>
      </c>
      <c r="I866" s="32" t="str">
        <f t="shared" si="109"/>
        <v/>
      </c>
    </row>
    <row r="867" spans="2:9" x14ac:dyDescent="0.2">
      <c r="B867" s="12" t="str">
        <f>$B$12</f>
        <v>Cyazofamide</v>
      </c>
      <c r="C867" s="40">
        <f>VLOOKUP(OW_B_additie_hoog16[[#This Row],[Component]],OW_B_additie_hoog01[],2,FALSE)</f>
        <v>144.05760000000001</v>
      </c>
      <c r="D867" s="46"/>
      <c r="E867" s="48"/>
      <c r="F867" s="48"/>
      <c r="G867" s="45"/>
      <c r="H867" s="40" t="str">
        <f t="shared" si="108"/>
        <v/>
      </c>
      <c r="I867" s="32" t="str">
        <f t="shared" si="109"/>
        <v/>
      </c>
    </row>
    <row r="868" spans="2:9" x14ac:dyDescent="0.2">
      <c r="B868" s="12" t="str">
        <f>$B$13</f>
        <v>Cymoxanil</v>
      </c>
      <c r="C868" s="40">
        <f>VLOOKUP(OW_B_additie_hoog16[[#This Row],[Component]],OW_B_additie_hoog01[],2,FALSE)</f>
        <v>143.69760000000002</v>
      </c>
      <c r="D868" s="46"/>
      <c r="E868" s="48"/>
      <c r="F868" s="48"/>
      <c r="G868" s="45"/>
      <c r="H868" s="40" t="str">
        <f t="shared" si="108"/>
        <v/>
      </c>
      <c r="I868" s="32" t="str">
        <f t="shared" si="109"/>
        <v/>
      </c>
    </row>
    <row r="869" spans="2:9" x14ac:dyDescent="0.2">
      <c r="B869" s="12" t="str">
        <f>$B$14</f>
        <v>Desmedifam</v>
      </c>
      <c r="C869" s="40">
        <f>VLOOKUP(OW_B_additie_hoog16[[#This Row],[Component]],OW_B_additie_hoog01[],2,FALSE)</f>
        <v>144.37440000000004</v>
      </c>
      <c r="D869" s="46"/>
      <c r="E869" s="48"/>
      <c r="F869" s="48"/>
      <c r="G869" s="45"/>
      <c r="H869" s="40" t="str">
        <f t="shared" si="108"/>
        <v/>
      </c>
      <c r="I869" s="32" t="str">
        <f t="shared" si="109"/>
        <v/>
      </c>
    </row>
    <row r="870" spans="2:9" x14ac:dyDescent="0.2">
      <c r="B870" s="12" t="str">
        <f>$B$15</f>
        <v>Fenmedifam</v>
      </c>
      <c r="C870" s="40">
        <f>VLOOKUP(OW_B_additie_hoog16[[#This Row],[Component]],OW_B_additie_hoog01[],2,FALSE)</f>
        <v>143.88479999999998</v>
      </c>
      <c r="D870" s="46"/>
      <c r="E870" s="48"/>
      <c r="F870" s="48"/>
      <c r="G870" s="45"/>
      <c r="H870" s="40" t="str">
        <f t="shared" si="108"/>
        <v/>
      </c>
      <c r="I870" s="32" t="str">
        <f t="shared" si="109"/>
        <v/>
      </c>
    </row>
    <row r="871" spans="2:9" x14ac:dyDescent="0.2">
      <c r="B871" s="12" t="str">
        <f>$B$16</f>
        <v>Fenoxycarb</v>
      </c>
      <c r="C871" s="40">
        <f>VLOOKUP(OW_B_additie_hoog16[[#This Row],[Component]],OW_B_additie_hoog01[],2,FALSE)</f>
        <v>146.9376</v>
      </c>
      <c r="D871" s="46"/>
      <c r="E871" s="48"/>
      <c r="F871" s="48"/>
      <c r="G871" s="45"/>
      <c r="H871" s="40" t="str">
        <f t="shared" si="108"/>
        <v/>
      </c>
      <c r="I871" s="32" t="str">
        <f t="shared" si="109"/>
        <v/>
      </c>
    </row>
    <row r="872" spans="2:9" x14ac:dyDescent="0.2">
      <c r="B872" s="12" t="str">
        <f>$B$17</f>
        <v>Fipronil</v>
      </c>
      <c r="C872" s="40">
        <f>VLOOKUP(OW_B_additie_hoog16[[#This Row],[Component]],OW_B_additie_hoog01[],2,FALSE)</f>
        <v>144.18719999999999</v>
      </c>
      <c r="D872" s="46"/>
      <c r="E872" s="48"/>
      <c r="F872" s="48"/>
      <c r="G872" s="45"/>
      <c r="H872" s="40" t="str">
        <f t="shared" si="108"/>
        <v/>
      </c>
      <c r="I872" s="32" t="str">
        <f t="shared" si="109"/>
        <v/>
      </c>
    </row>
    <row r="873" spans="2:9" x14ac:dyDescent="0.2">
      <c r="B873" s="12" t="str">
        <f>$B$18</f>
        <v>Florasulam</v>
      </c>
      <c r="C873" s="40">
        <f>VLOOKUP(OW_B_additie_hoog16[[#This Row],[Component]],OW_B_additie_hoog01[],2,FALSE)</f>
        <v>144.73440000000005</v>
      </c>
      <c r="D873" s="46"/>
      <c r="E873" s="48"/>
      <c r="F873" s="48"/>
      <c r="G873" s="45"/>
      <c r="H873" s="40" t="str">
        <f t="shared" si="108"/>
        <v/>
      </c>
      <c r="I873" s="32" t="str">
        <f t="shared" si="109"/>
        <v/>
      </c>
    </row>
    <row r="874" spans="2:9" x14ac:dyDescent="0.2">
      <c r="B874" s="12" t="str">
        <f>$B$19</f>
        <v>Fluazifop-P-butyl</v>
      </c>
      <c r="C874" s="40">
        <f>VLOOKUP(OW_B_additie_hoog16[[#This Row],[Component]],OW_B_additie_hoog01[],2,FALSE)</f>
        <v>144.93599999999998</v>
      </c>
      <c r="D874" s="46"/>
      <c r="E874" s="48"/>
      <c r="F874" s="48"/>
      <c r="G874" s="45"/>
      <c r="H874" s="40" t="str">
        <f t="shared" si="108"/>
        <v/>
      </c>
      <c r="I874" s="32" t="str">
        <f t="shared" si="109"/>
        <v/>
      </c>
    </row>
    <row r="875" spans="2:9" x14ac:dyDescent="0.2">
      <c r="B875" s="12" t="str">
        <f>$B$20</f>
        <v>Fluazinam</v>
      </c>
      <c r="C875" s="40">
        <f>VLOOKUP(OW_B_additie_hoog16[[#This Row],[Component]],OW_B_additie_hoog01[],2,FALSE)</f>
        <v>145.38239999999999</v>
      </c>
      <c r="D875" s="46"/>
      <c r="E875" s="48"/>
      <c r="F875" s="48"/>
      <c r="G875" s="45"/>
      <c r="H875" s="40" t="str">
        <f t="shared" si="108"/>
        <v/>
      </c>
      <c r="I875" s="32" t="str">
        <f t="shared" si="109"/>
        <v/>
      </c>
    </row>
    <row r="876" spans="2:9" x14ac:dyDescent="0.2">
      <c r="B876" s="12" t="str">
        <f>$B$21</f>
        <v>Fludioxonil</v>
      </c>
      <c r="C876" s="40">
        <f>VLOOKUP(OW_B_additie_hoog16[[#This Row],[Component]],OW_B_additie_hoog01[],2,FALSE)</f>
        <v>144.36000000000001</v>
      </c>
      <c r="D876" s="46"/>
      <c r="E876" s="48"/>
      <c r="F876" s="48"/>
      <c r="G876" s="45"/>
      <c r="H876" s="40" t="str">
        <f t="shared" si="108"/>
        <v/>
      </c>
      <c r="I876" s="32" t="str">
        <f t="shared" si="109"/>
        <v/>
      </c>
    </row>
    <row r="877" spans="2:9" x14ac:dyDescent="0.2">
      <c r="B877" s="12" t="str">
        <f>$B$22</f>
        <v>Mesotrione</v>
      </c>
      <c r="C877" s="40">
        <f>VLOOKUP(OW_B_additie_hoog16[[#This Row],[Component]],OW_B_additie_hoog01[],2,FALSE)</f>
        <v>144.9504</v>
      </c>
      <c r="D877" s="46"/>
      <c r="E877" s="48"/>
      <c r="F877" s="48"/>
      <c r="G877" s="45"/>
      <c r="H877" s="40" t="str">
        <f t="shared" si="108"/>
        <v/>
      </c>
      <c r="I877" s="32" t="str">
        <f t="shared" si="109"/>
        <v/>
      </c>
    </row>
    <row r="878" spans="2:9" x14ac:dyDescent="0.2">
      <c r="B878" s="12" t="str">
        <f>$B$23</f>
        <v>Methoxyfenozide</v>
      </c>
      <c r="C878" s="40">
        <f>VLOOKUP(OW_B_additie_hoog16[[#This Row],[Component]],OW_B_additie_hoog01[],2,FALSE)</f>
        <v>144.84960000000001</v>
      </c>
      <c r="D878" s="46"/>
      <c r="E878" s="48"/>
      <c r="F878" s="48"/>
      <c r="G878" s="45"/>
      <c r="H878" s="40" t="str">
        <f t="shared" si="108"/>
        <v/>
      </c>
      <c r="I878" s="32" t="str">
        <f t="shared" si="109"/>
        <v/>
      </c>
    </row>
    <row r="879" spans="2:9" x14ac:dyDescent="0.2">
      <c r="B879" s="12" t="str">
        <f>$B$24</f>
        <v>Oxamyl</v>
      </c>
      <c r="C879" s="40">
        <f>VLOOKUP(OW_B_additie_hoog16[[#This Row],[Component]],OW_B_additie_hoog01[],2,FALSE)</f>
        <v>145.49759999999998</v>
      </c>
      <c r="D879" s="46"/>
      <c r="E879" s="48"/>
      <c r="F879" s="48"/>
      <c r="G879" s="45"/>
      <c r="H879" s="40" t="str">
        <f t="shared" si="108"/>
        <v/>
      </c>
      <c r="I879" s="32" t="str">
        <f t="shared" si="109"/>
        <v/>
      </c>
    </row>
    <row r="880" spans="2:9" x14ac:dyDescent="0.2">
      <c r="B880" s="13" t="str">
        <f>$B$25</f>
        <v>Triallaat</v>
      </c>
      <c r="C880" s="41">
        <f>VLOOKUP(OW_B_additie_hoog16[[#This Row],[Component]],OW_B_additie_hoog01[],2,FALSE)</f>
        <v>143.74080000000001</v>
      </c>
      <c r="D880" s="46"/>
      <c r="E880" s="48"/>
      <c r="F880" s="48"/>
      <c r="G880" s="45"/>
      <c r="H880" s="41" t="str">
        <f t="shared" si="108"/>
        <v/>
      </c>
      <c r="I880" s="32" t="str">
        <f t="shared" si="109"/>
        <v/>
      </c>
    </row>
    <row r="881" spans="2:9" x14ac:dyDescent="0.2">
      <c r="C881" s="42"/>
    </row>
    <row r="882" spans="2:9" ht="20.25" x14ac:dyDescent="0.3">
      <c r="B882" s="8" t="s">
        <v>70</v>
      </c>
      <c r="C882" s="42"/>
    </row>
    <row r="883" spans="2:9" ht="39" thickBot="1" x14ac:dyDescent="0.25">
      <c r="B883" s="15" t="s">
        <v>2</v>
      </c>
      <c r="C883" s="16" t="s">
        <v>3</v>
      </c>
      <c r="D883" s="16" t="s">
        <v>4</v>
      </c>
      <c r="E883" s="16" t="s">
        <v>161</v>
      </c>
      <c r="F883" s="16" t="s">
        <v>162</v>
      </c>
      <c r="G883" s="16" t="s">
        <v>5</v>
      </c>
      <c r="H883" s="43" t="s">
        <v>6</v>
      </c>
      <c r="I883" s="17" t="s">
        <v>7</v>
      </c>
    </row>
    <row r="884" spans="2:9" ht="13.5" thickTop="1" x14ac:dyDescent="0.2">
      <c r="B884" s="14" t="str">
        <f>$B$10</f>
        <v>Amisulbrom</v>
      </c>
      <c r="C884" s="22">
        <f>VLOOKUP(KAL_standaard_4_07[[#This Row],[Component]],Kalibratie4[],2,FALSE)</f>
        <v>120.52799999999999</v>
      </c>
      <c r="D884" s="45"/>
      <c r="E884" s="47"/>
      <c r="F884" s="47"/>
      <c r="G884" s="45"/>
      <c r="H884" s="22" t="str">
        <f t="shared" ref="H884:H899" si="110">IF(G884="","",100*G884/C884)</f>
        <v/>
      </c>
      <c r="I884" s="32" t="str">
        <f t="shared" ref="I884:I899" si="111">IFERROR(MIN(E884,F884)/MAX(E884,F884)*100,"")</f>
        <v/>
      </c>
    </row>
    <row r="885" spans="2:9" x14ac:dyDescent="0.2">
      <c r="B885" s="12" t="str">
        <f>$B$11</f>
        <v>Clothianidine</v>
      </c>
      <c r="C885" s="40">
        <f>VLOOKUP(KAL_standaard_4_07[[#This Row],[Component]],Kalibratie4[],2,FALSE)</f>
        <v>119.304</v>
      </c>
      <c r="D885" s="46"/>
      <c r="E885" s="48"/>
      <c r="F885" s="48"/>
      <c r="G885" s="45"/>
      <c r="H885" s="40" t="str">
        <f t="shared" si="110"/>
        <v/>
      </c>
      <c r="I885" s="32" t="str">
        <f t="shared" si="111"/>
        <v/>
      </c>
    </row>
    <row r="886" spans="2:9" x14ac:dyDescent="0.2">
      <c r="B886" s="12" t="str">
        <f>$B$12</f>
        <v>Cyazofamide</v>
      </c>
      <c r="C886" s="40">
        <f>VLOOKUP(KAL_standaard_4_07[[#This Row],[Component]],Kalibratie4[],2,FALSE)</f>
        <v>120.04799999999999</v>
      </c>
      <c r="D886" s="46"/>
      <c r="E886" s="48"/>
      <c r="F886" s="48"/>
      <c r="G886" s="45"/>
      <c r="H886" s="40" t="str">
        <f t="shared" si="110"/>
        <v/>
      </c>
      <c r="I886" s="32" t="str">
        <f t="shared" si="111"/>
        <v/>
      </c>
    </row>
    <row r="887" spans="2:9" x14ac:dyDescent="0.2">
      <c r="B887" s="12" t="str">
        <f>$B$13</f>
        <v>Cymoxanil</v>
      </c>
      <c r="C887" s="40">
        <f>VLOOKUP(KAL_standaard_4_07[[#This Row],[Component]],Kalibratie4[],2,FALSE)</f>
        <v>119.74799999999999</v>
      </c>
      <c r="D887" s="46"/>
      <c r="E887" s="48"/>
      <c r="F887" s="48"/>
      <c r="G887" s="45"/>
      <c r="H887" s="40" t="str">
        <f t="shared" si="110"/>
        <v/>
      </c>
      <c r="I887" s="32" t="str">
        <f t="shared" si="111"/>
        <v/>
      </c>
    </row>
    <row r="888" spans="2:9" x14ac:dyDescent="0.2">
      <c r="B888" s="12" t="str">
        <f>$B$14</f>
        <v>Desmedifam</v>
      </c>
      <c r="C888" s="40">
        <f>VLOOKUP(KAL_standaard_4_07[[#This Row],[Component]],Kalibratie4[],2,FALSE)</f>
        <v>120.31200000000004</v>
      </c>
      <c r="D888" s="46"/>
      <c r="E888" s="48"/>
      <c r="F888" s="48"/>
      <c r="G888" s="45"/>
      <c r="H888" s="40" t="str">
        <f t="shared" si="110"/>
        <v/>
      </c>
      <c r="I888" s="32" t="str">
        <f t="shared" si="111"/>
        <v/>
      </c>
    </row>
    <row r="889" spans="2:9" x14ac:dyDescent="0.2">
      <c r="B889" s="12" t="str">
        <f>$B$15</f>
        <v>Fenmedifam</v>
      </c>
      <c r="C889" s="40">
        <f>VLOOKUP(KAL_standaard_4_07[[#This Row],[Component]],Kalibratie4[],2,FALSE)</f>
        <v>119.904</v>
      </c>
      <c r="D889" s="46"/>
      <c r="E889" s="48"/>
      <c r="F889" s="48"/>
      <c r="G889" s="45"/>
      <c r="H889" s="40" t="str">
        <f t="shared" si="110"/>
        <v/>
      </c>
      <c r="I889" s="32" t="str">
        <f t="shared" si="111"/>
        <v/>
      </c>
    </row>
    <row r="890" spans="2:9" x14ac:dyDescent="0.2">
      <c r="B890" s="12" t="str">
        <f>$B$16</f>
        <v>Fenoxycarb</v>
      </c>
      <c r="C890" s="40">
        <f>VLOOKUP(KAL_standaard_4_07[[#This Row],[Component]],Kalibratie4[],2,FALSE)</f>
        <v>122.44800000000001</v>
      </c>
      <c r="D890" s="46"/>
      <c r="E890" s="48"/>
      <c r="F890" s="48"/>
      <c r="G890" s="45"/>
      <c r="H890" s="40" t="str">
        <f t="shared" si="110"/>
        <v/>
      </c>
      <c r="I890" s="32" t="str">
        <f t="shared" si="111"/>
        <v/>
      </c>
    </row>
    <row r="891" spans="2:9" x14ac:dyDescent="0.2">
      <c r="B891" s="12" t="str">
        <f>$B$17</f>
        <v>Fipronil</v>
      </c>
      <c r="C891" s="40">
        <f>VLOOKUP(KAL_standaard_4_07[[#This Row],[Component]],Kalibratie4[],2,FALSE)</f>
        <v>120.15600000000001</v>
      </c>
      <c r="D891" s="46"/>
      <c r="E891" s="48"/>
      <c r="F891" s="48"/>
      <c r="G891" s="45"/>
      <c r="H891" s="40" t="str">
        <f t="shared" si="110"/>
        <v/>
      </c>
      <c r="I891" s="32" t="str">
        <f t="shared" si="111"/>
        <v/>
      </c>
    </row>
    <row r="892" spans="2:9" x14ac:dyDescent="0.2">
      <c r="B892" s="12" t="str">
        <f>$B$18</f>
        <v>Florasulam</v>
      </c>
      <c r="C892" s="40">
        <f>VLOOKUP(KAL_standaard_4_07[[#This Row],[Component]],Kalibratie4[],2,FALSE)</f>
        <v>120.61200000000002</v>
      </c>
      <c r="D892" s="46"/>
      <c r="E892" s="48"/>
      <c r="F892" s="48"/>
      <c r="G892" s="45"/>
      <c r="H892" s="40" t="str">
        <f t="shared" si="110"/>
        <v/>
      </c>
      <c r="I892" s="32" t="str">
        <f t="shared" si="111"/>
        <v/>
      </c>
    </row>
    <row r="893" spans="2:9" x14ac:dyDescent="0.2">
      <c r="B893" s="12" t="str">
        <f>$B$19</f>
        <v>Fluazifop-P-butyl</v>
      </c>
      <c r="C893" s="40">
        <f>VLOOKUP(KAL_standaard_4_07[[#This Row],[Component]],Kalibratie4[],2,FALSE)</f>
        <v>120.78</v>
      </c>
      <c r="D893" s="46"/>
      <c r="E893" s="48"/>
      <c r="F893" s="48"/>
      <c r="G893" s="45"/>
      <c r="H893" s="40" t="str">
        <f t="shared" si="110"/>
        <v/>
      </c>
      <c r="I893" s="32" t="str">
        <f t="shared" si="111"/>
        <v/>
      </c>
    </row>
    <row r="894" spans="2:9" x14ac:dyDescent="0.2">
      <c r="B894" s="12" t="str">
        <f>$B$20</f>
        <v>Fluazinam</v>
      </c>
      <c r="C894" s="40">
        <f>VLOOKUP(KAL_standaard_4_07[[#This Row],[Component]],Kalibratie4[],2,FALSE)</f>
        <v>121.15199999999999</v>
      </c>
      <c r="D894" s="46"/>
      <c r="E894" s="48"/>
      <c r="F894" s="48"/>
      <c r="G894" s="45"/>
      <c r="H894" s="40" t="str">
        <f t="shared" si="110"/>
        <v/>
      </c>
      <c r="I894" s="32" t="str">
        <f t="shared" si="111"/>
        <v/>
      </c>
    </row>
    <row r="895" spans="2:9" x14ac:dyDescent="0.2">
      <c r="B895" s="12" t="str">
        <f>$B$21</f>
        <v>Fludioxonil</v>
      </c>
      <c r="C895" s="40">
        <f>VLOOKUP(KAL_standaard_4_07[[#This Row],[Component]],Kalibratie4[],2,FALSE)</f>
        <v>120.30000000000001</v>
      </c>
      <c r="D895" s="46"/>
      <c r="E895" s="48"/>
      <c r="F895" s="48"/>
      <c r="G895" s="45"/>
      <c r="H895" s="40" t="str">
        <f t="shared" si="110"/>
        <v/>
      </c>
      <c r="I895" s="32" t="str">
        <f t="shared" si="111"/>
        <v/>
      </c>
    </row>
    <row r="896" spans="2:9" x14ac:dyDescent="0.2">
      <c r="B896" s="12" t="str">
        <f>$B$22</f>
        <v>Mesotrione</v>
      </c>
      <c r="C896" s="40">
        <f>VLOOKUP(KAL_standaard_4_07[[#This Row],[Component]],Kalibratie4[],2,FALSE)</f>
        <v>120.79200000000002</v>
      </c>
      <c r="D896" s="46"/>
      <c r="E896" s="48"/>
      <c r="F896" s="48"/>
      <c r="G896" s="45"/>
      <c r="H896" s="40" t="str">
        <f t="shared" si="110"/>
        <v/>
      </c>
      <c r="I896" s="32" t="str">
        <f t="shared" si="111"/>
        <v/>
      </c>
    </row>
    <row r="897" spans="2:9" x14ac:dyDescent="0.2">
      <c r="B897" s="12" t="str">
        <f>$B$23</f>
        <v>Methoxyfenozide</v>
      </c>
      <c r="C897" s="40">
        <f>VLOOKUP(KAL_standaard_4_07[[#This Row],[Component]],Kalibratie4[],2,FALSE)</f>
        <v>120.70800000000001</v>
      </c>
      <c r="D897" s="46"/>
      <c r="E897" s="48"/>
      <c r="F897" s="48"/>
      <c r="G897" s="45"/>
      <c r="H897" s="40" t="str">
        <f t="shared" si="110"/>
        <v/>
      </c>
      <c r="I897" s="32" t="str">
        <f t="shared" si="111"/>
        <v/>
      </c>
    </row>
    <row r="898" spans="2:9" x14ac:dyDescent="0.2">
      <c r="B898" s="12" t="str">
        <f>$B$24</f>
        <v>Oxamyl</v>
      </c>
      <c r="C898" s="40">
        <f>VLOOKUP(KAL_standaard_4_07[[#This Row],[Component]],Kalibratie4[],2,FALSE)</f>
        <v>121.24799999999999</v>
      </c>
      <c r="D898" s="46"/>
      <c r="E898" s="48"/>
      <c r="F898" s="48"/>
      <c r="G898" s="45"/>
      <c r="H898" s="40" t="str">
        <f t="shared" si="110"/>
        <v/>
      </c>
      <c r="I898" s="32" t="str">
        <f t="shared" si="111"/>
        <v/>
      </c>
    </row>
    <row r="899" spans="2:9" x14ac:dyDescent="0.2">
      <c r="B899" s="13" t="str">
        <f>$B$25</f>
        <v>Triallaat</v>
      </c>
      <c r="C899" s="41">
        <f>VLOOKUP(KAL_standaard_4_07[[#This Row],[Component]],Kalibratie4[],2,FALSE)</f>
        <v>119.78400000000003</v>
      </c>
      <c r="D899" s="46"/>
      <c r="E899" s="48"/>
      <c r="F899" s="48"/>
      <c r="G899" s="45"/>
      <c r="H899" s="41" t="str">
        <f t="shared" si="110"/>
        <v/>
      </c>
      <c r="I899" s="32" t="str">
        <f t="shared" si="111"/>
        <v/>
      </c>
    </row>
    <row r="900" spans="2:9" x14ac:dyDescent="0.2">
      <c r="C900" s="42"/>
    </row>
    <row r="901" spans="2:9" ht="20.25" x14ac:dyDescent="0.3">
      <c r="B901" s="8" t="s">
        <v>59</v>
      </c>
      <c r="C901" s="42"/>
    </row>
    <row r="902" spans="2:9" ht="39" thickBot="1" x14ac:dyDescent="0.25">
      <c r="B902" s="15" t="s">
        <v>2</v>
      </c>
      <c r="C902" s="16" t="s">
        <v>3</v>
      </c>
      <c r="D902" s="16" t="s">
        <v>4</v>
      </c>
      <c r="E902" s="16" t="s">
        <v>161</v>
      </c>
      <c r="F902" s="16" t="s">
        <v>162</v>
      </c>
      <c r="G902" s="16" t="s">
        <v>5</v>
      </c>
      <c r="H902" s="43" t="s">
        <v>6</v>
      </c>
      <c r="I902" s="17" t="s">
        <v>7</v>
      </c>
    </row>
    <row r="903" spans="2:9" ht="13.5" thickTop="1" x14ac:dyDescent="0.2">
      <c r="B903" s="14" t="str">
        <f>$B$10</f>
        <v>Amisulbrom</v>
      </c>
      <c r="C903" s="22">
        <f>VLOOKUP(OW_B_additie_hoog17[[#This Row],[Component]],OW_B_additie_hoog01[],2,FALSE)</f>
        <v>144.6336</v>
      </c>
      <c r="D903" s="45"/>
      <c r="E903" s="47"/>
      <c r="F903" s="47"/>
      <c r="G903" s="45"/>
      <c r="H903" s="22" t="str">
        <f t="shared" ref="H903:H918" si="112">IF(G903="","",100*G903/C903)</f>
        <v/>
      </c>
      <c r="I903" s="32" t="str">
        <f t="shared" ref="I903:I918" si="113">IFERROR(MIN(E903,F903)/MAX(E903,F903)*100,"")</f>
        <v/>
      </c>
    </row>
    <row r="904" spans="2:9" x14ac:dyDescent="0.2">
      <c r="B904" s="12" t="str">
        <f>$B$11</f>
        <v>Clothianidine</v>
      </c>
      <c r="C904" s="40">
        <f>VLOOKUP(OW_B_additie_hoog17[[#This Row],[Component]],OW_B_additie_hoog01[],2,FALSE)</f>
        <v>143.16479999999999</v>
      </c>
      <c r="D904" s="46"/>
      <c r="E904" s="48"/>
      <c r="F904" s="48"/>
      <c r="G904" s="45"/>
      <c r="H904" s="40" t="str">
        <f t="shared" si="112"/>
        <v/>
      </c>
      <c r="I904" s="32" t="str">
        <f t="shared" si="113"/>
        <v/>
      </c>
    </row>
    <row r="905" spans="2:9" x14ac:dyDescent="0.2">
      <c r="B905" s="12" t="str">
        <f>$B$12</f>
        <v>Cyazofamide</v>
      </c>
      <c r="C905" s="40">
        <f>VLOOKUP(OW_B_additie_hoog17[[#This Row],[Component]],OW_B_additie_hoog01[],2,FALSE)</f>
        <v>144.05760000000001</v>
      </c>
      <c r="D905" s="46"/>
      <c r="E905" s="48"/>
      <c r="F905" s="48"/>
      <c r="G905" s="45"/>
      <c r="H905" s="40" t="str">
        <f t="shared" si="112"/>
        <v/>
      </c>
      <c r="I905" s="32" t="str">
        <f t="shared" si="113"/>
        <v/>
      </c>
    </row>
    <row r="906" spans="2:9" x14ac:dyDescent="0.2">
      <c r="B906" s="12" t="str">
        <f>$B$13</f>
        <v>Cymoxanil</v>
      </c>
      <c r="C906" s="40">
        <f>VLOOKUP(OW_B_additie_hoog17[[#This Row],[Component]],OW_B_additie_hoog01[],2,FALSE)</f>
        <v>143.69760000000002</v>
      </c>
      <c r="D906" s="46"/>
      <c r="E906" s="48"/>
      <c r="F906" s="48"/>
      <c r="G906" s="45"/>
      <c r="H906" s="40" t="str">
        <f t="shared" si="112"/>
        <v/>
      </c>
      <c r="I906" s="32" t="str">
        <f t="shared" si="113"/>
        <v/>
      </c>
    </row>
    <row r="907" spans="2:9" x14ac:dyDescent="0.2">
      <c r="B907" s="12" t="str">
        <f>$B$14</f>
        <v>Desmedifam</v>
      </c>
      <c r="C907" s="40">
        <f>VLOOKUP(OW_B_additie_hoog17[[#This Row],[Component]],OW_B_additie_hoog01[],2,FALSE)</f>
        <v>144.37440000000004</v>
      </c>
      <c r="D907" s="46"/>
      <c r="E907" s="48"/>
      <c r="F907" s="48"/>
      <c r="G907" s="45"/>
      <c r="H907" s="40" t="str">
        <f t="shared" si="112"/>
        <v/>
      </c>
      <c r="I907" s="32" t="str">
        <f t="shared" si="113"/>
        <v/>
      </c>
    </row>
    <row r="908" spans="2:9" x14ac:dyDescent="0.2">
      <c r="B908" s="12" t="str">
        <f>$B$15</f>
        <v>Fenmedifam</v>
      </c>
      <c r="C908" s="40">
        <f>VLOOKUP(OW_B_additie_hoog17[[#This Row],[Component]],OW_B_additie_hoog01[],2,FALSE)</f>
        <v>143.88479999999998</v>
      </c>
      <c r="D908" s="46"/>
      <c r="E908" s="48"/>
      <c r="F908" s="48"/>
      <c r="G908" s="45"/>
      <c r="H908" s="40" t="str">
        <f t="shared" si="112"/>
        <v/>
      </c>
      <c r="I908" s="32" t="str">
        <f t="shared" si="113"/>
        <v/>
      </c>
    </row>
    <row r="909" spans="2:9" x14ac:dyDescent="0.2">
      <c r="B909" s="12" t="str">
        <f>$B$16</f>
        <v>Fenoxycarb</v>
      </c>
      <c r="C909" s="40">
        <f>VLOOKUP(OW_B_additie_hoog17[[#This Row],[Component]],OW_B_additie_hoog01[],2,FALSE)</f>
        <v>146.9376</v>
      </c>
      <c r="D909" s="46"/>
      <c r="E909" s="48"/>
      <c r="F909" s="48"/>
      <c r="G909" s="45"/>
      <c r="H909" s="40" t="str">
        <f t="shared" si="112"/>
        <v/>
      </c>
      <c r="I909" s="32" t="str">
        <f t="shared" si="113"/>
        <v/>
      </c>
    </row>
    <row r="910" spans="2:9" x14ac:dyDescent="0.2">
      <c r="B910" s="12" t="str">
        <f>$B$17</f>
        <v>Fipronil</v>
      </c>
      <c r="C910" s="40">
        <f>VLOOKUP(OW_B_additie_hoog17[[#This Row],[Component]],OW_B_additie_hoog01[],2,FALSE)</f>
        <v>144.18719999999999</v>
      </c>
      <c r="D910" s="46"/>
      <c r="E910" s="48"/>
      <c r="F910" s="48"/>
      <c r="G910" s="45"/>
      <c r="H910" s="40" t="str">
        <f t="shared" si="112"/>
        <v/>
      </c>
      <c r="I910" s="32" t="str">
        <f t="shared" si="113"/>
        <v/>
      </c>
    </row>
    <row r="911" spans="2:9" x14ac:dyDescent="0.2">
      <c r="B911" s="12" t="str">
        <f>$B$18</f>
        <v>Florasulam</v>
      </c>
      <c r="C911" s="40">
        <f>VLOOKUP(OW_B_additie_hoog17[[#This Row],[Component]],OW_B_additie_hoog01[],2,FALSE)</f>
        <v>144.73440000000005</v>
      </c>
      <c r="D911" s="46"/>
      <c r="E911" s="48"/>
      <c r="F911" s="48"/>
      <c r="G911" s="45"/>
      <c r="H911" s="40" t="str">
        <f t="shared" si="112"/>
        <v/>
      </c>
      <c r="I911" s="32" t="str">
        <f t="shared" si="113"/>
        <v/>
      </c>
    </row>
    <row r="912" spans="2:9" x14ac:dyDescent="0.2">
      <c r="B912" s="12" t="str">
        <f>$B$19</f>
        <v>Fluazifop-P-butyl</v>
      </c>
      <c r="C912" s="40">
        <f>VLOOKUP(OW_B_additie_hoog17[[#This Row],[Component]],OW_B_additie_hoog01[],2,FALSE)</f>
        <v>144.93599999999998</v>
      </c>
      <c r="D912" s="46"/>
      <c r="E912" s="48"/>
      <c r="F912" s="48"/>
      <c r="G912" s="45"/>
      <c r="H912" s="40" t="str">
        <f t="shared" si="112"/>
        <v/>
      </c>
      <c r="I912" s="32" t="str">
        <f t="shared" si="113"/>
        <v/>
      </c>
    </row>
    <row r="913" spans="2:9" x14ac:dyDescent="0.2">
      <c r="B913" s="12" t="str">
        <f>$B$20</f>
        <v>Fluazinam</v>
      </c>
      <c r="C913" s="40">
        <f>VLOOKUP(OW_B_additie_hoog17[[#This Row],[Component]],OW_B_additie_hoog01[],2,FALSE)</f>
        <v>145.38239999999999</v>
      </c>
      <c r="D913" s="46"/>
      <c r="E913" s="48"/>
      <c r="F913" s="48"/>
      <c r="G913" s="45"/>
      <c r="H913" s="40" t="str">
        <f t="shared" si="112"/>
        <v/>
      </c>
      <c r="I913" s="32" t="str">
        <f t="shared" si="113"/>
        <v/>
      </c>
    </row>
    <row r="914" spans="2:9" x14ac:dyDescent="0.2">
      <c r="B914" s="12" t="str">
        <f>$B$21</f>
        <v>Fludioxonil</v>
      </c>
      <c r="C914" s="40">
        <f>VLOOKUP(OW_B_additie_hoog17[[#This Row],[Component]],OW_B_additie_hoog01[],2,FALSE)</f>
        <v>144.36000000000001</v>
      </c>
      <c r="D914" s="46"/>
      <c r="E914" s="48"/>
      <c r="F914" s="48"/>
      <c r="G914" s="45"/>
      <c r="H914" s="40" t="str">
        <f t="shared" si="112"/>
        <v/>
      </c>
      <c r="I914" s="32" t="str">
        <f t="shared" si="113"/>
        <v/>
      </c>
    </row>
    <row r="915" spans="2:9" x14ac:dyDescent="0.2">
      <c r="B915" s="12" t="str">
        <f>$B$22</f>
        <v>Mesotrione</v>
      </c>
      <c r="C915" s="40">
        <f>VLOOKUP(OW_B_additie_hoog17[[#This Row],[Component]],OW_B_additie_hoog01[],2,FALSE)</f>
        <v>144.9504</v>
      </c>
      <c r="D915" s="46"/>
      <c r="E915" s="48"/>
      <c r="F915" s="48"/>
      <c r="G915" s="45"/>
      <c r="H915" s="40" t="str">
        <f t="shared" si="112"/>
        <v/>
      </c>
      <c r="I915" s="32" t="str">
        <f t="shared" si="113"/>
        <v/>
      </c>
    </row>
    <row r="916" spans="2:9" x14ac:dyDescent="0.2">
      <c r="B916" s="12" t="str">
        <f>$B$23</f>
        <v>Methoxyfenozide</v>
      </c>
      <c r="C916" s="40">
        <f>VLOOKUP(OW_B_additie_hoog17[[#This Row],[Component]],OW_B_additie_hoog01[],2,FALSE)</f>
        <v>144.84960000000001</v>
      </c>
      <c r="D916" s="46"/>
      <c r="E916" s="48"/>
      <c r="F916" s="48"/>
      <c r="G916" s="45"/>
      <c r="H916" s="40" t="str">
        <f t="shared" si="112"/>
        <v/>
      </c>
      <c r="I916" s="32" t="str">
        <f t="shared" si="113"/>
        <v/>
      </c>
    </row>
    <row r="917" spans="2:9" x14ac:dyDescent="0.2">
      <c r="B917" s="12" t="str">
        <f>$B$24</f>
        <v>Oxamyl</v>
      </c>
      <c r="C917" s="40">
        <f>VLOOKUP(OW_B_additie_hoog17[[#This Row],[Component]],OW_B_additie_hoog01[],2,FALSE)</f>
        <v>145.49759999999998</v>
      </c>
      <c r="D917" s="46"/>
      <c r="E917" s="48"/>
      <c r="F917" s="48"/>
      <c r="G917" s="45"/>
      <c r="H917" s="40" t="str">
        <f t="shared" si="112"/>
        <v/>
      </c>
      <c r="I917" s="32" t="str">
        <f t="shared" si="113"/>
        <v/>
      </c>
    </row>
    <row r="918" spans="2:9" x14ac:dyDescent="0.2">
      <c r="B918" s="13" t="str">
        <f>$B$25</f>
        <v>Triallaat</v>
      </c>
      <c r="C918" s="41">
        <f>VLOOKUP(OW_B_additie_hoog17[[#This Row],[Component]],OW_B_additie_hoog01[],2,FALSE)</f>
        <v>143.74080000000001</v>
      </c>
      <c r="D918" s="46"/>
      <c r="E918" s="48"/>
      <c r="F918" s="48"/>
      <c r="G918" s="45"/>
      <c r="H918" s="41" t="str">
        <f t="shared" si="112"/>
        <v/>
      </c>
      <c r="I918" s="32" t="str">
        <f t="shared" si="113"/>
        <v/>
      </c>
    </row>
    <row r="919" spans="2:9" x14ac:dyDescent="0.2">
      <c r="C919" s="42"/>
    </row>
    <row r="920" spans="2:9" ht="20.25" x14ac:dyDescent="0.3">
      <c r="B920" s="8" t="s">
        <v>60</v>
      </c>
      <c r="C920" s="42"/>
    </row>
    <row r="921" spans="2:9" ht="39" thickBot="1" x14ac:dyDescent="0.25">
      <c r="B921" s="15" t="s">
        <v>2</v>
      </c>
      <c r="C921" s="16" t="s">
        <v>3</v>
      </c>
      <c r="D921" s="16" t="s">
        <v>4</v>
      </c>
      <c r="E921" s="16" t="s">
        <v>161</v>
      </c>
      <c r="F921" s="16" t="s">
        <v>162</v>
      </c>
      <c r="G921" s="16" t="s">
        <v>5</v>
      </c>
      <c r="H921" s="43" t="s">
        <v>6</v>
      </c>
      <c r="I921" s="17" t="s">
        <v>7</v>
      </c>
    </row>
    <row r="922" spans="2:9" ht="13.5" thickTop="1" x14ac:dyDescent="0.2">
      <c r="B922" s="14" t="str">
        <f>$B$10</f>
        <v>Amisulbrom</v>
      </c>
      <c r="C922" s="22">
        <f>VLOOKUP(OW_B_additie_hoog18[[#This Row],[Component]],OW_B_additie_hoog01[],2,FALSE)</f>
        <v>144.6336</v>
      </c>
      <c r="D922" s="45"/>
      <c r="E922" s="47"/>
      <c r="F922" s="47"/>
      <c r="G922" s="45"/>
      <c r="H922" s="22" t="str">
        <f t="shared" ref="H922:H937" si="114">IF(G922="","",100*G922/C922)</f>
        <v/>
      </c>
      <c r="I922" s="32" t="str">
        <f t="shared" ref="I922:I937" si="115">IFERROR(MIN(E922,F922)/MAX(E922,F922)*100,"")</f>
        <v/>
      </c>
    </row>
    <row r="923" spans="2:9" x14ac:dyDescent="0.2">
      <c r="B923" s="12" t="str">
        <f>$B$11</f>
        <v>Clothianidine</v>
      </c>
      <c r="C923" s="40">
        <f>VLOOKUP(OW_B_additie_hoog18[[#This Row],[Component]],OW_B_additie_hoog01[],2,FALSE)</f>
        <v>143.16479999999999</v>
      </c>
      <c r="D923" s="46"/>
      <c r="E923" s="48"/>
      <c r="F923" s="48"/>
      <c r="G923" s="45"/>
      <c r="H923" s="40" t="str">
        <f t="shared" si="114"/>
        <v/>
      </c>
      <c r="I923" s="32" t="str">
        <f t="shared" si="115"/>
        <v/>
      </c>
    </row>
    <row r="924" spans="2:9" x14ac:dyDescent="0.2">
      <c r="B924" s="12" t="str">
        <f>$B$12</f>
        <v>Cyazofamide</v>
      </c>
      <c r="C924" s="40">
        <f>VLOOKUP(OW_B_additie_hoog18[[#This Row],[Component]],OW_B_additie_hoog01[],2,FALSE)</f>
        <v>144.05760000000001</v>
      </c>
      <c r="D924" s="46"/>
      <c r="E924" s="48"/>
      <c r="F924" s="48"/>
      <c r="G924" s="45"/>
      <c r="H924" s="40" t="str">
        <f t="shared" si="114"/>
        <v/>
      </c>
      <c r="I924" s="32" t="str">
        <f t="shared" si="115"/>
        <v/>
      </c>
    </row>
    <row r="925" spans="2:9" x14ac:dyDescent="0.2">
      <c r="B925" s="12" t="str">
        <f>$B$13</f>
        <v>Cymoxanil</v>
      </c>
      <c r="C925" s="40">
        <f>VLOOKUP(OW_B_additie_hoog18[[#This Row],[Component]],OW_B_additie_hoog01[],2,FALSE)</f>
        <v>143.69760000000002</v>
      </c>
      <c r="D925" s="46"/>
      <c r="E925" s="48"/>
      <c r="F925" s="48"/>
      <c r="G925" s="45"/>
      <c r="H925" s="40" t="str">
        <f t="shared" si="114"/>
        <v/>
      </c>
      <c r="I925" s="32" t="str">
        <f t="shared" si="115"/>
        <v/>
      </c>
    </row>
    <row r="926" spans="2:9" x14ac:dyDescent="0.2">
      <c r="B926" s="12" t="str">
        <f>$B$14</f>
        <v>Desmedifam</v>
      </c>
      <c r="C926" s="40">
        <f>VLOOKUP(OW_B_additie_hoog18[[#This Row],[Component]],OW_B_additie_hoog01[],2,FALSE)</f>
        <v>144.37440000000004</v>
      </c>
      <c r="D926" s="46"/>
      <c r="E926" s="48"/>
      <c r="F926" s="48"/>
      <c r="G926" s="45"/>
      <c r="H926" s="40" t="str">
        <f t="shared" si="114"/>
        <v/>
      </c>
      <c r="I926" s="32" t="str">
        <f t="shared" si="115"/>
        <v/>
      </c>
    </row>
    <row r="927" spans="2:9" x14ac:dyDescent="0.2">
      <c r="B927" s="12" t="str">
        <f>$B$15</f>
        <v>Fenmedifam</v>
      </c>
      <c r="C927" s="40">
        <f>VLOOKUP(OW_B_additie_hoog18[[#This Row],[Component]],OW_B_additie_hoog01[],2,FALSE)</f>
        <v>143.88479999999998</v>
      </c>
      <c r="D927" s="46"/>
      <c r="E927" s="48"/>
      <c r="F927" s="48"/>
      <c r="G927" s="45"/>
      <c r="H927" s="40" t="str">
        <f t="shared" si="114"/>
        <v/>
      </c>
      <c r="I927" s="32" t="str">
        <f t="shared" si="115"/>
        <v/>
      </c>
    </row>
    <row r="928" spans="2:9" x14ac:dyDescent="0.2">
      <c r="B928" s="12" t="str">
        <f>$B$16</f>
        <v>Fenoxycarb</v>
      </c>
      <c r="C928" s="40">
        <f>VLOOKUP(OW_B_additie_hoog18[[#This Row],[Component]],OW_B_additie_hoog01[],2,FALSE)</f>
        <v>146.9376</v>
      </c>
      <c r="D928" s="46"/>
      <c r="E928" s="48"/>
      <c r="F928" s="48"/>
      <c r="G928" s="45"/>
      <c r="H928" s="40" t="str">
        <f t="shared" si="114"/>
        <v/>
      </c>
      <c r="I928" s="32" t="str">
        <f t="shared" si="115"/>
        <v/>
      </c>
    </row>
    <row r="929" spans="2:9" x14ac:dyDescent="0.2">
      <c r="B929" s="12" t="str">
        <f>$B$17</f>
        <v>Fipronil</v>
      </c>
      <c r="C929" s="40">
        <f>VLOOKUP(OW_B_additie_hoog18[[#This Row],[Component]],OW_B_additie_hoog01[],2,FALSE)</f>
        <v>144.18719999999999</v>
      </c>
      <c r="D929" s="46"/>
      <c r="E929" s="48"/>
      <c r="F929" s="48"/>
      <c r="G929" s="45"/>
      <c r="H929" s="40" t="str">
        <f t="shared" si="114"/>
        <v/>
      </c>
      <c r="I929" s="32" t="str">
        <f t="shared" si="115"/>
        <v/>
      </c>
    </row>
    <row r="930" spans="2:9" x14ac:dyDescent="0.2">
      <c r="B930" s="12" t="str">
        <f>$B$18</f>
        <v>Florasulam</v>
      </c>
      <c r="C930" s="40">
        <f>VLOOKUP(OW_B_additie_hoog18[[#This Row],[Component]],OW_B_additie_hoog01[],2,FALSE)</f>
        <v>144.73440000000005</v>
      </c>
      <c r="D930" s="46"/>
      <c r="E930" s="48"/>
      <c r="F930" s="48"/>
      <c r="G930" s="45"/>
      <c r="H930" s="40" t="str">
        <f t="shared" si="114"/>
        <v/>
      </c>
      <c r="I930" s="32" t="str">
        <f t="shared" si="115"/>
        <v/>
      </c>
    </row>
    <row r="931" spans="2:9" x14ac:dyDescent="0.2">
      <c r="B931" s="12" t="str">
        <f>$B$19</f>
        <v>Fluazifop-P-butyl</v>
      </c>
      <c r="C931" s="40">
        <f>VLOOKUP(OW_B_additie_hoog18[[#This Row],[Component]],OW_B_additie_hoog01[],2,FALSE)</f>
        <v>144.93599999999998</v>
      </c>
      <c r="D931" s="46"/>
      <c r="E931" s="48"/>
      <c r="F931" s="48"/>
      <c r="G931" s="45"/>
      <c r="H931" s="40" t="str">
        <f t="shared" si="114"/>
        <v/>
      </c>
      <c r="I931" s="32" t="str">
        <f t="shared" si="115"/>
        <v/>
      </c>
    </row>
    <row r="932" spans="2:9" x14ac:dyDescent="0.2">
      <c r="B932" s="12" t="str">
        <f>$B$20</f>
        <v>Fluazinam</v>
      </c>
      <c r="C932" s="40">
        <f>VLOOKUP(OW_B_additie_hoog18[[#This Row],[Component]],OW_B_additie_hoog01[],2,FALSE)</f>
        <v>145.38239999999999</v>
      </c>
      <c r="D932" s="46"/>
      <c r="E932" s="48"/>
      <c r="F932" s="48"/>
      <c r="G932" s="45"/>
      <c r="H932" s="40" t="str">
        <f t="shared" si="114"/>
        <v/>
      </c>
      <c r="I932" s="32" t="str">
        <f t="shared" si="115"/>
        <v/>
      </c>
    </row>
    <row r="933" spans="2:9" x14ac:dyDescent="0.2">
      <c r="B933" s="12" t="str">
        <f>$B$21</f>
        <v>Fludioxonil</v>
      </c>
      <c r="C933" s="40">
        <f>VLOOKUP(OW_B_additie_hoog18[[#This Row],[Component]],OW_B_additie_hoog01[],2,FALSE)</f>
        <v>144.36000000000001</v>
      </c>
      <c r="D933" s="46"/>
      <c r="E933" s="48"/>
      <c r="F933" s="48"/>
      <c r="G933" s="45"/>
      <c r="H933" s="40" t="str">
        <f t="shared" si="114"/>
        <v/>
      </c>
      <c r="I933" s="32" t="str">
        <f t="shared" si="115"/>
        <v/>
      </c>
    </row>
    <row r="934" spans="2:9" x14ac:dyDescent="0.2">
      <c r="B934" s="12" t="str">
        <f>$B$22</f>
        <v>Mesotrione</v>
      </c>
      <c r="C934" s="40">
        <f>VLOOKUP(OW_B_additie_hoog18[[#This Row],[Component]],OW_B_additie_hoog01[],2,FALSE)</f>
        <v>144.9504</v>
      </c>
      <c r="D934" s="46"/>
      <c r="E934" s="48"/>
      <c r="F934" s="48"/>
      <c r="G934" s="45"/>
      <c r="H934" s="40" t="str">
        <f t="shared" si="114"/>
        <v/>
      </c>
      <c r="I934" s="32" t="str">
        <f t="shared" si="115"/>
        <v/>
      </c>
    </row>
    <row r="935" spans="2:9" x14ac:dyDescent="0.2">
      <c r="B935" s="12" t="str">
        <f>$B$23</f>
        <v>Methoxyfenozide</v>
      </c>
      <c r="C935" s="40">
        <f>VLOOKUP(OW_B_additie_hoog18[[#This Row],[Component]],OW_B_additie_hoog01[],2,FALSE)</f>
        <v>144.84960000000001</v>
      </c>
      <c r="D935" s="46"/>
      <c r="E935" s="48"/>
      <c r="F935" s="48"/>
      <c r="G935" s="45"/>
      <c r="H935" s="40" t="str">
        <f t="shared" si="114"/>
        <v/>
      </c>
      <c r="I935" s="32" t="str">
        <f t="shared" si="115"/>
        <v/>
      </c>
    </row>
    <row r="936" spans="2:9" x14ac:dyDescent="0.2">
      <c r="B936" s="12" t="str">
        <f>$B$24</f>
        <v>Oxamyl</v>
      </c>
      <c r="C936" s="40">
        <f>VLOOKUP(OW_B_additie_hoog18[[#This Row],[Component]],OW_B_additie_hoog01[],2,FALSE)</f>
        <v>145.49759999999998</v>
      </c>
      <c r="D936" s="46"/>
      <c r="E936" s="48"/>
      <c r="F936" s="48"/>
      <c r="G936" s="45"/>
      <c r="H936" s="40" t="str">
        <f t="shared" si="114"/>
        <v/>
      </c>
      <c r="I936" s="32" t="str">
        <f t="shared" si="115"/>
        <v/>
      </c>
    </row>
    <row r="937" spans="2:9" x14ac:dyDescent="0.2">
      <c r="B937" s="13" t="str">
        <f>$B$25</f>
        <v>Triallaat</v>
      </c>
      <c r="C937" s="41">
        <f>VLOOKUP(OW_B_additie_hoog18[[#This Row],[Component]],OW_B_additie_hoog01[],2,FALSE)</f>
        <v>143.74080000000001</v>
      </c>
      <c r="D937" s="46"/>
      <c r="E937" s="48"/>
      <c r="F937" s="48"/>
      <c r="G937" s="45"/>
      <c r="H937" s="41" t="str">
        <f t="shared" si="114"/>
        <v/>
      </c>
      <c r="I937" s="32" t="str">
        <f t="shared" si="115"/>
        <v/>
      </c>
    </row>
    <row r="938" spans="2:9" x14ac:dyDescent="0.2">
      <c r="C938" s="42"/>
    </row>
    <row r="939" spans="2:9" ht="20.25" x14ac:dyDescent="0.3">
      <c r="B939" s="8" t="s">
        <v>69</v>
      </c>
      <c r="C939" s="42"/>
    </row>
    <row r="940" spans="2:9" ht="39" thickBot="1" x14ac:dyDescent="0.25">
      <c r="B940" s="15" t="s">
        <v>2</v>
      </c>
      <c r="C940" s="16" t="s">
        <v>3</v>
      </c>
      <c r="D940" s="16" t="s">
        <v>4</v>
      </c>
      <c r="E940" s="16" t="s">
        <v>161</v>
      </c>
      <c r="F940" s="16" t="s">
        <v>162</v>
      </c>
      <c r="G940" s="16" t="s">
        <v>5</v>
      </c>
      <c r="H940" s="43" t="s">
        <v>6</v>
      </c>
      <c r="I940" s="17" t="s">
        <v>7</v>
      </c>
    </row>
    <row r="941" spans="2:9" ht="13.5" thickTop="1" x14ac:dyDescent="0.2">
      <c r="B941" s="14" t="str">
        <f>$B$10</f>
        <v>Amisulbrom</v>
      </c>
      <c r="C941" s="22">
        <f>VLOOKUP(KAL_standaard_4_08[[#This Row],[Component]],Kalibratie4[],2,FALSE)</f>
        <v>120.52799999999999</v>
      </c>
      <c r="D941" s="45"/>
      <c r="E941" s="47"/>
      <c r="F941" s="47"/>
      <c r="G941" s="45"/>
      <c r="H941" s="22" t="str">
        <f t="shared" ref="H941:H956" si="116">IF(G941="","",100*G941/C941)</f>
        <v/>
      </c>
      <c r="I941" s="32" t="str">
        <f t="shared" ref="I941:I956" si="117">IFERROR(MIN(E941,F941)/MAX(E941,F941)*100,"")</f>
        <v/>
      </c>
    </row>
    <row r="942" spans="2:9" x14ac:dyDescent="0.2">
      <c r="B942" s="12" t="str">
        <f>$B$11</f>
        <v>Clothianidine</v>
      </c>
      <c r="C942" s="40">
        <f>VLOOKUP(KAL_standaard_4_08[[#This Row],[Component]],Kalibratie4[],2,FALSE)</f>
        <v>119.304</v>
      </c>
      <c r="D942" s="46"/>
      <c r="E942" s="48"/>
      <c r="F942" s="48"/>
      <c r="G942" s="45"/>
      <c r="H942" s="40" t="str">
        <f t="shared" si="116"/>
        <v/>
      </c>
      <c r="I942" s="32" t="str">
        <f t="shared" si="117"/>
        <v/>
      </c>
    </row>
    <row r="943" spans="2:9" x14ac:dyDescent="0.2">
      <c r="B943" s="12" t="str">
        <f>$B$12</f>
        <v>Cyazofamide</v>
      </c>
      <c r="C943" s="40">
        <f>VLOOKUP(KAL_standaard_4_08[[#This Row],[Component]],Kalibratie4[],2,FALSE)</f>
        <v>120.04799999999999</v>
      </c>
      <c r="D943" s="46"/>
      <c r="E943" s="48"/>
      <c r="F943" s="48"/>
      <c r="G943" s="45"/>
      <c r="H943" s="40" t="str">
        <f t="shared" si="116"/>
        <v/>
      </c>
      <c r="I943" s="32" t="str">
        <f t="shared" si="117"/>
        <v/>
      </c>
    </row>
    <row r="944" spans="2:9" x14ac:dyDescent="0.2">
      <c r="B944" s="12" t="str">
        <f>$B$13</f>
        <v>Cymoxanil</v>
      </c>
      <c r="C944" s="40">
        <f>VLOOKUP(KAL_standaard_4_08[[#This Row],[Component]],Kalibratie4[],2,FALSE)</f>
        <v>119.74799999999999</v>
      </c>
      <c r="D944" s="46"/>
      <c r="E944" s="48"/>
      <c r="F944" s="48"/>
      <c r="G944" s="45"/>
      <c r="H944" s="40" t="str">
        <f t="shared" si="116"/>
        <v/>
      </c>
      <c r="I944" s="32" t="str">
        <f t="shared" si="117"/>
        <v/>
      </c>
    </row>
    <row r="945" spans="2:9" x14ac:dyDescent="0.2">
      <c r="B945" s="12" t="str">
        <f>$B$14</f>
        <v>Desmedifam</v>
      </c>
      <c r="C945" s="40">
        <f>VLOOKUP(KAL_standaard_4_08[[#This Row],[Component]],Kalibratie4[],2,FALSE)</f>
        <v>120.31200000000004</v>
      </c>
      <c r="D945" s="46"/>
      <c r="E945" s="48"/>
      <c r="F945" s="48"/>
      <c r="G945" s="45"/>
      <c r="H945" s="40" t="str">
        <f t="shared" si="116"/>
        <v/>
      </c>
      <c r="I945" s="32" t="str">
        <f t="shared" si="117"/>
        <v/>
      </c>
    </row>
    <row r="946" spans="2:9" x14ac:dyDescent="0.2">
      <c r="B946" s="12" t="str">
        <f>$B$15</f>
        <v>Fenmedifam</v>
      </c>
      <c r="C946" s="40">
        <f>VLOOKUP(KAL_standaard_4_08[[#This Row],[Component]],Kalibratie4[],2,FALSE)</f>
        <v>119.904</v>
      </c>
      <c r="D946" s="46"/>
      <c r="E946" s="48"/>
      <c r="F946" s="48"/>
      <c r="G946" s="45"/>
      <c r="H946" s="40" t="str">
        <f t="shared" si="116"/>
        <v/>
      </c>
      <c r="I946" s="32" t="str">
        <f t="shared" si="117"/>
        <v/>
      </c>
    </row>
    <row r="947" spans="2:9" x14ac:dyDescent="0.2">
      <c r="B947" s="12" t="str">
        <f>$B$16</f>
        <v>Fenoxycarb</v>
      </c>
      <c r="C947" s="40">
        <f>VLOOKUP(KAL_standaard_4_08[[#This Row],[Component]],Kalibratie4[],2,FALSE)</f>
        <v>122.44800000000001</v>
      </c>
      <c r="D947" s="46"/>
      <c r="E947" s="48"/>
      <c r="F947" s="48"/>
      <c r="G947" s="45"/>
      <c r="H947" s="40" t="str">
        <f t="shared" si="116"/>
        <v/>
      </c>
      <c r="I947" s="32" t="str">
        <f t="shared" si="117"/>
        <v/>
      </c>
    </row>
    <row r="948" spans="2:9" x14ac:dyDescent="0.2">
      <c r="B948" s="12" t="str">
        <f>$B$17</f>
        <v>Fipronil</v>
      </c>
      <c r="C948" s="40">
        <f>VLOOKUP(KAL_standaard_4_08[[#This Row],[Component]],Kalibratie4[],2,FALSE)</f>
        <v>120.15600000000001</v>
      </c>
      <c r="D948" s="46"/>
      <c r="E948" s="48"/>
      <c r="F948" s="48"/>
      <c r="G948" s="45"/>
      <c r="H948" s="40" t="str">
        <f t="shared" si="116"/>
        <v/>
      </c>
      <c r="I948" s="32" t="str">
        <f t="shared" si="117"/>
        <v/>
      </c>
    </row>
    <row r="949" spans="2:9" x14ac:dyDescent="0.2">
      <c r="B949" s="12" t="str">
        <f>$B$18</f>
        <v>Florasulam</v>
      </c>
      <c r="C949" s="40">
        <f>VLOOKUP(KAL_standaard_4_08[[#This Row],[Component]],Kalibratie4[],2,FALSE)</f>
        <v>120.61200000000002</v>
      </c>
      <c r="D949" s="46"/>
      <c r="E949" s="48"/>
      <c r="F949" s="48"/>
      <c r="G949" s="45"/>
      <c r="H949" s="40" t="str">
        <f t="shared" si="116"/>
        <v/>
      </c>
      <c r="I949" s="32" t="str">
        <f t="shared" si="117"/>
        <v/>
      </c>
    </row>
    <row r="950" spans="2:9" x14ac:dyDescent="0.2">
      <c r="B950" s="12" t="str">
        <f>$B$19</f>
        <v>Fluazifop-P-butyl</v>
      </c>
      <c r="C950" s="40">
        <f>VLOOKUP(KAL_standaard_4_08[[#This Row],[Component]],Kalibratie4[],2,FALSE)</f>
        <v>120.78</v>
      </c>
      <c r="D950" s="46"/>
      <c r="E950" s="48"/>
      <c r="F950" s="48"/>
      <c r="G950" s="45"/>
      <c r="H950" s="40" t="str">
        <f t="shared" si="116"/>
        <v/>
      </c>
      <c r="I950" s="32" t="str">
        <f t="shared" si="117"/>
        <v/>
      </c>
    </row>
    <row r="951" spans="2:9" x14ac:dyDescent="0.2">
      <c r="B951" s="12" t="str">
        <f>$B$20</f>
        <v>Fluazinam</v>
      </c>
      <c r="C951" s="40">
        <f>VLOOKUP(KAL_standaard_4_08[[#This Row],[Component]],Kalibratie4[],2,FALSE)</f>
        <v>121.15199999999999</v>
      </c>
      <c r="D951" s="46"/>
      <c r="E951" s="48"/>
      <c r="F951" s="48"/>
      <c r="G951" s="45"/>
      <c r="H951" s="40" t="str">
        <f t="shared" si="116"/>
        <v/>
      </c>
      <c r="I951" s="32" t="str">
        <f t="shared" si="117"/>
        <v/>
      </c>
    </row>
    <row r="952" spans="2:9" x14ac:dyDescent="0.2">
      <c r="B952" s="12" t="str">
        <f>$B$21</f>
        <v>Fludioxonil</v>
      </c>
      <c r="C952" s="40">
        <f>VLOOKUP(KAL_standaard_4_08[[#This Row],[Component]],Kalibratie4[],2,FALSE)</f>
        <v>120.30000000000001</v>
      </c>
      <c r="D952" s="46"/>
      <c r="E952" s="48"/>
      <c r="F952" s="48"/>
      <c r="G952" s="45"/>
      <c r="H952" s="40" t="str">
        <f t="shared" si="116"/>
        <v/>
      </c>
      <c r="I952" s="32" t="str">
        <f>IFERROR(MIN(E952,F952)/MAX(E952,F952)*100,"")</f>
        <v/>
      </c>
    </row>
    <row r="953" spans="2:9" x14ac:dyDescent="0.2">
      <c r="B953" s="12" t="str">
        <f>$B$22</f>
        <v>Mesotrione</v>
      </c>
      <c r="C953" s="40">
        <f>VLOOKUP(KAL_standaard_4_08[[#This Row],[Component]],Kalibratie4[],2,FALSE)</f>
        <v>120.79200000000002</v>
      </c>
      <c r="D953" s="46"/>
      <c r="E953" s="48"/>
      <c r="F953" s="48"/>
      <c r="G953" s="45"/>
      <c r="H953" s="40" t="str">
        <f t="shared" si="116"/>
        <v/>
      </c>
      <c r="I953" s="32" t="str">
        <f t="shared" si="117"/>
        <v/>
      </c>
    </row>
    <row r="954" spans="2:9" x14ac:dyDescent="0.2">
      <c r="B954" s="12" t="str">
        <f>$B$23</f>
        <v>Methoxyfenozide</v>
      </c>
      <c r="C954" s="40">
        <f>VLOOKUP(KAL_standaard_4_08[[#This Row],[Component]],Kalibratie4[],2,FALSE)</f>
        <v>120.70800000000001</v>
      </c>
      <c r="D954" s="46"/>
      <c r="E954" s="48"/>
      <c r="F954" s="48"/>
      <c r="G954" s="45"/>
      <c r="H954" s="40" t="str">
        <f t="shared" si="116"/>
        <v/>
      </c>
      <c r="I954" s="32" t="str">
        <f t="shared" si="117"/>
        <v/>
      </c>
    </row>
    <row r="955" spans="2:9" x14ac:dyDescent="0.2">
      <c r="B955" s="12" t="str">
        <f>$B$24</f>
        <v>Oxamyl</v>
      </c>
      <c r="C955" s="40">
        <f>VLOOKUP(KAL_standaard_4_08[[#This Row],[Component]],Kalibratie4[],2,FALSE)</f>
        <v>121.24799999999999</v>
      </c>
      <c r="D955" s="46"/>
      <c r="E955" s="48"/>
      <c r="F955" s="48"/>
      <c r="G955" s="45"/>
      <c r="H955" s="40" t="str">
        <f t="shared" si="116"/>
        <v/>
      </c>
      <c r="I955" s="32" t="str">
        <f t="shared" si="117"/>
        <v/>
      </c>
    </row>
    <row r="956" spans="2:9" x14ac:dyDescent="0.2">
      <c r="B956" s="13" t="str">
        <f>$B$25</f>
        <v>Triallaat</v>
      </c>
      <c r="C956" s="41">
        <f>VLOOKUP(KAL_standaard_4_08[[#This Row],[Component]],Kalibratie4[],2,FALSE)</f>
        <v>119.78400000000003</v>
      </c>
      <c r="D956" s="46"/>
      <c r="E956" s="48"/>
      <c r="F956" s="48"/>
      <c r="G956" s="45"/>
      <c r="H956" s="41" t="str">
        <f t="shared" si="116"/>
        <v/>
      </c>
      <c r="I956" s="32" t="str">
        <f t="shared" si="117"/>
        <v/>
      </c>
    </row>
  </sheetData>
  <sheetProtection algorithmName="SHA-512" hashValue="Dg9ki2mU2yDkHMC9tH6V8I2PddUCWppWDLbi0E6DkP5ZFiHh7XRyKNHKeoZNYd4AWPV45fveAglkxQo0sHcgMw==" saltValue="UgBoyftJFo2QNFd/xIW9RA==" spinCount="100000" sheet="1" objects="1" scenarios="1"/>
  <mergeCells count="2">
    <mergeCell ref="B6:I6"/>
    <mergeCell ref="L6:Y6"/>
  </mergeCells>
  <phoneticPr fontId="4" type="noConversion"/>
  <pageMargins left="0.7" right="0.7" top="0.75" bottom="0.75" header="0.3" footer="0.3"/>
  <pageSetup paperSize="9" orientation="landscape" r:id="rId1"/>
  <drawing r:id="rId2"/>
  <tableParts count="50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38F1-76E0-40FD-89E3-4EB611B0EA90}">
  <dimension ref="B7:G30"/>
  <sheetViews>
    <sheetView workbookViewId="0">
      <selection activeCell="D28" sqref="D28"/>
    </sheetView>
  </sheetViews>
  <sheetFormatPr defaultColWidth="9.140625" defaultRowHeight="12.75" x14ac:dyDescent="0.2"/>
  <cols>
    <col min="1" max="1" width="9.140625" style="3"/>
    <col min="2" max="2" width="31.140625" style="3" customWidth="1"/>
    <col min="3" max="5" width="9.140625" style="3"/>
    <col min="6" max="6" width="14.28515625" style="3" customWidth="1"/>
    <col min="7" max="16384" width="9.140625" style="3"/>
  </cols>
  <sheetData>
    <row r="7" spans="2:7" ht="39" thickBot="1" x14ac:dyDescent="0.25">
      <c r="B7" s="53" t="s">
        <v>108</v>
      </c>
      <c r="C7" s="54" t="s">
        <v>110</v>
      </c>
      <c r="D7" s="54" t="s">
        <v>111</v>
      </c>
      <c r="E7" s="54" t="s">
        <v>113</v>
      </c>
      <c r="F7" s="55" t="s">
        <v>117</v>
      </c>
      <c r="G7" s="55" t="s">
        <v>126</v>
      </c>
    </row>
    <row r="8" spans="2:7" ht="13.5" thickTop="1" x14ac:dyDescent="0.2">
      <c r="B8" s="30" t="s">
        <v>109</v>
      </c>
      <c r="C8" s="27">
        <v>0</v>
      </c>
      <c r="D8" s="27">
        <v>2</v>
      </c>
      <c r="E8" s="9" t="s">
        <v>112</v>
      </c>
      <c r="F8" s="59">
        <v>90</v>
      </c>
      <c r="G8" s="59">
        <f>F8*16</f>
        <v>1440</v>
      </c>
    </row>
    <row r="9" spans="2:7" x14ac:dyDescent="0.2">
      <c r="B9" s="37" t="s">
        <v>152</v>
      </c>
      <c r="C9" s="28">
        <v>2</v>
      </c>
      <c r="D9" s="28">
        <v>6</v>
      </c>
      <c r="E9" s="2" t="s">
        <v>112</v>
      </c>
      <c r="F9" s="36">
        <v>60</v>
      </c>
      <c r="G9" s="36"/>
    </row>
    <row r="10" spans="2:7" x14ac:dyDescent="0.2">
      <c r="B10" s="37"/>
      <c r="C10" s="28">
        <v>6</v>
      </c>
      <c r="D10" s="28">
        <v>10</v>
      </c>
      <c r="E10" s="2" t="s">
        <v>112</v>
      </c>
      <c r="F10" s="36">
        <v>25</v>
      </c>
      <c r="G10" s="36"/>
    </row>
    <row r="11" spans="2:7" ht="13.5" thickBot="1" x14ac:dyDescent="0.25">
      <c r="B11" s="56"/>
      <c r="C11" s="57">
        <v>10</v>
      </c>
      <c r="D11" s="57" t="s">
        <v>103</v>
      </c>
      <c r="E11" s="58" t="s">
        <v>112</v>
      </c>
      <c r="F11" s="60">
        <v>0</v>
      </c>
      <c r="G11" s="60"/>
    </row>
    <row r="12" spans="2:7" x14ac:dyDescent="0.2">
      <c r="B12" s="64" t="s">
        <v>153</v>
      </c>
      <c r="C12" s="63">
        <v>0</v>
      </c>
      <c r="D12" s="63">
        <v>10</v>
      </c>
      <c r="E12" s="62" t="s">
        <v>114</v>
      </c>
      <c r="F12" s="61">
        <v>30</v>
      </c>
      <c r="G12" s="61">
        <f>F12*16</f>
        <v>480</v>
      </c>
    </row>
    <row r="13" spans="2:7" x14ac:dyDescent="0.2">
      <c r="B13" s="37"/>
      <c r="C13" s="28">
        <v>10</v>
      </c>
      <c r="D13" s="28">
        <v>15</v>
      </c>
      <c r="E13" s="2" t="s">
        <v>114</v>
      </c>
      <c r="F13" s="36">
        <v>20</v>
      </c>
      <c r="G13" s="36"/>
    </row>
    <row r="14" spans="2:7" x14ac:dyDescent="0.2">
      <c r="B14" s="37"/>
      <c r="C14" s="28">
        <v>15</v>
      </c>
      <c r="D14" s="28">
        <v>20</v>
      </c>
      <c r="E14" s="2" t="s">
        <v>114</v>
      </c>
      <c r="F14" s="36">
        <v>8</v>
      </c>
      <c r="G14" s="36"/>
    </row>
    <row r="15" spans="2:7" ht="13.5" thickBot="1" x14ac:dyDescent="0.25">
      <c r="B15" s="56"/>
      <c r="C15" s="57">
        <v>20</v>
      </c>
      <c r="D15" s="57" t="s">
        <v>103</v>
      </c>
      <c r="E15" s="58" t="s">
        <v>114</v>
      </c>
      <c r="F15" s="60">
        <v>0</v>
      </c>
      <c r="G15" s="60"/>
    </row>
    <row r="16" spans="2:7" x14ac:dyDescent="0.2">
      <c r="B16" s="64" t="s">
        <v>115</v>
      </c>
      <c r="C16" s="61">
        <v>0</v>
      </c>
      <c r="D16" s="61">
        <v>5</v>
      </c>
      <c r="E16" s="62" t="s">
        <v>114</v>
      </c>
      <c r="F16" s="61">
        <v>25</v>
      </c>
      <c r="G16" s="61">
        <f>F16*16</f>
        <v>400</v>
      </c>
    </row>
    <row r="17" spans="2:7" x14ac:dyDescent="0.2">
      <c r="B17" s="37" t="s">
        <v>150</v>
      </c>
      <c r="C17" s="36">
        <v>5</v>
      </c>
      <c r="D17" s="36">
        <v>10</v>
      </c>
      <c r="E17" s="2" t="s">
        <v>114</v>
      </c>
      <c r="F17" s="36">
        <v>15</v>
      </c>
      <c r="G17" s="36"/>
    </row>
    <row r="18" spans="2:7" x14ac:dyDescent="0.2">
      <c r="B18" s="37" t="s">
        <v>116</v>
      </c>
      <c r="C18" s="36">
        <v>10</v>
      </c>
      <c r="D18" s="36">
        <v>20</v>
      </c>
      <c r="E18" s="2" t="s">
        <v>114</v>
      </c>
      <c r="F18" s="36">
        <v>5</v>
      </c>
      <c r="G18" s="36"/>
    </row>
    <row r="19" spans="2:7" ht="13.5" thickBot="1" x14ac:dyDescent="0.25">
      <c r="B19" s="56"/>
      <c r="C19" s="60">
        <v>20</v>
      </c>
      <c r="D19" s="60" t="s">
        <v>103</v>
      </c>
      <c r="E19" s="58" t="s">
        <v>114</v>
      </c>
      <c r="F19" s="60">
        <v>0</v>
      </c>
      <c r="G19" s="60"/>
    </row>
    <row r="20" spans="2:7" x14ac:dyDescent="0.2">
      <c r="B20" s="64" t="s">
        <v>154</v>
      </c>
      <c r="C20" s="61">
        <v>0</v>
      </c>
      <c r="D20" s="61">
        <v>3</v>
      </c>
      <c r="E20" s="62" t="s">
        <v>114</v>
      </c>
      <c r="F20" s="61">
        <v>25</v>
      </c>
      <c r="G20" s="61">
        <f>F20*16</f>
        <v>400</v>
      </c>
    </row>
    <row r="21" spans="2:7" x14ac:dyDescent="0.2">
      <c r="B21" s="37" t="s">
        <v>150</v>
      </c>
      <c r="C21" s="36">
        <v>3</v>
      </c>
      <c r="D21" s="36">
        <v>6</v>
      </c>
      <c r="E21" s="2" t="s">
        <v>114</v>
      </c>
      <c r="F21" s="36">
        <v>15</v>
      </c>
      <c r="G21" s="36"/>
    </row>
    <row r="22" spans="2:7" x14ac:dyDescent="0.2">
      <c r="B22" s="37"/>
      <c r="C22" s="36">
        <v>6</v>
      </c>
      <c r="D22" s="36">
        <v>12</v>
      </c>
      <c r="E22" s="2" t="s">
        <v>114</v>
      </c>
      <c r="F22" s="36">
        <v>5</v>
      </c>
      <c r="G22" s="36"/>
    </row>
    <row r="23" spans="2:7" ht="13.5" thickBot="1" x14ac:dyDescent="0.25">
      <c r="B23" s="56"/>
      <c r="C23" s="60">
        <v>12</v>
      </c>
      <c r="D23" s="60" t="s">
        <v>103</v>
      </c>
      <c r="E23" s="58" t="s">
        <v>114</v>
      </c>
      <c r="F23" s="60">
        <v>0</v>
      </c>
      <c r="G23" s="60"/>
    </row>
    <row r="24" spans="2:7" x14ac:dyDescent="0.2">
      <c r="B24" s="64" t="s">
        <v>118</v>
      </c>
      <c r="C24" s="61">
        <v>0</v>
      </c>
      <c r="D24" s="61">
        <v>5</v>
      </c>
      <c r="E24" s="62" t="s">
        <v>114</v>
      </c>
      <c r="F24" s="61">
        <v>30</v>
      </c>
      <c r="G24" s="61">
        <f>F24*16</f>
        <v>480</v>
      </c>
    </row>
    <row r="25" spans="2:7" x14ac:dyDescent="0.2">
      <c r="B25" s="37" t="s">
        <v>151</v>
      </c>
      <c r="C25" s="36">
        <v>5</v>
      </c>
      <c r="D25" s="36">
        <v>10</v>
      </c>
      <c r="E25" s="2" t="s">
        <v>114</v>
      </c>
      <c r="F25" s="36">
        <v>20</v>
      </c>
      <c r="G25" s="36"/>
    </row>
    <row r="26" spans="2:7" x14ac:dyDescent="0.2">
      <c r="B26" s="37"/>
      <c r="C26" s="36">
        <v>10</v>
      </c>
      <c r="D26" s="36">
        <v>15</v>
      </c>
      <c r="E26" s="2" t="s">
        <v>114</v>
      </c>
      <c r="F26" s="36">
        <v>10</v>
      </c>
      <c r="G26" s="36"/>
    </row>
    <row r="27" spans="2:7" ht="13.5" thickBot="1" x14ac:dyDescent="0.25">
      <c r="B27" s="56"/>
      <c r="C27" s="60">
        <v>15</v>
      </c>
      <c r="D27" s="60" t="s">
        <v>103</v>
      </c>
      <c r="E27" s="58" t="s">
        <v>114</v>
      </c>
      <c r="F27" s="60">
        <v>0</v>
      </c>
      <c r="G27" s="60"/>
    </row>
    <row r="28" spans="2:7" x14ac:dyDescent="0.2">
      <c r="B28" s="64" t="s">
        <v>119</v>
      </c>
      <c r="C28" s="62"/>
      <c r="D28" s="61" t="s">
        <v>121</v>
      </c>
      <c r="E28" s="62"/>
      <c r="F28" s="61">
        <v>12</v>
      </c>
      <c r="G28" s="61">
        <f>F28*(16*2)</f>
        <v>384</v>
      </c>
    </row>
    <row r="29" spans="2:7" x14ac:dyDescent="0.2">
      <c r="B29" s="37" t="s">
        <v>120</v>
      </c>
      <c r="C29" s="2"/>
      <c r="D29" s="36" t="s">
        <v>122</v>
      </c>
      <c r="E29" s="2"/>
      <c r="F29" s="36">
        <v>0</v>
      </c>
      <c r="G29" s="36"/>
    </row>
    <row r="30" spans="2:7" x14ac:dyDescent="0.2">
      <c r="F30" s="3" t="s">
        <v>107</v>
      </c>
      <c r="G30" s="3">
        <f>SUM(G8:G29)</f>
        <v>3584</v>
      </c>
    </row>
  </sheetData>
  <sheetProtection algorithmName="SHA-512" hashValue="Z2dgS26vNdazX4hcuCDZsbLHRLedItErh9Be0nGDM1zpsWbY88EJp1JeSJhX/9SdgChFkpp9ah9bamacqmyv9A==" saltValue="+lVfL8QLvBJm6Iu/djJMIQ==" spinCount="100000" sheet="1" objects="1" scenarios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Props1.xml><?xml version="1.0" encoding="utf-8"?>
<ds:datastoreItem xmlns:ds="http://schemas.openxmlformats.org/officeDocument/2006/customXml" ds:itemID="{4088F33D-234A-4FB5-B0D6-943927C1001D}"/>
</file>

<file path=customXml/itemProps2.xml><?xml version="1.0" encoding="utf-8"?>
<ds:datastoreItem xmlns:ds="http://schemas.openxmlformats.org/officeDocument/2006/customXml" ds:itemID="{C8D8E704-680A-4972-B3DD-FEC52FF8A7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7CB57A-A2CA-4DE7-861E-F103A025C6F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870a902-fe76-4192-bc53-95db999e6b8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32</vt:i4>
      </vt:variant>
    </vt:vector>
  </HeadingPairs>
  <TitlesOfParts>
    <vt:vector size="35" baseType="lpstr">
      <vt:lpstr>Sequence + methode</vt:lpstr>
      <vt:lpstr>Rapportage formulier</vt:lpstr>
      <vt:lpstr>Punten verdeling</vt:lpstr>
      <vt:lpstr>AG_G</vt:lpstr>
      <vt:lpstr>AG_O</vt:lpstr>
      <vt:lpstr>AG_U</vt:lpstr>
      <vt:lpstr>AG_V</vt:lpstr>
      <vt:lpstr>DRIFT_G</vt:lpstr>
      <vt:lpstr>DRIFT_O</vt:lpstr>
      <vt:lpstr>DRIFT_U</vt:lpstr>
      <vt:lpstr>DRIFT_V</vt:lpstr>
      <vt:lpstr>GS_ja</vt:lpstr>
      <vt:lpstr>GS_nee</vt:lpstr>
      <vt:lpstr>HH_G</vt:lpstr>
      <vt:lpstr>HH_O</vt:lpstr>
      <vt:lpstr>HH_U</vt:lpstr>
      <vt:lpstr>HH_V</vt:lpstr>
      <vt:lpstr>Punt_MAX</vt:lpstr>
      <vt:lpstr>Punt_TV_2xvv</vt:lpstr>
      <vt:lpstr>Punt_TV_5xvv</vt:lpstr>
      <vt:lpstr>Punten_AG</vt:lpstr>
      <vt:lpstr>Punten_Drift</vt:lpstr>
      <vt:lpstr>Punten_Ratio</vt:lpstr>
      <vt:lpstr>Punten_RSD</vt:lpstr>
      <vt:lpstr>Punten_TV</vt:lpstr>
      <vt:lpstr>Ratio</vt:lpstr>
      <vt:lpstr>RATIO_G</vt:lpstr>
      <vt:lpstr>RATIO_O</vt:lpstr>
      <vt:lpstr>RATIO_U</vt:lpstr>
      <vt:lpstr>RATIO_V</vt:lpstr>
      <vt:lpstr>Terugvinding</vt:lpstr>
      <vt:lpstr>TV_G</vt:lpstr>
      <vt:lpstr>TV_O</vt:lpstr>
      <vt:lpstr>TV_U</vt:lpstr>
      <vt:lpstr>TV_V</vt:lpstr>
    </vt:vector>
  </TitlesOfParts>
  <Manager/>
  <Company>Stichting Waterproef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Annelies Potjes</dc:creator>
  <cp:keywords/>
  <dc:description/>
  <cp:lastModifiedBy>Annelies Potjes</cp:lastModifiedBy>
  <cp:revision/>
  <dcterms:created xsi:type="dcterms:W3CDTF">2024-11-20T13:32:08Z</dcterms:created>
  <dcterms:modified xsi:type="dcterms:W3CDTF">2025-03-25T11:01:22Z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