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eemskerk.sharepoint.com/sites/PSlotherenbuurtKlimaatadaptiefmaken/Gedeelde documenten/P-2018-0174 Herinrichting Woonstraten Assumburg/000_UITWERKING WOONSTRATEN J.KUITW/"/>
    </mc:Choice>
  </mc:AlternateContent>
  <xr:revisionPtr revIDLastSave="2052" documentId="8_{B046D338-3606-4034-8D41-763D2013A15E}" xr6:coauthVersionLast="47" xr6:coauthVersionMax="47" xr10:uidLastSave="{058B553B-99B4-4107-91A1-F3BF25C8B91E}"/>
  <bookViews>
    <workbookView xWindow="28680" yWindow="-5985" windowWidth="29040" windowHeight="15840" xr2:uid="{C3181CE4-926D-4245-88CD-8866F3C2584C}"/>
  </bookViews>
  <sheets>
    <sheet name="Grondbal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2" i="1" l="1"/>
  <c r="D462" i="1"/>
  <c r="F462" i="1" s="1"/>
  <c r="J462" i="1" s="1"/>
  <c r="E462" i="1"/>
  <c r="K462" i="1"/>
  <c r="S52" i="1"/>
  <c r="AE427" i="1"/>
  <c r="E427" i="1"/>
  <c r="D427" i="1"/>
  <c r="AE426" i="1"/>
  <c r="E426" i="1"/>
  <c r="D426" i="1"/>
  <c r="AE425" i="1"/>
  <c r="E425" i="1"/>
  <c r="D425" i="1"/>
  <c r="F425" i="1" s="1"/>
  <c r="B425" i="1" s="1"/>
  <c r="H424" i="1"/>
  <c r="AE424" i="1" s="1"/>
  <c r="E424" i="1"/>
  <c r="D424" i="1"/>
  <c r="F424" i="1" s="1"/>
  <c r="B424" i="1" s="1"/>
  <c r="AE423" i="1"/>
  <c r="E423" i="1"/>
  <c r="D423" i="1"/>
  <c r="F423" i="1" s="1"/>
  <c r="B423" i="1" s="1"/>
  <c r="AE422" i="1"/>
  <c r="E422" i="1"/>
  <c r="D422" i="1"/>
  <c r="AE421" i="1"/>
  <c r="E421" i="1"/>
  <c r="D421" i="1"/>
  <c r="AE420" i="1"/>
  <c r="E420" i="1"/>
  <c r="D420" i="1"/>
  <c r="F420" i="1" s="1"/>
  <c r="B420" i="1" s="1"/>
  <c r="AE419" i="1"/>
  <c r="E419" i="1"/>
  <c r="D419" i="1"/>
  <c r="F419" i="1" s="1"/>
  <c r="B419" i="1" s="1"/>
  <c r="AE418" i="1"/>
  <c r="C418" i="1"/>
  <c r="D418" i="1" s="1"/>
  <c r="F418" i="1" s="1"/>
  <c r="B418" i="1" s="1"/>
  <c r="G462" i="1" l="1"/>
  <c r="F422" i="1"/>
  <c r="B422" i="1" s="1"/>
  <c r="L462" i="1"/>
  <c r="M462" i="1" s="1"/>
  <c r="F426" i="1"/>
  <c r="B426" i="1" s="1"/>
  <c r="I426" i="1" s="1"/>
  <c r="F427" i="1"/>
  <c r="B427" i="1" s="1"/>
  <c r="AF427" i="1" s="1"/>
  <c r="AG427" i="1" s="1"/>
  <c r="F421" i="1"/>
  <c r="B421" i="1" s="1"/>
  <c r="I421" i="1" s="1"/>
  <c r="AF422" i="1"/>
  <c r="AG422" i="1" s="1"/>
  <c r="I422" i="1"/>
  <c r="AF423" i="1"/>
  <c r="AG423" i="1" s="1"/>
  <c r="I423" i="1"/>
  <c r="AF425" i="1"/>
  <c r="AG425" i="1" s="1"/>
  <c r="I425" i="1"/>
  <c r="AF424" i="1"/>
  <c r="AG424" i="1" s="1"/>
  <c r="I424" i="1"/>
  <c r="AF418" i="1"/>
  <c r="AG418" i="1" s="1"/>
  <c r="I418" i="1"/>
  <c r="I419" i="1"/>
  <c r="AF419" i="1"/>
  <c r="AG419" i="1" s="1"/>
  <c r="AF420" i="1"/>
  <c r="AG420" i="1" s="1"/>
  <c r="I420" i="1"/>
  <c r="AF421" i="1" l="1"/>
  <c r="AG421" i="1" s="1"/>
  <c r="I427" i="1"/>
  <c r="AF426" i="1"/>
  <c r="AG426" i="1" s="1"/>
  <c r="AB20" i="1" l="1"/>
  <c r="AB16" i="1"/>
  <c r="AB13" i="1"/>
  <c r="AB12" i="1"/>
  <c r="AB9" i="1"/>
  <c r="O128" i="1"/>
  <c r="E128" i="1"/>
  <c r="D128" i="1"/>
  <c r="AC128" i="1"/>
  <c r="AD128" i="1" s="1"/>
  <c r="B52" i="1"/>
  <c r="B431" i="1"/>
  <c r="D431" i="1"/>
  <c r="F431" i="1"/>
  <c r="B460" i="1"/>
  <c r="B458" i="1"/>
  <c r="B456" i="1"/>
  <c r="D455" i="1"/>
  <c r="F455" i="1" s="1"/>
  <c r="G455" i="1" s="1"/>
  <c r="D456" i="1"/>
  <c r="F456" i="1" s="1"/>
  <c r="D457" i="1"/>
  <c r="F457" i="1" s="1"/>
  <c r="G457" i="1" s="1"/>
  <c r="D458" i="1"/>
  <c r="F458" i="1" s="1"/>
  <c r="D459" i="1"/>
  <c r="F459" i="1" s="1"/>
  <c r="G459" i="1" s="1"/>
  <c r="D460" i="1"/>
  <c r="F460" i="1" s="1"/>
  <c r="D461" i="1"/>
  <c r="F461" i="1" s="1"/>
  <c r="G461" i="1" s="1"/>
  <c r="D454" i="1"/>
  <c r="F454" i="1" s="1"/>
  <c r="B454" i="1"/>
  <c r="D453" i="1"/>
  <c r="F453" i="1" s="1"/>
  <c r="B453" i="1"/>
  <c r="D452" i="1"/>
  <c r="F452" i="1" s="1"/>
  <c r="G452" i="1" s="1"/>
  <c r="D451" i="1"/>
  <c r="F451" i="1" s="1"/>
  <c r="B451" i="1"/>
  <c r="D450" i="1"/>
  <c r="F450" i="1" s="1"/>
  <c r="G450" i="1" s="1"/>
  <c r="D449" i="1"/>
  <c r="F449" i="1" s="1"/>
  <c r="B449" i="1"/>
  <c r="D448" i="1"/>
  <c r="F448" i="1" s="1"/>
  <c r="G448" i="1" s="1"/>
  <c r="D447" i="1"/>
  <c r="F447" i="1" s="1"/>
  <c r="B447" i="1"/>
  <c r="D446" i="1"/>
  <c r="F446" i="1" s="1"/>
  <c r="G446" i="1" s="1"/>
  <c r="D445" i="1"/>
  <c r="F445" i="1"/>
  <c r="B445" i="1"/>
  <c r="C443" i="1"/>
  <c r="D443" i="1" s="1"/>
  <c r="F443" i="1" s="1"/>
  <c r="B443" i="1"/>
  <c r="D441" i="1"/>
  <c r="F441" i="1" s="1"/>
  <c r="B441" i="1"/>
  <c r="D440" i="1"/>
  <c r="F440" i="1" s="1"/>
  <c r="G440" i="1" s="1"/>
  <c r="D442" i="1"/>
  <c r="F442" i="1" s="1"/>
  <c r="G442" i="1" s="1"/>
  <c r="D444" i="1"/>
  <c r="F444" i="1" s="1"/>
  <c r="G444" i="1" s="1"/>
  <c r="B439" i="1"/>
  <c r="C438" i="1"/>
  <c r="D438" i="1" s="1"/>
  <c r="F438" i="1" s="1"/>
  <c r="G438" i="1" s="1"/>
  <c r="B437" i="1"/>
  <c r="D436" i="1"/>
  <c r="F436" i="1" s="1"/>
  <c r="G436" i="1" s="1"/>
  <c r="B435" i="1"/>
  <c r="B433" i="1"/>
  <c r="D434" i="1"/>
  <c r="F434" i="1" s="1"/>
  <c r="G434" i="1" s="1"/>
  <c r="C439" i="1"/>
  <c r="D439" i="1" s="1"/>
  <c r="F439" i="1" s="1"/>
  <c r="C437" i="1"/>
  <c r="D437" i="1" s="1"/>
  <c r="F437" i="1" s="1"/>
  <c r="C435" i="1"/>
  <c r="D435" i="1" s="1"/>
  <c r="F435" i="1" s="1"/>
  <c r="D433" i="1"/>
  <c r="C432" i="1"/>
  <c r="D432" i="1" s="1"/>
  <c r="F432" i="1" s="1"/>
  <c r="G432" i="1" s="1"/>
  <c r="D430" i="1"/>
  <c r="F430" i="1" s="1"/>
  <c r="D429" i="1"/>
  <c r="F429" i="1" s="1"/>
  <c r="G429" i="1" s="1"/>
  <c r="B430" i="1"/>
  <c r="AH377" i="1"/>
  <c r="AH372" i="1"/>
  <c r="AH371" i="1"/>
  <c r="AH370" i="1"/>
  <c r="I376" i="1"/>
  <c r="I373" i="1"/>
  <c r="AI377" i="1"/>
  <c r="D377" i="1"/>
  <c r="F377" i="1" s="1"/>
  <c r="AI376" i="1"/>
  <c r="D376" i="1"/>
  <c r="F376" i="1" s="1"/>
  <c r="AI375" i="1"/>
  <c r="AH375" i="1"/>
  <c r="I375" i="1"/>
  <c r="D375" i="1"/>
  <c r="F375" i="1" s="1"/>
  <c r="AI374" i="1"/>
  <c r="AH374" i="1"/>
  <c r="I374" i="1"/>
  <c r="D374" i="1"/>
  <c r="F374" i="1" s="1"/>
  <c r="AI373" i="1"/>
  <c r="D373" i="1"/>
  <c r="F373" i="1" s="1"/>
  <c r="AI372" i="1"/>
  <c r="D372" i="1"/>
  <c r="F372" i="1" s="1"/>
  <c r="C371" i="1"/>
  <c r="D371" i="1" s="1"/>
  <c r="F371" i="1" s="1"/>
  <c r="B371" i="1"/>
  <c r="AI371" i="1" s="1"/>
  <c r="C370" i="1"/>
  <c r="D370" i="1" s="1"/>
  <c r="F370" i="1" s="1"/>
  <c r="B370" i="1"/>
  <c r="I370" i="1" s="1"/>
  <c r="AI369" i="1"/>
  <c r="AH369" i="1"/>
  <c r="I369" i="1"/>
  <c r="D369" i="1"/>
  <c r="F369" i="1" s="1"/>
  <c r="B378" i="1"/>
  <c r="AF378" i="1" s="1"/>
  <c r="D378" i="1"/>
  <c r="E378" i="1"/>
  <c r="AE378" i="1"/>
  <c r="G460" i="1" l="1"/>
  <c r="F128" i="1"/>
  <c r="G128" i="1" s="1"/>
  <c r="G445" i="1"/>
  <c r="G431" i="1"/>
  <c r="G458" i="1"/>
  <c r="I378" i="1"/>
  <c r="G435" i="1"/>
  <c r="G456" i="1"/>
  <c r="G453" i="1"/>
  <c r="G437" i="1"/>
  <c r="G451" i="1"/>
  <c r="G454" i="1"/>
  <c r="G447" i="1"/>
  <c r="G443" i="1"/>
  <c r="G449" i="1"/>
  <c r="AG378" i="1"/>
  <c r="G441" i="1"/>
  <c r="G439" i="1"/>
  <c r="G430" i="1"/>
  <c r="F433" i="1"/>
  <c r="G433" i="1" s="1"/>
  <c r="F378" i="1"/>
  <c r="I371" i="1"/>
  <c r="AH376" i="1"/>
  <c r="AJ376" i="1" s="1"/>
  <c r="AJ377" i="1"/>
  <c r="AH373" i="1"/>
  <c r="AJ373" i="1" s="1"/>
  <c r="AJ372" i="1"/>
  <c r="AJ369" i="1"/>
  <c r="AJ374" i="1"/>
  <c r="AJ375" i="1"/>
  <c r="AJ371" i="1"/>
  <c r="I372" i="1"/>
  <c r="I377" i="1"/>
  <c r="AI370" i="1"/>
  <c r="AJ370" i="1" s="1"/>
  <c r="N128" i="1" l="1"/>
  <c r="P128" i="1" s="1"/>
  <c r="Q128" i="1" s="1"/>
  <c r="AH343" i="1"/>
  <c r="C343" i="1"/>
  <c r="D343" i="1" s="1"/>
  <c r="F343" i="1" s="1"/>
  <c r="B343" i="1" s="1"/>
  <c r="F428" i="1"/>
  <c r="B428" i="1" s="1"/>
  <c r="AE428" i="1"/>
  <c r="B317" i="1"/>
  <c r="I317" i="1" s="1"/>
  <c r="I324" i="1"/>
  <c r="I325" i="1"/>
  <c r="I326" i="1"/>
  <c r="I328" i="1"/>
  <c r="I329" i="1"/>
  <c r="I330" i="1"/>
  <c r="AH324" i="1"/>
  <c r="AI324" i="1"/>
  <c r="AH325" i="1"/>
  <c r="AI325" i="1"/>
  <c r="AH326" i="1"/>
  <c r="AI326" i="1"/>
  <c r="AH327" i="1"/>
  <c r="AH328" i="1"/>
  <c r="AI328" i="1"/>
  <c r="AH329" i="1"/>
  <c r="AI329" i="1"/>
  <c r="AH330" i="1"/>
  <c r="AI330" i="1"/>
  <c r="AH353" i="1"/>
  <c r="AI353" i="1"/>
  <c r="AH354" i="1"/>
  <c r="AI354" i="1"/>
  <c r="AH355" i="1"/>
  <c r="AI355" i="1"/>
  <c r="AH356" i="1"/>
  <c r="AI356" i="1"/>
  <c r="AH357" i="1"/>
  <c r="AI357" i="1"/>
  <c r="I353" i="1"/>
  <c r="I354" i="1"/>
  <c r="I355" i="1"/>
  <c r="I356" i="1"/>
  <c r="I357" i="1"/>
  <c r="D353" i="1"/>
  <c r="F353" i="1" s="1"/>
  <c r="D354" i="1"/>
  <c r="F354" i="1" s="1"/>
  <c r="D355" i="1"/>
  <c r="F355" i="1" s="1"/>
  <c r="D356" i="1"/>
  <c r="F356" i="1" s="1"/>
  <c r="D357" i="1"/>
  <c r="F357" i="1" s="1"/>
  <c r="D324" i="1"/>
  <c r="F324" i="1" s="1"/>
  <c r="D325" i="1"/>
  <c r="F325" i="1" s="1"/>
  <c r="D326" i="1"/>
  <c r="F326" i="1" s="1"/>
  <c r="D327" i="1"/>
  <c r="F327" i="1" s="1"/>
  <c r="B327" i="1" s="1"/>
  <c r="D328" i="1"/>
  <c r="F328" i="1" s="1"/>
  <c r="D329" i="1"/>
  <c r="F329" i="1" s="1"/>
  <c r="D330" i="1"/>
  <c r="F330" i="1" s="1"/>
  <c r="D322" i="1"/>
  <c r="F322" i="1" s="1"/>
  <c r="B322" i="1" s="1"/>
  <c r="D323" i="1"/>
  <c r="F323" i="1" s="1"/>
  <c r="B323" i="1" s="1"/>
  <c r="D331" i="1"/>
  <c r="F331" i="1" s="1"/>
  <c r="B331" i="1" s="1"/>
  <c r="D332" i="1"/>
  <c r="F332" i="1" s="1"/>
  <c r="B332" i="1" s="1"/>
  <c r="D333" i="1"/>
  <c r="F333" i="1" s="1"/>
  <c r="B333" i="1" s="1"/>
  <c r="AH333" i="1"/>
  <c r="AH332" i="1"/>
  <c r="AH322" i="1"/>
  <c r="B379" i="1"/>
  <c r="AF379" i="1" s="1"/>
  <c r="B380" i="1"/>
  <c r="AF380" i="1" s="1"/>
  <c r="E387" i="1"/>
  <c r="E386" i="1"/>
  <c r="D381" i="1"/>
  <c r="D382" i="1"/>
  <c r="D383" i="1"/>
  <c r="E395" i="1"/>
  <c r="C412" i="1"/>
  <c r="D412" i="1" s="1"/>
  <c r="C413" i="1"/>
  <c r="D413" i="1" s="1"/>
  <c r="C414" i="1"/>
  <c r="D414" i="1" s="1"/>
  <c r="C415" i="1"/>
  <c r="D415" i="1" s="1"/>
  <c r="C416" i="1"/>
  <c r="D416" i="1" s="1"/>
  <c r="C417" i="1"/>
  <c r="D417" i="1" s="1"/>
  <c r="C392" i="1"/>
  <c r="D392" i="1" s="1"/>
  <c r="C391" i="1"/>
  <c r="D391" i="1" s="1"/>
  <c r="C386" i="1"/>
  <c r="D386" i="1" s="1"/>
  <c r="C385" i="1"/>
  <c r="D385" i="1" s="1"/>
  <c r="C384" i="1"/>
  <c r="D384" i="1" s="1"/>
  <c r="C380" i="1"/>
  <c r="D380" i="1" s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0" i="1"/>
  <c r="E401" i="1"/>
  <c r="E399" i="1"/>
  <c r="E398" i="1"/>
  <c r="E397" i="1"/>
  <c r="E396" i="1"/>
  <c r="AE395" i="1"/>
  <c r="D395" i="1"/>
  <c r="E394" i="1"/>
  <c r="E393" i="1"/>
  <c r="E392" i="1"/>
  <c r="E391" i="1"/>
  <c r="E390" i="1"/>
  <c r="E389" i="1"/>
  <c r="E388" i="1"/>
  <c r="E385" i="1"/>
  <c r="E384" i="1"/>
  <c r="E383" i="1"/>
  <c r="E382" i="1"/>
  <c r="E381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D406" i="1"/>
  <c r="D407" i="1"/>
  <c r="D408" i="1"/>
  <c r="D409" i="1"/>
  <c r="D410" i="1"/>
  <c r="D393" i="1"/>
  <c r="D394" i="1"/>
  <c r="D396" i="1"/>
  <c r="D397" i="1"/>
  <c r="D398" i="1"/>
  <c r="D399" i="1"/>
  <c r="D400" i="1"/>
  <c r="D401" i="1"/>
  <c r="D402" i="1"/>
  <c r="D403" i="1"/>
  <c r="D404" i="1"/>
  <c r="D405" i="1"/>
  <c r="E380" i="1"/>
  <c r="E379" i="1"/>
  <c r="C318" i="1"/>
  <c r="AH318" i="1"/>
  <c r="AH319" i="1"/>
  <c r="AH320" i="1"/>
  <c r="AH321" i="1"/>
  <c r="AI321" i="1"/>
  <c r="AH323" i="1"/>
  <c r="AH331" i="1"/>
  <c r="AH334" i="1"/>
  <c r="AH335" i="1"/>
  <c r="AH336" i="1"/>
  <c r="AH337" i="1"/>
  <c r="AH338" i="1"/>
  <c r="AH339" i="1"/>
  <c r="AH340" i="1"/>
  <c r="AH341" i="1"/>
  <c r="AH342" i="1"/>
  <c r="AH344" i="1"/>
  <c r="AH345" i="1"/>
  <c r="AH346" i="1"/>
  <c r="AH347" i="1"/>
  <c r="AH348" i="1"/>
  <c r="AH349" i="1"/>
  <c r="AI349" i="1"/>
  <c r="AH350" i="1"/>
  <c r="AI350" i="1"/>
  <c r="AH351" i="1"/>
  <c r="AI351" i="1"/>
  <c r="AH352" i="1"/>
  <c r="AI352" i="1"/>
  <c r="AH358" i="1"/>
  <c r="AI358" i="1"/>
  <c r="AH359" i="1"/>
  <c r="AI359" i="1"/>
  <c r="AH360" i="1"/>
  <c r="AI360" i="1"/>
  <c r="AH361" i="1"/>
  <c r="AI361" i="1"/>
  <c r="AH362" i="1"/>
  <c r="AI362" i="1"/>
  <c r="AH363" i="1"/>
  <c r="AI363" i="1"/>
  <c r="AH364" i="1"/>
  <c r="AI364" i="1"/>
  <c r="AH365" i="1"/>
  <c r="AI365" i="1"/>
  <c r="AE366" i="1"/>
  <c r="AF366" i="1"/>
  <c r="AE367" i="1"/>
  <c r="AF367" i="1"/>
  <c r="AH368" i="1"/>
  <c r="AI368" i="1"/>
  <c r="AH317" i="1"/>
  <c r="D365" i="1"/>
  <c r="F365" i="1" s="1"/>
  <c r="I365" i="1"/>
  <c r="C363" i="1"/>
  <c r="D363" i="1" s="1"/>
  <c r="F363" i="1" s="1"/>
  <c r="I360" i="1"/>
  <c r="I361" i="1"/>
  <c r="I362" i="1"/>
  <c r="I363" i="1"/>
  <c r="I364" i="1"/>
  <c r="I366" i="1"/>
  <c r="I367" i="1"/>
  <c r="I368" i="1"/>
  <c r="D358" i="1"/>
  <c r="F358" i="1" s="1"/>
  <c r="D359" i="1"/>
  <c r="F359" i="1" s="1"/>
  <c r="D360" i="1"/>
  <c r="F360" i="1" s="1"/>
  <c r="D361" i="1"/>
  <c r="F361" i="1" s="1"/>
  <c r="D362" i="1"/>
  <c r="F362" i="1" s="1"/>
  <c r="D364" i="1"/>
  <c r="F364" i="1" s="1"/>
  <c r="D366" i="1"/>
  <c r="F366" i="1" s="1"/>
  <c r="D367" i="1"/>
  <c r="F367" i="1" s="1"/>
  <c r="D368" i="1"/>
  <c r="F368" i="1" s="1"/>
  <c r="B348" i="1"/>
  <c r="I348" i="1" s="1"/>
  <c r="B347" i="1"/>
  <c r="I347" i="1" s="1"/>
  <c r="B346" i="1"/>
  <c r="I346" i="1" s="1"/>
  <c r="B345" i="1"/>
  <c r="I345" i="1" s="1"/>
  <c r="C345" i="1"/>
  <c r="D345" i="1" s="1"/>
  <c r="F345" i="1" s="1"/>
  <c r="B344" i="1"/>
  <c r="I344" i="1" s="1"/>
  <c r="C344" i="1"/>
  <c r="D344" i="1" s="1"/>
  <c r="F344" i="1" s="1"/>
  <c r="B342" i="1"/>
  <c r="I342" i="1" s="1"/>
  <c r="B341" i="1"/>
  <c r="I341" i="1" s="1"/>
  <c r="C341" i="1"/>
  <c r="D341" i="1" s="1"/>
  <c r="F341" i="1" s="1"/>
  <c r="B340" i="1"/>
  <c r="I340" i="1" s="1"/>
  <c r="C340" i="1"/>
  <c r="D340" i="1" s="1"/>
  <c r="F340" i="1" s="1"/>
  <c r="B339" i="1"/>
  <c r="AI339" i="1" s="1"/>
  <c r="B338" i="1"/>
  <c r="I338" i="1" s="1"/>
  <c r="C338" i="1"/>
  <c r="D338" i="1" s="1"/>
  <c r="F338" i="1" s="1"/>
  <c r="I349" i="1"/>
  <c r="I350" i="1"/>
  <c r="I351" i="1"/>
  <c r="I352" i="1"/>
  <c r="I358" i="1"/>
  <c r="I359" i="1"/>
  <c r="D346" i="1"/>
  <c r="F346" i="1" s="1"/>
  <c r="D347" i="1"/>
  <c r="F347" i="1" s="1"/>
  <c r="D348" i="1"/>
  <c r="F348" i="1" s="1"/>
  <c r="D349" i="1"/>
  <c r="F349" i="1" s="1"/>
  <c r="D350" i="1"/>
  <c r="F350" i="1" s="1"/>
  <c r="D351" i="1"/>
  <c r="F351" i="1" s="1"/>
  <c r="D352" i="1"/>
  <c r="F352" i="1" s="1"/>
  <c r="B337" i="1"/>
  <c r="I337" i="1" s="1"/>
  <c r="C337" i="1"/>
  <c r="D337" i="1" s="1"/>
  <c r="F337" i="1" s="1"/>
  <c r="B319" i="1"/>
  <c r="I319" i="1" s="1"/>
  <c r="B318" i="1"/>
  <c r="AI318" i="1" s="1"/>
  <c r="B320" i="1"/>
  <c r="I320" i="1" s="1"/>
  <c r="B334" i="1"/>
  <c r="I334" i="1" s="1"/>
  <c r="B335" i="1"/>
  <c r="I335" i="1" s="1"/>
  <c r="B336" i="1"/>
  <c r="I336" i="1" s="1"/>
  <c r="D334" i="1"/>
  <c r="F334" i="1" s="1"/>
  <c r="D335" i="1"/>
  <c r="F335" i="1" s="1"/>
  <c r="D336" i="1"/>
  <c r="F336" i="1" s="1"/>
  <c r="D339" i="1"/>
  <c r="F339" i="1" s="1"/>
  <c r="D342" i="1"/>
  <c r="F342" i="1" s="1"/>
  <c r="I321" i="1"/>
  <c r="C319" i="1"/>
  <c r="D319" i="1" s="1"/>
  <c r="F319" i="1" s="1"/>
  <c r="D320" i="1"/>
  <c r="F320" i="1" s="1"/>
  <c r="D321" i="1"/>
  <c r="F321" i="1" s="1"/>
  <c r="C317" i="1"/>
  <c r="D317" i="1" s="1"/>
  <c r="F317" i="1" s="1"/>
  <c r="B51" i="1"/>
  <c r="AB35" i="1"/>
  <c r="AB34" i="1"/>
  <c r="AB33" i="1"/>
  <c r="AB32" i="1"/>
  <c r="Z299" i="1"/>
  <c r="D299" i="1"/>
  <c r="E299" i="1" s="1"/>
  <c r="F299" i="1" s="1"/>
  <c r="B57" i="1"/>
  <c r="AC26" i="1"/>
  <c r="AB22" i="1"/>
  <c r="AC22" i="1"/>
  <c r="AB29" i="1"/>
  <c r="AB28" i="1"/>
  <c r="AB27" i="1"/>
  <c r="AD27" i="1" s="1"/>
  <c r="AB26" i="1"/>
  <c r="AB25" i="1"/>
  <c r="AD25" i="1" s="1"/>
  <c r="AB24" i="1"/>
  <c r="AB23" i="1"/>
  <c r="AB21" i="1"/>
  <c r="AB19" i="1"/>
  <c r="AB18" i="1"/>
  <c r="AD18" i="1" s="1"/>
  <c r="AB17" i="1"/>
  <c r="AD17" i="1" s="1"/>
  <c r="AD16" i="1"/>
  <c r="AC13" i="1"/>
  <c r="AC12" i="1"/>
  <c r="AB14" i="1"/>
  <c r="AB11" i="1"/>
  <c r="AD9" i="1"/>
  <c r="D314" i="1"/>
  <c r="E314" i="1" s="1"/>
  <c r="D315" i="1"/>
  <c r="E315" i="1" s="1"/>
  <c r="D316" i="1"/>
  <c r="E316" i="1" s="1"/>
  <c r="D313" i="1"/>
  <c r="D312" i="1"/>
  <c r="E312" i="1" s="1"/>
  <c r="D311" i="1"/>
  <c r="E311" i="1" s="1"/>
  <c r="D310" i="1"/>
  <c r="E310" i="1" s="1"/>
  <c r="D309" i="1"/>
  <c r="E309" i="1" s="1"/>
  <c r="D308" i="1"/>
  <c r="E308" i="1" s="1"/>
  <c r="D307" i="1"/>
  <c r="E307" i="1" s="1"/>
  <c r="B314" i="1"/>
  <c r="B316" i="1"/>
  <c r="B315" i="1"/>
  <c r="B313" i="1"/>
  <c r="B312" i="1"/>
  <c r="B311" i="1"/>
  <c r="B310" i="1"/>
  <c r="B309" i="1"/>
  <c r="B308" i="1"/>
  <c r="B307" i="1"/>
  <c r="AC33" i="1"/>
  <c r="AC34" i="1"/>
  <c r="AC35" i="1"/>
  <c r="AC32" i="1"/>
  <c r="AC29" i="1"/>
  <c r="AC28" i="1"/>
  <c r="AC24" i="1"/>
  <c r="AC23" i="1"/>
  <c r="AC21" i="1"/>
  <c r="AC20" i="1"/>
  <c r="AC19" i="1"/>
  <c r="AC100" i="1"/>
  <c r="AD100" i="1" s="1"/>
  <c r="O100" i="1"/>
  <c r="AC11" i="1"/>
  <c r="AC130" i="1"/>
  <c r="AD130" i="1" s="1"/>
  <c r="AC131" i="1"/>
  <c r="AD131" i="1" s="1"/>
  <c r="AC132" i="1"/>
  <c r="AD132" i="1" s="1"/>
  <c r="AC133" i="1"/>
  <c r="AD133" i="1" s="1"/>
  <c r="AC124" i="1"/>
  <c r="AD124" i="1" s="1"/>
  <c r="AC125" i="1"/>
  <c r="AD125" i="1" s="1"/>
  <c r="AC126" i="1"/>
  <c r="AD126" i="1" s="1"/>
  <c r="AC127" i="1"/>
  <c r="AD127" i="1" s="1"/>
  <c r="AC129" i="1"/>
  <c r="AD129" i="1" s="1"/>
  <c r="AC119" i="1"/>
  <c r="AD119" i="1" s="1"/>
  <c r="AC120" i="1"/>
  <c r="AD120" i="1" s="1"/>
  <c r="AC121" i="1"/>
  <c r="AD121" i="1" s="1"/>
  <c r="AC122" i="1"/>
  <c r="AD122" i="1" s="1"/>
  <c r="AC123" i="1"/>
  <c r="AD123" i="1" s="1"/>
  <c r="AC117" i="1"/>
  <c r="AD117" i="1" s="1"/>
  <c r="AC118" i="1"/>
  <c r="AD118" i="1" s="1"/>
  <c r="AC115" i="1"/>
  <c r="AD115" i="1" s="1"/>
  <c r="AC116" i="1"/>
  <c r="AD116" i="1" s="1"/>
  <c r="AC14" i="1"/>
  <c r="AC107" i="1"/>
  <c r="AD107" i="1" s="1"/>
  <c r="AC108" i="1"/>
  <c r="AD108" i="1" s="1"/>
  <c r="AC109" i="1"/>
  <c r="AD109" i="1" s="1"/>
  <c r="AC110" i="1"/>
  <c r="AD110" i="1" s="1"/>
  <c r="AC111" i="1"/>
  <c r="AD111" i="1" s="1"/>
  <c r="AC113" i="1"/>
  <c r="AD113" i="1" s="1"/>
  <c r="AC114" i="1"/>
  <c r="AD114" i="1" s="1"/>
  <c r="AC101" i="1"/>
  <c r="AD101" i="1" s="1"/>
  <c r="AC102" i="1"/>
  <c r="AD102" i="1" s="1"/>
  <c r="AC103" i="1"/>
  <c r="AD103" i="1" s="1"/>
  <c r="AC104" i="1"/>
  <c r="AD104" i="1" s="1"/>
  <c r="AC105" i="1"/>
  <c r="AD105" i="1" s="1"/>
  <c r="AC106" i="1"/>
  <c r="AD106" i="1" s="1"/>
  <c r="AC92" i="1"/>
  <c r="AD92" i="1" s="1"/>
  <c r="AC94" i="1"/>
  <c r="AD94" i="1" s="1"/>
  <c r="AC95" i="1"/>
  <c r="AD95" i="1" s="1"/>
  <c r="AC96" i="1"/>
  <c r="AD96" i="1" s="1"/>
  <c r="AC97" i="1"/>
  <c r="AD97" i="1" s="1"/>
  <c r="AC98" i="1"/>
  <c r="AD98" i="1" s="1"/>
  <c r="AC99" i="1"/>
  <c r="AD99" i="1" s="1"/>
  <c r="AC91" i="1"/>
  <c r="AD91" i="1" s="1"/>
  <c r="AC89" i="1"/>
  <c r="AD89" i="1" s="1"/>
  <c r="Z292" i="1"/>
  <c r="Z293" i="1"/>
  <c r="Z294" i="1"/>
  <c r="Z295" i="1"/>
  <c r="Z296" i="1"/>
  <c r="Z297" i="1"/>
  <c r="Z298" i="1"/>
  <c r="Z300" i="1"/>
  <c r="Z301" i="1"/>
  <c r="Z302" i="1"/>
  <c r="Z303" i="1"/>
  <c r="Z304" i="1"/>
  <c r="Z305" i="1"/>
  <c r="Z306" i="1"/>
  <c r="D306" i="1"/>
  <c r="E306" i="1" s="1"/>
  <c r="F306" i="1" s="1"/>
  <c r="D305" i="1"/>
  <c r="E305" i="1" s="1"/>
  <c r="D304" i="1"/>
  <c r="E304" i="1" s="1"/>
  <c r="F304" i="1" s="1"/>
  <c r="D303" i="1"/>
  <c r="E303" i="1" s="1"/>
  <c r="F303" i="1" s="1"/>
  <c r="D302" i="1"/>
  <c r="E302" i="1" s="1"/>
  <c r="F302" i="1" s="1"/>
  <c r="D301" i="1"/>
  <c r="E301" i="1" s="1"/>
  <c r="D300" i="1"/>
  <c r="E300" i="1" s="1"/>
  <c r="F300" i="1" s="1"/>
  <c r="D298" i="1"/>
  <c r="E298" i="1" s="1"/>
  <c r="D297" i="1"/>
  <c r="E297" i="1" s="1"/>
  <c r="F297" i="1" s="1"/>
  <c r="D296" i="1"/>
  <c r="E296" i="1" s="1"/>
  <c r="D295" i="1"/>
  <c r="E295" i="1" s="1"/>
  <c r="D294" i="1"/>
  <c r="E294" i="1" s="1"/>
  <c r="F294" i="1" s="1"/>
  <c r="D293" i="1"/>
  <c r="E293" i="1" s="1"/>
  <c r="D292" i="1"/>
  <c r="E292" i="1" s="1"/>
  <c r="F292" i="1" s="1"/>
  <c r="D291" i="1"/>
  <c r="E291" i="1" s="1"/>
  <c r="F291" i="1" s="1"/>
  <c r="B291" i="1"/>
  <c r="Z291" i="1" s="1"/>
  <c r="B290" i="1"/>
  <c r="D290" i="1"/>
  <c r="E290" i="1" s="1"/>
  <c r="F290" i="1" s="1"/>
  <c r="Y290" i="1" s="1"/>
  <c r="D289" i="1"/>
  <c r="E289" i="1" s="1"/>
  <c r="D288" i="1"/>
  <c r="E288" i="1" s="1"/>
  <c r="D287" i="1"/>
  <c r="F287" i="1" s="1"/>
  <c r="Y287" i="1" s="1"/>
  <c r="E286" i="1"/>
  <c r="D286" i="1"/>
  <c r="Z285" i="1"/>
  <c r="Z286" i="1"/>
  <c r="Z287" i="1"/>
  <c r="Z288" i="1"/>
  <c r="Z289" i="1"/>
  <c r="E285" i="1"/>
  <c r="D285" i="1"/>
  <c r="Z284" i="1"/>
  <c r="E284" i="1"/>
  <c r="D284" i="1"/>
  <c r="Z280" i="1"/>
  <c r="Z281" i="1"/>
  <c r="Z282" i="1"/>
  <c r="Z283" i="1"/>
  <c r="E283" i="1"/>
  <c r="D283" i="1"/>
  <c r="D282" i="1"/>
  <c r="E282" i="1"/>
  <c r="D281" i="1"/>
  <c r="E280" i="1"/>
  <c r="D280" i="1"/>
  <c r="E279" i="1"/>
  <c r="D279" i="1"/>
  <c r="Z279" i="1"/>
  <c r="E278" i="1"/>
  <c r="D278" i="1"/>
  <c r="Z278" i="1"/>
  <c r="D277" i="1"/>
  <c r="F277" i="1" s="1"/>
  <c r="Y277" i="1" s="1"/>
  <c r="Z277" i="1"/>
  <c r="E276" i="1"/>
  <c r="D276" i="1"/>
  <c r="Z276" i="1"/>
  <c r="D275" i="1"/>
  <c r="Z275" i="1"/>
  <c r="B209" i="1"/>
  <c r="AD32" i="1" l="1"/>
  <c r="AJ355" i="1"/>
  <c r="AJ354" i="1"/>
  <c r="AG367" i="1"/>
  <c r="AJ330" i="1"/>
  <c r="AJ326" i="1"/>
  <c r="AJ353" i="1"/>
  <c r="I343" i="1"/>
  <c r="AI343" i="1"/>
  <c r="AJ343" i="1" s="1"/>
  <c r="AJ357" i="1"/>
  <c r="AJ329" i="1"/>
  <c r="AF428" i="1"/>
  <c r="AG428" i="1" s="1"/>
  <c r="I428" i="1"/>
  <c r="AI327" i="1"/>
  <c r="AJ327" i="1" s="1"/>
  <c r="I327" i="1"/>
  <c r="AJ328" i="1"/>
  <c r="AJ356" i="1"/>
  <c r="AJ325" i="1"/>
  <c r="AJ324" i="1"/>
  <c r="AJ362" i="1"/>
  <c r="AJ361" i="1"/>
  <c r="AJ360" i="1"/>
  <c r="AI322" i="1"/>
  <c r="AJ322" i="1" s="1"/>
  <c r="I322" i="1"/>
  <c r="AI333" i="1"/>
  <c r="AJ333" i="1" s="1"/>
  <c r="I333" i="1"/>
  <c r="AJ350" i="1"/>
  <c r="F417" i="1"/>
  <c r="B417" i="1" s="1"/>
  <c r="F416" i="1"/>
  <c r="B416" i="1" s="1"/>
  <c r="I416" i="1" s="1"/>
  <c r="AJ359" i="1"/>
  <c r="I331" i="1"/>
  <c r="AI331" i="1"/>
  <c r="AJ331" i="1" s="1"/>
  <c r="AI323" i="1"/>
  <c r="AJ323" i="1" s="1"/>
  <c r="I323" i="1"/>
  <c r="AI332" i="1"/>
  <c r="AJ332" i="1" s="1"/>
  <c r="I332" i="1"/>
  <c r="F383" i="1"/>
  <c r="B383" i="1" s="1"/>
  <c r="I383" i="1" s="1"/>
  <c r="AJ368" i="1"/>
  <c r="AJ351" i="1"/>
  <c r="F384" i="1"/>
  <c r="B384" i="1" s="1"/>
  <c r="I384" i="1" s="1"/>
  <c r="AG366" i="1"/>
  <c r="F400" i="1"/>
  <c r="B400" i="1" s="1"/>
  <c r="F415" i="1"/>
  <c r="B415" i="1" s="1"/>
  <c r="AF415" i="1" s="1"/>
  <c r="AG415" i="1" s="1"/>
  <c r="F381" i="1"/>
  <c r="B381" i="1" s="1"/>
  <c r="I381" i="1" s="1"/>
  <c r="F410" i="1"/>
  <c r="B410" i="1" s="1"/>
  <c r="AJ364" i="1"/>
  <c r="AJ363" i="1"/>
  <c r="F385" i="1"/>
  <c r="B385" i="1" s="1"/>
  <c r="AF385" i="1" s="1"/>
  <c r="AG385" i="1" s="1"/>
  <c r="F405" i="1"/>
  <c r="B405" i="1" s="1"/>
  <c r="F414" i="1"/>
  <c r="B414" i="1" s="1"/>
  <c r="AF414" i="1" s="1"/>
  <c r="AG414" i="1" s="1"/>
  <c r="F402" i="1"/>
  <c r="B402" i="1" s="1"/>
  <c r="F401" i="1"/>
  <c r="B401" i="1" s="1"/>
  <c r="F406" i="1"/>
  <c r="B406" i="1" s="1"/>
  <c r="AF406" i="1" s="1"/>
  <c r="AG406" i="1" s="1"/>
  <c r="AJ352" i="1"/>
  <c r="AJ321" i="1"/>
  <c r="F393" i="1"/>
  <c r="B393" i="1" s="1"/>
  <c r="AF393" i="1" s="1"/>
  <c r="AG393" i="1" s="1"/>
  <c r="F392" i="1"/>
  <c r="B392" i="1" s="1"/>
  <c r="AG379" i="1"/>
  <c r="AJ349" i="1"/>
  <c r="F391" i="1"/>
  <c r="B391" i="1" s="1"/>
  <c r="AI320" i="1"/>
  <c r="AJ320" i="1" s="1"/>
  <c r="AI319" i="1"/>
  <c r="AJ319" i="1" s="1"/>
  <c r="F409" i="1"/>
  <c r="B409" i="1" s="1"/>
  <c r="AG380" i="1"/>
  <c r="F408" i="1"/>
  <c r="B408" i="1" s="1"/>
  <c r="AI317" i="1"/>
  <c r="AJ317" i="1" s="1"/>
  <c r="C387" i="1"/>
  <c r="D387" i="1" s="1"/>
  <c r="F387" i="1" s="1"/>
  <c r="B387" i="1" s="1"/>
  <c r="C388" i="1"/>
  <c r="D388" i="1" s="1"/>
  <c r="F388" i="1" s="1"/>
  <c r="B388" i="1" s="1"/>
  <c r="C389" i="1"/>
  <c r="D389" i="1" s="1"/>
  <c r="F389" i="1" s="1"/>
  <c r="B389" i="1" s="1"/>
  <c r="C390" i="1"/>
  <c r="D390" i="1" s="1"/>
  <c r="F390" i="1" s="1"/>
  <c r="B390" i="1" s="1"/>
  <c r="F397" i="1"/>
  <c r="B397" i="1" s="1"/>
  <c r="C411" i="1"/>
  <c r="D411" i="1" s="1"/>
  <c r="F411" i="1" s="1"/>
  <c r="B411" i="1" s="1"/>
  <c r="AJ318" i="1"/>
  <c r="I339" i="1"/>
  <c r="AJ358" i="1"/>
  <c r="F394" i="1"/>
  <c r="B394" i="1" s="1"/>
  <c r="AI337" i="1"/>
  <c r="AJ337" i="1" s="1"/>
  <c r="AI340" i="1"/>
  <c r="AJ340" i="1" s="1"/>
  <c r="I379" i="1"/>
  <c r="F386" i="1"/>
  <c r="B386" i="1" s="1"/>
  <c r="F395" i="1"/>
  <c r="B395" i="1" s="1"/>
  <c r="F413" i="1"/>
  <c r="B413" i="1" s="1"/>
  <c r="F412" i="1"/>
  <c r="B412" i="1" s="1"/>
  <c r="F407" i="1"/>
  <c r="B407" i="1" s="1"/>
  <c r="F404" i="1"/>
  <c r="B404" i="1" s="1"/>
  <c r="F403" i="1"/>
  <c r="B403" i="1" s="1"/>
  <c r="AI344" i="1"/>
  <c r="AJ344" i="1" s="1"/>
  <c r="F380" i="1"/>
  <c r="AJ339" i="1"/>
  <c r="AI342" i="1"/>
  <c r="AJ342" i="1" s="1"/>
  <c r="F399" i="1"/>
  <c r="B399" i="1" s="1"/>
  <c r="F396" i="1"/>
  <c r="B396" i="1" s="1"/>
  <c r="F398" i="1"/>
  <c r="B398" i="1" s="1"/>
  <c r="AI336" i="1"/>
  <c r="AJ336" i="1" s="1"/>
  <c r="AI341" i="1"/>
  <c r="AJ341" i="1" s="1"/>
  <c r="AI334" i="1"/>
  <c r="AJ334" i="1" s="1"/>
  <c r="AI348" i="1"/>
  <c r="AJ348" i="1" s="1"/>
  <c r="AI347" i="1"/>
  <c r="AJ347" i="1" s="1"/>
  <c r="AJ365" i="1"/>
  <c r="AI335" i="1"/>
  <c r="AJ335" i="1" s="1"/>
  <c r="AI346" i="1"/>
  <c r="AJ346" i="1" s="1"/>
  <c r="AI338" i="1"/>
  <c r="AJ338" i="1" s="1"/>
  <c r="C379" i="1"/>
  <c r="D379" i="1" s="1"/>
  <c r="F379" i="1" s="1"/>
  <c r="AI345" i="1"/>
  <c r="AJ345" i="1" s="1"/>
  <c r="I380" i="1"/>
  <c r="F382" i="1"/>
  <c r="B382" i="1" s="1"/>
  <c r="I318" i="1"/>
  <c r="AD14" i="1"/>
  <c r="D318" i="1"/>
  <c r="F318" i="1" s="1"/>
  <c r="AD22" i="1"/>
  <c r="AD12" i="1"/>
  <c r="AD13" i="1"/>
  <c r="AD29" i="1"/>
  <c r="AD11" i="1"/>
  <c r="Y299" i="1"/>
  <c r="AA299" i="1" s="1"/>
  <c r="G299" i="1"/>
  <c r="AD35" i="1"/>
  <c r="AD23" i="1"/>
  <c r="AD34" i="1"/>
  <c r="AD33" i="1"/>
  <c r="AD26" i="1"/>
  <c r="E313" i="1"/>
  <c r="AD28" i="1"/>
  <c r="AD24" i="1"/>
  <c r="AD21" i="1"/>
  <c r="AD19" i="1"/>
  <c r="AD20" i="1"/>
  <c r="F283" i="1"/>
  <c r="Y283" i="1" s="1"/>
  <c r="AA283" i="1" s="1"/>
  <c r="F284" i="1"/>
  <c r="Y284" i="1" s="1"/>
  <c r="AA284" i="1" s="1"/>
  <c r="F295" i="1"/>
  <c r="Y295" i="1" s="1"/>
  <c r="AA295" i="1" s="1"/>
  <c r="F276" i="1"/>
  <c r="Y276" i="1" s="1"/>
  <c r="AA276" i="1" s="1"/>
  <c r="AA277" i="1"/>
  <c r="F278" i="1"/>
  <c r="Y278" i="1" s="1"/>
  <c r="AA278" i="1" s="1"/>
  <c r="F279" i="1"/>
  <c r="Y279" i="1" s="1"/>
  <c r="AA279" i="1" s="1"/>
  <c r="F305" i="1"/>
  <c r="G305" i="1" s="1"/>
  <c r="F285" i="1"/>
  <c r="Y285" i="1" s="1"/>
  <c r="AA285" i="1" s="1"/>
  <c r="Y292" i="1"/>
  <c r="AA292" i="1" s="1"/>
  <c r="G292" i="1"/>
  <c r="G306" i="1"/>
  <c r="Y306" i="1"/>
  <c r="AA306" i="1" s="1"/>
  <c r="F288" i="1"/>
  <c r="Y288" i="1" s="1"/>
  <c r="AA288" i="1" s="1"/>
  <c r="E281" i="1"/>
  <c r="F281" i="1" s="1"/>
  <c r="F293" i="1"/>
  <c r="Y293" i="1" s="1"/>
  <c r="AA293" i="1" s="1"/>
  <c r="F282" i="1"/>
  <c r="Y282" i="1" s="1"/>
  <c r="AA282" i="1" s="1"/>
  <c r="F301" i="1"/>
  <c r="G304" i="1"/>
  <c r="Y304" i="1"/>
  <c r="AA304" i="1" s="1"/>
  <c r="Y303" i="1"/>
  <c r="AA303" i="1" s="1"/>
  <c r="G303" i="1"/>
  <c r="Y302" i="1"/>
  <c r="AA302" i="1" s="1"/>
  <c r="G302" i="1"/>
  <c r="Y300" i="1"/>
  <c r="AA300" i="1" s="1"/>
  <c r="G300" i="1"/>
  <c r="F298" i="1"/>
  <c r="G297" i="1"/>
  <c r="Y297" i="1"/>
  <c r="AA297" i="1" s="1"/>
  <c r="F296" i="1"/>
  <c r="Y294" i="1"/>
  <c r="AA294" i="1" s="1"/>
  <c r="G294" i="1"/>
  <c r="G291" i="1"/>
  <c r="Y291" i="1"/>
  <c r="AA291" i="1" s="1"/>
  <c r="Z290" i="1"/>
  <c r="AA290" i="1" s="1"/>
  <c r="F289" i="1"/>
  <c r="Y289" i="1" s="1"/>
  <c r="AA289" i="1" s="1"/>
  <c r="AA287" i="1"/>
  <c r="F286" i="1"/>
  <c r="Y286" i="1" s="1"/>
  <c r="AA286" i="1" s="1"/>
  <c r="F280" i="1"/>
  <c r="Y280" i="1" s="1"/>
  <c r="AA280" i="1" s="1"/>
  <c r="F275" i="1"/>
  <c r="O198" i="1"/>
  <c r="O189" i="1"/>
  <c r="D98" i="1"/>
  <c r="E98" i="1" s="1"/>
  <c r="F98" i="1" s="1"/>
  <c r="G98" i="1" s="1"/>
  <c r="O98" i="1"/>
  <c r="Z269" i="1"/>
  <c r="AA269" i="1" s="1"/>
  <c r="Z270" i="1"/>
  <c r="AA270" i="1" s="1"/>
  <c r="Z271" i="1"/>
  <c r="AA271" i="1" s="1"/>
  <c r="Z272" i="1"/>
  <c r="AA272" i="1" s="1"/>
  <c r="Z273" i="1"/>
  <c r="AA273" i="1" s="1"/>
  <c r="Z274" i="1"/>
  <c r="AA274" i="1" s="1"/>
  <c r="Z268" i="1"/>
  <c r="AA268" i="1" s="1"/>
  <c r="D274" i="1"/>
  <c r="D273" i="1"/>
  <c r="D272" i="1"/>
  <c r="E272" i="1" s="1"/>
  <c r="D271" i="1"/>
  <c r="D269" i="1"/>
  <c r="E269" i="1" s="1"/>
  <c r="D270" i="1"/>
  <c r="E270" i="1" s="1"/>
  <c r="D268" i="1"/>
  <c r="E268" i="1" s="1"/>
  <c r="G287" i="1"/>
  <c r="G290" i="1"/>
  <c r="G277" i="1"/>
  <c r="K77" i="1"/>
  <c r="D77" i="1"/>
  <c r="F77" i="1" s="1"/>
  <c r="G77" i="1" s="1"/>
  <c r="D76" i="1"/>
  <c r="F76" i="1" s="1"/>
  <c r="G76" i="1" s="1"/>
  <c r="K76" i="1"/>
  <c r="K79" i="1"/>
  <c r="D79" i="1"/>
  <c r="F79" i="1" s="1"/>
  <c r="J79" i="1" s="1"/>
  <c r="D78" i="1"/>
  <c r="F78" i="1" s="1"/>
  <c r="G78" i="1" s="1"/>
  <c r="K78" i="1"/>
  <c r="K82" i="1"/>
  <c r="O222" i="1"/>
  <c r="O213" i="1"/>
  <c r="O221" i="1"/>
  <c r="E274" i="1" l="1"/>
  <c r="F274" i="1" s="1"/>
  <c r="E271" i="1"/>
  <c r="F271" i="1" s="1"/>
  <c r="E273" i="1"/>
  <c r="F273" i="1" s="1"/>
  <c r="AF383" i="1"/>
  <c r="AG383" i="1" s="1"/>
  <c r="AF381" i="1"/>
  <c r="AG381" i="1" s="1"/>
  <c r="AF416" i="1"/>
  <c r="AG416" i="1" s="1"/>
  <c r="I414" i="1"/>
  <c r="I415" i="1"/>
  <c r="AF409" i="1"/>
  <c r="AG409" i="1" s="1"/>
  <c r="I409" i="1"/>
  <c r="AF410" i="1"/>
  <c r="AG410" i="1" s="1"/>
  <c r="I410" i="1"/>
  <c r="AF404" i="1"/>
  <c r="AG404" i="1" s="1"/>
  <c r="I404" i="1"/>
  <c r="AF411" i="1"/>
  <c r="AG411" i="1" s="1"/>
  <c r="I411" i="1"/>
  <c r="I392" i="1"/>
  <c r="AF392" i="1"/>
  <c r="AG392" i="1" s="1"/>
  <c r="AF396" i="1"/>
  <c r="AG396" i="1" s="1"/>
  <c r="I396" i="1"/>
  <c r="AF391" i="1"/>
  <c r="AG391" i="1" s="1"/>
  <c r="I391" i="1"/>
  <c r="I413" i="1"/>
  <c r="AF413" i="1"/>
  <c r="AG413" i="1" s="1"/>
  <c r="AF417" i="1"/>
  <c r="AG417" i="1" s="1"/>
  <c r="I417" i="1"/>
  <c r="AF402" i="1"/>
  <c r="AG402" i="1" s="1"/>
  <c r="I402" i="1"/>
  <c r="I403" i="1"/>
  <c r="AF403" i="1"/>
  <c r="AG403" i="1" s="1"/>
  <c r="AF397" i="1"/>
  <c r="AG397" i="1" s="1"/>
  <c r="I397" i="1"/>
  <c r="I412" i="1"/>
  <c r="AF412" i="1"/>
  <c r="AG412" i="1" s="1"/>
  <c r="AF408" i="1"/>
  <c r="AG408" i="1" s="1"/>
  <c r="I408" i="1"/>
  <c r="I393" i="1"/>
  <c r="AF399" i="1"/>
  <c r="AG399" i="1" s="1"/>
  <c r="I399" i="1"/>
  <c r="I407" i="1"/>
  <c r="AF407" i="1"/>
  <c r="AG407" i="1" s="1"/>
  <c r="AF400" i="1"/>
  <c r="AG400" i="1" s="1"/>
  <c r="I400" i="1"/>
  <c r="AF395" i="1"/>
  <c r="AG395" i="1" s="1"/>
  <c r="I395" i="1"/>
  <c r="AF401" i="1"/>
  <c r="AG401" i="1" s="1"/>
  <c r="I401" i="1"/>
  <c r="AF398" i="1"/>
  <c r="AG398" i="1" s="1"/>
  <c r="I398" i="1"/>
  <c r="I405" i="1"/>
  <c r="AF405" i="1"/>
  <c r="AG405" i="1" s="1"/>
  <c r="I406" i="1"/>
  <c r="AF394" i="1"/>
  <c r="AG394" i="1" s="1"/>
  <c r="I394" i="1"/>
  <c r="I385" i="1"/>
  <c r="AF384" i="1"/>
  <c r="AG384" i="1" s="1"/>
  <c r="AF388" i="1"/>
  <c r="AG388" i="1" s="1"/>
  <c r="I388" i="1"/>
  <c r="AF389" i="1"/>
  <c r="AG389" i="1" s="1"/>
  <c r="I389" i="1"/>
  <c r="AF390" i="1"/>
  <c r="AG390" i="1" s="1"/>
  <c r="I390" i="1"/>
  <c r="AF387" i="1"/>
  <c r="AG387" i="1" s="1"/>
  <c r="I387" i="1"/>
  <c r="AF382" i="1"/>
  <c r="AG382" i="1" s="1"/>
  <c r="I382" i="1"/>
  <c r="G278" i="1"/>
  <c r="G283" i="1"/>
  <c r="G288" i="1"/>
  <c r="G285" i="1"/>
  <c r="G286" i="1"/>
  <c r="G284" i="1"/>
  <c r="G295" i="1"/>
  <c r="G280" i="1"/>
  <c r="G279" i="1"/>
  <c r="Y305" i="1"/>
  <c r="AA305" i="1" s="1"/>
  <c r="G276" i="1"/>
  <c r="Y281" i="1"/>
  <c r="AA281" i="1" s="1"/>
  <c r="G281" i="1"/>
  <c r="G293" i="1"/>
  <c r="G282" i="1"/>
  <c r="G275" i="1"/>
  <c r="Y275" i="1"/>
  <c r="AA275" i="1" s="1"/>
  <c r="G301" i="1"/>
  <c r="Y301" i="1"/>
  <c r="AA301" i="1" s="1"/>
  <c r="G298" i="1"/>
  <c r="Y298" i="1"/>
  <c r="AA298" i="1" s="1"/>
  <c r="Y296" i="1"/>
  <c r="AA296" i="1" s="1"/>
  <c r="G296" i="1"/>
  <c r="G289" i="1"/>
  <c r="N98" i="1"/>
  <c r="P98" i="1" s="1"/>
  <c r="Q98" i="1" s="1"/>
  <c r="L79" i="1"/>
  <c r="M79" i="1" s="1"/>
  <c r="J77" i="1"/>
  <c r="L77" i="1" s="1"/>
  <c r="M77" i="1" s="1"/>
  <c r="F272" i="1"/>
  <c r="F270" i="1"/>
  <c r="F269" i="1"/>
  <c r="F268" i="1"/>
  <c r="J76" i="1"/>
  <c r="L76" i="1" s="1"/>
  <c r="M76" i="1" s="1"/>
  <c r="G79" i="1"/>
  <c r="J78" i="1"/>
  <c r="L78" i="1" s="1"/>
  <c r="M78" i="1" s="1"/>
  <c r="O266" i="1"/>
  <c r="O267" i="1"/>
  <c r="O265" i="1"/>
  <c r="O264" i="1"/>
  <c r="O259" i="1"/>
  <c r="O260" i="1"/>
  <c r="O261" i="1"/>
  <c r="O262" i="1"/>
  <c r="O263" i="1"/>
  <c r="O257" i="1"/>
  <c r="O258" i="1"/>
  <c r="O255" i="1"/>
  <c r="O256" i="1"/>
  <c r="O253" i="1"/>
  <c r="O254" i="1"/>
  <c r="O248" i="1"/>
  <c r="O249" i="1"/>
  <c r="O250" i="1"/>
  <c r="O251" i="1"/>
  <c r="O252" i="1"/>
  <c r="O247" i="1"/>
  <c r="O244" i="1"/>
  <c r="O245" i="1"/>
  <c r="O246" i="1"/>
  <c r="O243" i="1"/>
  <c r="O240" i="1"/>
  <c r="O241" i="1"/>
  <c r="O242" i="1"/>
  <c r="O239" i="1"/>
  <c r="O238" i="1"/>
  <c r="O237" i="1"/>
  <c r="O235" i="1"/>
  <c r="O236" i="1"/>
  <c r="O232" i="1"/>
  <c r="O233" i="1"/>
  <c r="O234" i="1"/>
  <c r="O231" i="1"/>
  <c r="B230" i="1"/>
  <c r="O230" i="1" s="1"/>
  <c r="O229" i="1"/>
  <c r="O228" i="1"/>
  <c r="O227" i="1"/>
  <c r="O226" i="1"/>
  <c r="O225" i="1"/>
  <c r="O224" i="1"/>
  <c r="O223" i="1"/>
  <c r="D220" i="1"/>
  <c r="E220" i="1" s="1"/>
  <c r="F220" i="1" s="1"/>
  <c r="B220" i="1"/>
  <c r="O220" i="1" s="1"/>
  <c r="O219" i="1"/>
  <c r="O216" i="1"/>
  <c r="O217" i="1"/>
  <c r="O215" i="1"/>
  <c r="B214" i="1"/>
  <c r="O214" i="1" s="1"/>
  <c r="O212" i="1"/>
  <c r="O207" i="1"/>
  <c r="O208" i="1"/>
  <c r="O210" i="1"/>
  <c r="O211" i="1"/>
  <c r="O209" i="1"/>
  <c r="O206" i="1"/>
  <c r="O205" i="1"/>
  <c r="O202" i="1"/>
  <c r="O203" i="1"/>
  <c r="O204" i="1"/>
  <c r="B201" i="1"/>
  <c r="O201" i="1" s="1"/>
  <c r="B200" i="1"/>
  <c r="O200" i="1" s="1"/>
  <c r="O199" i="1"/>
  <c r="D194" i="1"/>
  <c r="E194" i="1" s="1"/>
  <c r="F194" i="1" s="1"/>
  <c r="O194" i="1"/>
  <c r="O192" i="1"/>
  <c r="O193" i="1"/>
  <c r="O195" i="1"/>
  <c r="O196" i="1"/>
  <c r="O197" i="1"/>
  <c r="O181" i="1"/>
  <c r="O182" i="1"/>
  <c r="O183" i="1"/>
  <c r="O184" i="1"/>
  <c r="O185" i="1"/>
  <c r="O186" i="1"/>
  <c r="O187" i="1"/>
  <c r="O188" i="1"/>
  <c r="O190" i="1"/>
  <c r="O191" i="1"/>
  <c r="D184" i="1"/>
  <c r="E184" i="1" s="1"/>
  <c r="F184" i="1" s="1"/>
  <c r="G184" i="1" s="1"/>
  <c r="B176" i="1"/>
  <c r="O176" i="1" s="1"/>
  <c r="B175" i="1"/>
  <c r="O175" i="1" s="1"/>
  <c r="D168" i="1"/>
  <c r="E168" i="1" s="1"/>
  <c r="O168" i="1"/>
  <c r="O170" i="1"/>
  <c r="O171" i="1"/>
  <c r="O172" i="1"/>
  <c r="O173" i="1"/>
  <c r="O174" i="1"/>
  <c r="O177" i="1"/>
  <c r="O178" i="1"/>
  <c r="O179" i="1"/>
  <c r="O180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9" i="1"/>
  <c r="O148" i="1"/>
  <c r="O149" i="1"/>
  <c r="O150" i="1"/>
  <c r="O151" i="1"/>
  <c r="O152" i="1"/>
  <c r="O153" i="1"/>
  <c r="O154" i="1"/>
  <c r="O155" i="1"/>
  <c r="D146" i="1"/>
  <c r="E146" i="1" s="1"/>
  <c r="F146" i="1" s="1"/>
  <c r="O146" i="1"/>
  <c r="O144" i="1"/>
  <c r="O145" i="1"/>
  <c r="O147" i="1"/>
  <c r="D142" i="1"/>
  <c r="E142" i="1" s="1"/>
  <c r="F142" i="1" s="1"/>
  <c r="O142" i="1"/>
  <c r="B143" i="1"/>
  <c r="O143" i="1" s="1"/>
  <c r="O141" i="1"/>
  <c r="O140" i="1"/>
  <c r="O139" i="1"/>
  <c r="O138" i="1"/>
  <c r="O137" i="1"/>
  <c r="B136" i="1"/>
  <c r="AC136" i="1" s="1"/>
  <c r="AD136" i="1" s="1"/>
  <c r="B135" i="1"/>
  <c r="B134" i="1"/>
  <c r="K131" i="1"/>
  <c r="D131" i="1"/>
  <c r="F131" i="1" s="1"/>
  <c r="G131" i="1" s="1"/>
  <c r="O133" i="1"/>
  <c r="O132" i="1"/>
  <c r="O130" i="1"/>
  <c r="K129" i="1"/>
  <c r="O127" i="1"/>
  <c r="O126" i="1"/>
  <c r="O125" i="1"/>
  <c r="O124" i="1"/>
  <c r="O122" i="1"/>
  <c r="O123" i="1"/>
  <c r="O121" i="1"/>
  <c r="O120" i="1"/>
  <c r="O119" i="1"/>
  <c r="K118" i="1"/>
  <c r="O117" i="1"/>
  <c r="O116" i="1"/>
  <c r="O115" i="1"/>
  <c r="O105" i="1"/>
  <c r="O106" i="1"/>
  <c r="O107" i="1"/>
  <c r="O108" i="1"/>
  <c r="O109" i="1"/>
  <c r="O110" i="1"/>
  <c r="O111" i="1"/>
  <c r="O113" i="1"/>
  <c r="O114" i="1"/>
  <c r="O103" i="1"/>
  <c r="O104" i="1"/>
  <c r="O102" i="1"/>
  <c r="K101" i="1"/>
  <c r="O99" i="1"/>
  <c r="O97" i="1"/>
  <c r="O96" i="1"/>
  <c r="O95" i="1"/>
  <c r="O94" i="1"/>
  <c r="B93" i="1"/>
  <c r="O92" i="1"/>
  <c r="O91" i="1"/>
  <c r="B90" i="1"/>
  <c r="O89" i="1"/>
  <c r="K88" i="1"/>
  <c r="K87" i="1"/>
  <c r="K86" i="1"/>
  <c r="K85" i="1"/>
  <c r="K84" i="1"/>
  <c r="K83" i="1"/>
  <c r="K81" i="1"/>
  <c r="K80" i="1"/>
  <c r="K75" i="1"/>
  <c r="K74" i="1"/>
  <c r="K73" i="1"/>
  <c r="K72" i="1"/>
  <c r="K71" i="1"/>
  <c r="K70" i="1"/>
  <c r="K69" i="1"/>
  <c r="K67" i="1"/>
  <c r="K66" i="1"/>
  <c r="K65" i="1"/>
  <c r="K62" i="1"/>
  <c r="K61" i="1"/>
  <c r="K60" i="1"/>
  <c r="K59" i="1"/>
  <c r="S58" i="1"/>
  <c r="Z58" i="1" s="1"/>
  <c r="AA58" i="1" s="1"/>
  <c r="E56" i="1"/>
  <c r="Z55" i="1"/>
  <c r="AA55" i="1" s="1"/>
  <c r="R55" i="1"/>
  <c r="T55" i="1" s="1"/>
  <c r="O57" i="1"/>
  <c r="P57" i="1" s="1"/>
  <c r="Q57" i="1" s="1"/>
  <c r="Z57" i="1"/>
  <c r="AA57" i="1" s="1"/>
  <c r="S56" i="1"/>
  <c r="Z56" i="1" s="1"/>
  <c r="AA56" i="1" s="1"/>
  <c r="AA53" i="1"/>
  <c r="Z52" i="1"/>
  <c r="AA52" i="1" s="1"/>
  <c r="O51" i="1"/>
  <c r="P51" i="1" s="1"/>
  <c r="Q51" i="1" s="1"/>
  <c r="R56" i="1"/>
  <c r="R57" i="1"/>
  <c r="T57" i="1" s="1"/>
  <c r="R58" i="1"/>
  <c r="R50" i="1"/>
  <c r="T50" i="1" s="1"/>
  <c r="R51" i="1"/>
  <c r="R52" i="1"/>
  <c r="R37" i="1"/>
  <c r="T37" i="1" s="1"/>
  <c r="R38" i="1"/>
  <c r="T38" i="1" s="1"/>
  <c r="R39" i="1"/>
  <c r="R40" i="1"/>
  <c r="R41" i="1"/>
  <c r="T41" i="1" s="1"/>
  <c r="R42" i="1"/>
  <c r="R43" i="1"/>
  <c r="R44" i="1"/>
  <c r="T44" i="1" s="1"/>
  <c r="R45" i="1"/>
  <c r="R46" i="1"/>
  <c r="R47" i="1"/>
  <c r="T47" i="1" s="1"/>
  <c r="R48" i="1"/>
  <c r="R36" i="1"/>
  <c r="T36" i="1" s="1"/>
  <c r="Z50" i="1"/>
  <c r="AA50" i="1" s="1"/>
  <c r="S48" i="1"/>
  <c r="O48" i="1" s="1"/>
  <c r="P48" i="1" s="1"/>
  <c r="Q48" i="1" s="1"/>
  <c r="Z47" i="1"/>
  <c r="AA47" i="1" s="1"/>
  <c r="O47" i="1"/>
  <c r="P47" i="1" s="1"/>
  <c r="Q47" i="1" s="1"/>
  <c r="S46" i="1"/>
  <c r="O46" i="1" s="1"/>
  <c r="P46" i="1" s="1"/>
  <c r="Q46" i="1" s="1"/>
  <c r="S45" i="1"/>
  <c r="O45" i="1" s="1"/>
  <c r="P45" i="1" s="1"/>
  <c r="Q45" i="1" s="1"/>
  <c r="Z44" i="1"/>
  <c r="AA44" i="1" s="1"/>
  <c r="O44" i="1"/>
  <c r="P44" i="1" s="1"/>
  <c r="Q44" i="1" s="1"/>
  <c r="S43" i="1"/>
  <c r="Z43" i="1" s="1"/>
  <c r="AA43" i="1" s="1"/>
  <c r="O42" i="1"/>
  <c r="P42" i="1" s="1"/>
  <c r="Q42" i="1" s="1"/>
  <c r="Z41" i="1"/>
  <c r="AA41" i="1" s="1"/>
  <c r="O41" i="1"/>
  <c r="P41" i="1" s="1"/>
  <c r="Q41" i="1" s="1"/>
  <c r="S40" i="1"/>
  <c r="Z40" i="1" s="1"/>
  <c r="AA40" i="1" s="1"/>
  <c r="S39" i="1"/>
  <c r="O39" i="1" s="1"/>
  <c r="P39" i="1" s="1"/>
  <c r="Q39" i="1" s="1"/>
  <c r="O38" i="1"/>
  <c r="P38" i="1" s="1"/>
  <c r="Q38" i="1" s="1"/>
  <c r="O37" i="1"/>
  <c r="P37" i="1" s="1"/>
  <c r="Q37" i="1" s="1"/>
  <c r="O36" i="1"/>
  <c r="P36" i="1" s="1"/>
  <c r="Q36" i="1" s="1"/>
  <c r="AA37" i="1"/>
  <c r="AA38" i="1"/>
  <c r="AA54" i="1"/>
  <c r="AA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D31" i="1"/>
  <c r="F31" i="1" s="1"/>
  <c r="G31" i="1" s="1"/>
  <c r="W31" i="1"/>
  <c r="X31" i="1" s="1"/>
  <c r="W10" i="1"/>
  <c r="X10" i="1" s="1"/>
  <c r="W11" i="1"/>
  <c r="X11" i="1" s="1"/>
  <c r="W12" i="1"/>
  <c r="X12" i="1" s="1"/>
  <c r="W13" i="1"/>
  <c r="X13" i="1" s="1"/>
  <c r="W14" i="1"/>
  <c r="X14" i="1" s="1"/>
  <c r="W15" i="1"/>
  <c r="X15" i="1" s="1"/>
  <c r="W16" i="1"/>
  <c r="X16" i="1" s="1"/>
  <c r="W17" i="1"/>
  <c r="X17" i="1" s="1"/>
  <c r="W18" i="1"/>
  <c r="X18" i="1" s="1"/>
  <c r="W19" i="1"/>
  <c r="X19" i="1" s="1"/>
  <c r="W20" i="1"/>
  <c r="X20" i="1" s="1"/>
  <c r="W21" i="1"/>
  <c r="X21" i="1" s="1"/>
  <c r="W22" i="1"/>
  <c r="X22" i="1" s="1"/>
  <c r="W23" i="1"/>
  <c r="X23" i="1" s="1"/>
  <c r="W24" i="1"/>
  <c r="X24" i="1" s="1"/>
  <c r="W25" i="1"/>
  <c r="X25" i="1" s="1"/>
  <c r="W26" i="1"/>
  <c r="X26" i="1" s="1"/>
  <c r="W27" i="1"/>
  <c r="X27" i="1" s="1"/>
  <c r="W28" i="1"/>
  <c r="X28" i="1" s="1"/>
  <c r="W29" i="1"/>
  <c r="X29" i="1" s="1"/>
  <c r="W30" i="1"/>
  <c r="X30" i="1" s="1"/>
  <c r="W32" i="1"/>
  <c r="X32" i="1" s="1"/>
  <c r="W33" i="1"/>
  <c r="X33" i="1" s="1"/>
  <c r="W34" i="1"/>
  <c r="X34" i="1" s="1"/>
  <c r="W35" i="1"/>
  <c r="X35" i="1" s="1"/>
  <c r="W9" i="1"/>
  <c r="X9" i="1" s="1"/>
  <c r="W8" i="1"/>
  <c r="X8" i="1" s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36" i="1"/>
  <c r="G273" i="1" l="1"/>
  <c r="G274" i="1"/>
  <c r="I386" i="1"/>
  <c r="AF386" i="1"/>
  <c r="AG386" i="1" s="1"/>
  <c r="X473" i="1"/>
  <c r="O135" i="1"/>
  <c r="AC135" i="1"/>
  <c r="AD135" i="1" s="1"/>
  <c r="O134" i="1"/>
  <c r="AC134" i="1"/>
  <c r="AD134" i="1" s="1"/>
  <c r="W472" i="1"/>
  <c r="O90" i="1"/>
  <c r="AC90" i="1"/>
  <c r="AD90" i="1" s="1"/>
  <c r="O93" i="1"/>
  <c r="AC93" i="1"/>
  <c r="AD93" i="1" s="1"/>
  <c r="G220" i="1"/>
  <c r="N220" i="1"/>
  <c r="P220" i="1" s="1"/>
  <c r="Q220" i="1" s="1"/>
  <c r="G194" i="1"/>
  <c r="N194" i="1"/>
  <c r="P194" i="1" s="1"/>
  <c r="Q194" i="1" s="1"/>
  <c r="N184" i="1"/>
  <c r="P184" i="1" s="1"/>
  <c r="Q184" i="1" s="1"/>
  <c r="F168" i="1"/>
  <c r="G168" i="1" s="1"/>
  <c r="G146" i="1"/>
  <c r="N146" i="1"/>
  <c r="P146" i="1" s="1"/>
  <c r="Q146" i="1" s="1"/>
  <c r="J131" i="1"/>
  <c r="L131" i="1" s="1"/>
  <c r="M131" i="1" s="1"/>
  <c r="N142" i="1"/>
  <c r="P142" i="1" s="1"/>
  <c r="Q142" i="1" s="1"/>
  <c r="G142" i="1"/>
  <c r="S51" i="1"/>
  <c r="T51" i="1" s="1"/>
  <c r="O40" i="1"/>
  <c r="P40" i="1" s="1"/>
  <c r="Q40" i="1" s="1"/>
  <c r="Z45" i="1"/>
  <c r="AA45" i="1" s="1"/>
  <c r="T43" i="1"/>
  <c r="Z46" i="1"/>
  <c r="AA46" i="1" s="1"/>
  <c r="O52" i="1"/>
  <c r="P52" i="1" s="1"/>
  <c r="Q52" i="1" s="1"/>
  <c r="S42" i="1"/>
  <c r="Z39" i="1"/>
  <c r="AA39" i="1" s="1"/>
  <c r="Z48" i="1"/>
  <c r="AA48" i="1" s="1"/>
  <c r="O56" i="1"/>
  <c r="P56" i="1" s="1"/>
  <c r="Q56" i="1" s="1"/>
  <c r="O43" i="1"/>
  <c r="P43" i="1" s="1"/>
  <c r="Q43" i="1" s="1"/>
  <c r="T48" i="1"/>
  <c r="T40" i="1"/>
  <c r="T58" i="1"/>
  <c r="T39" i="1"/>
  <c r="T52" i="1"/>
  <c r="T56" i="1"/>
  <c r="T45" i="1"/>
  <c r="AA49" i="1"/>
  <c r="T46" i="1"/>
  <c r="G268" i="1"/>
  <c r="G269" i="1"/>
  <c r="G270" i="1"/>
  <c r="G271" i="1"/>
  <c r="G272" i="1"/>
  <c r="D258" i="1"/>
  <c r="E258" i="1" s="1"/>
  <c r="F258" i="1" s="1"/>
  <c r="D259" i="1"/>
  <c r="E259" i="1" s="1"/>
  <c r="D260" i="1"/>
  <c r="E260" i="1" s="1"/>
  <c r="F260" i="1" s="1"/>
  <c r="D261" i="1"/>
  <c r="E261" i="1" s="1"/>
  <c r="F261" i="1" s="1"/>
  <c r="D262" i="1"/>
  <c r="E262" i="1" s="1"/>
  <c r="D263" i="1"/>
  <c r="E263" i="1" s="1"/>
  <c r="F263" i="1" s="1"/>
  <c r="D264" i="1"/>
  <c r="E264" i="1" s="1"/>
  <c r="F264" i="1" s="1"/>
  <c r="D265" i="1"/>
  <c r="E265" i="1" s="1"/>
  <c r="D266" i="1"/>
  <c r="D267" i="1"/>
  <c r="E267" i="1" s="1"/>
  <c r="F267" i="1" s="1"/>
  <c r="D250" i="1"/>
  <c r="E250" i="1" s="1"/>
  <c r="D251" i="1"/>
  <c r="E251" i="1" s="1"/>
  <c r="F251" i="1" s="1"/>
  <c r="D252" i="1"/>
  <c r="E252" i="1" s="1"/>
  <c r="F252" i="1" s="1"/>
  <c r="D253" i="1"/>
  <c r="E253" i="1" s="1"/>
  <c r="D254" i="1"/>
  <c r="E254" i="1" s="1"/>
  <c r="F254" i="1" s="1"/>
  <c r="D255" i="1"/>
  <c r="E255" i="1" s="1"/>
  <c r="F255" i="1" s="1"/>
  <c r="D256" i="1"/>
  <c r="E256" i="1" s="1"/>
  <c r="D257" i="1"/>
  <c r="E257" i="1" s="1"/>
  <c r="D244" i="1"/>
  <c r="E244" i="1" s="1"/>
  <c r="F244" i="1" s="1"/>
  <c r="D245" i="1"/>
  <c r="E245" i="1" s="1"/>
  <c r="D246" i="1"/>
  <c r="E246" i="1" s="1"/>
  <c r="F246" i="1" s="1"/>
  <c r="D247" i="1"/>
  <c r="E247" i="1" s="1"/>
  <c r="D248" i="1"/>
  <c r="E248" i="1" s="1"/>
  <c r="D249" i="1"/>
  <c r="E249" i="1" s="1"/>
  <c r="F249" i="1" s="1"/>
  <c r="D236" i="1"/>
  <c r="E236" i="1" s="1"/>
  <c r="D237" i="1"/>
  <c r="E237" i="1" s="1"/>
  <c r="D238" i="1"/>
  <c r="D239" i="1"/>
  <c r="E239" i="1" s="1"/>
  <c r="F239" i="1" s="1"/>
  <c r="D240" i="1"/>
  <c r="E240" i="1" s="1"/>
  <c r="D241" i="1"/>
  <c r="E241" i="1" s="1"/>
  <c r="F241" i="1" s="1"/>
  <c r="D242" i="1"/>
  <c r="E242" i="1" s="1"/>
  <c r="D243" i="1"/>
  <c r="E243" i="1" s="1"/>
  <c r="D224" i="1"/>
  <c r="E224" i="1" s="1"/>
  <c r="F224" i="1" s="1"/>
  <c r="D225" i="1"/>
  <c r="E225" i="1" s="1"/>
  <c r="D226" i="1"/>
  <c r="E226" i="1" s="1"/>
  <c r="F226" i="1" s="1"/>
  <c r="D227" i="1"/>
  <c r="E227" i="1" s="1"/>
  <c r="F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F233" i="1" s="1"/>
  <c r="D234" i="1"/>
  <c r="E234" i="1" s="1"/>
  <c r="D235" i="1"/>
  <c r="E235" i="1" s="1"/>
  <c r="F235" i="1" s="1"/>
  <c r="D223" i="1"/>
  <c r="D222" i="1"/>
  <c r="E222" i="1" s="1"/>
  <c r="D221" i="1"/>
  <c r="E221" i="1" s="1"/>
  <c r="F221" i="1" s="1"/>
  <c r="N221" i="1" s="1"/>
  <c r="P221" i="1" s="1"/>
  <c r="Q221" i="1" s="1"/>
  <c r="D219" i="1"/>
  <c r="E219" i="1" s="1"/>
  <c r="D218" i="1"/>
  <c r="E218" i="1" s="1"/>
  <c r="F218" i="1" s="1"/>
  <c r="N218" i="1" s="1"/>
  <c r="O218" i="1"/>
  <c r="D217" i="1"/>
  <c r="D216" i="1"/>
  <c r="E216" i="1" s="1"/>
  <c r="F216" i="1" s="1"/>
  <c r="D215" i="1"/>
  <c r="E215" i="1" s="1"/>
  <c r="F215" i="1" s="1"/>
  <c r="D214" i="1"/>
  <c r="E214" i="1" s="1"/>
  <c r="D199" i="1"/>
  <c r="D200" i="1"/>
  <c r="E200" i="1" s="1"/>
  <c r="D201" i="1"/>
  <c r="E201" i="1" s="1"/>
  <c r="D202" i="1"/>
  <c r="D203" i="1"/>
  <c r="D204" i="1"/>
  <c r="E204" i="1" s="1"/>
  <c r="D205" i="1"/>
  <c r="E205" i="1" s="1"/>
  <c r="F205" i="1" s="1"/>
  <c r="D206" i="1"/>
  <c r="E206" i="1" s="1"/>
  <c r="F206" i="1" s="1"/>
  <c r="D207" i="1"/>
  <c r="E207" i="1" s="1"/>
  <c r="F207" i="1" s="1"/>
  <c r="D208" i="1"/>
  <c r="E208" i="1" s="1"/>
  <c r="D209" i="1"/>
  <c r="E209" i="1" s="1"/>
  <c r="D210" i="1"/>
  <c r="E210" i="1" s="1"/>
  <c r="F210" i="1" s="1"/>
  <c r="D211" i="1"/>
  <c r="D212" i="1"/>
  <c r="E212" i="1" s="1"/>
  <c r="D213" i="1"/>
  <c r="E213" i="1" s="1"/>
  <c r="D198" i="1"/>
  <c r="E198" i="1" s="1"/>
  <c r="D197" i="1"/>
  <c r="E197" i="1" s="1"/>
  <c r="F197" i="1" s="1"/>
  <c r="D196" i="1"/>
  <c r="E196" i="1" s="1"/>
  <c r="F196" i="1" s="1"/>
  <c r="D195" i="1"/>
  <c r="E195" i="1" s="1"/>
  <c r="D193" i="1"/>
  <c r="E193" i="1" s="1"/>
  <c r="F193" i="1" s="1"/>
  <c r="D192" i="1"/>
  <c r="E192" i="1" s="1"/>
  <c r="F192" i="1" s="1"/>
  <c r="D191" i="1"/>
  <c r="E191" i="1" s="1"/>
  <c r="F191" i="1" s="1"/>
  <c r="D190" i="1"/>
  <c r="E190" i="1" s="1"/>
  <c r="D189" i="1"/>
  <c r="E189" i="1" s="1"/>
  <c r="F189" i="1" s="1"/>
  <c r="N189" i="1" s="1"/>
  <c r="P189" i="1" s="1"/>
  <c r="Q189" i="1" s="1"/>
  <c r="D188" i="1"/>
  <c r="E188" i="1" s="1"/>
  <c r="D187" i="1"/>
  <c r="E187" i="1" s="1"/>
  <c r="F187" i="1" s="1"/>
  <c r="D186" i="1"/>
  <c r="E186" i="1" s="1"/>
  <c r="F186" i="1" s="1"/>
  <c r="D185" i="1"/>
  <c r="E185" i="1" s="1"/>
  <c r="F185" i="1" s="1"/>
  <c r="N185" i="1" s="1"/>
  <c r="P185" i="1" s="1"/>
  <c r="Q185" i="1" s="1"/>
  <c r="D183" i="1"/>
  <c r="E183" i="1" s="1"/>
  <c r="D182" i="1"/>
  <c r="E182" i="1" s="1"/>
  <c r="F182" i="1" s="1"/>
  <c r="D181" i="1"/>
  <c r="E181" i="1" s="1"/>
  <c r="F181" i="1" s="1"/>
  <c r="D180" i="1"/>
  <c r="E180" i="1" s="1"/>
  <c r="D179" i="1"/>
  <c r="E179" i="1" s="1"/>
  <c r="D178" i="1"/>
  <c r="E178" i="1" s="1"/>
  <c r="F178" i="1" s="1"/>
  <c r="D177" i="1"/>
  <c r="E177" i="1" s="1"/>
  <c r="D176" i="1"/>
  <c r="E176" i="1" s="1"/>
  <c r="D175" i="1"/>
  <c r="E175" i="1" s="1"/>
  <c r="D174" i="1"/>
  <c r="E174" i="1" s="1"/>
  <c r="D173" i="1"/>
  <c r="E173" i="1" s="1"/>
  <c r="D172" i="1"/>
  <c r="E172" i="1" s="1"/>
  <c r="D171" i="1"/>
  <c r="E171" i="1" s="1"/>
  <c r="D170" i="1"/>
  <c r="E170" i="1" s="1"/>
  <c r="D169" i="1"/>
  <c r="E169" i="1" s="1"/>
  <c r="D167" i="1"/>
  <c r="E167" i="1" s="1"/>
  <c r="D166" i="1"/>
  <c r="E166" i="1" s="1"/>
  <c r="D165" i="1"/>
  <c r="E165" i="1" s="1"/>
  <c r="D164" i="1"/>
  <c r="E164" i="1" s="1"/>
  <c r="D163" i="1"/>
  <c r="E163" i="1" s="1"/>
  <c r="D162" i="1"/>
  <c r="E162" i="1" s="1"/>
  <c r="D161" i="1"/>
  <c r="E161" i="1" s="1"/>
  <c r="D160" i="1"/>
  <c r="E160" i="1" s="1"/>
  <c r="D159" i="1"/>
  <c r="E159" i="1" s="1"/>
  <c r="D158" i="1"/>
  <c r="E158" i="1" s="1"/>
  <c r="D157" i="1"/>
  <c r="E157" i="1" s="1"/>
  <c r="G239" i="1" l="1"/>
  <c r="N239" i="1"/>
  <c r="P239" i="1" s="1"/>
  <c r="Q239" i="1" s="1"/>
  <c r="G255" i="1"/>
  <c r="N255" i="1"/>
  <c r="P255" i="1" s="1"/>
  <c r="Q255" i="1" s="1"/>
  <c r="G261" i="1"/>
  <c r="N261" i="1"/>
  <c r="P261" i="1" s="1"/>
  <c r="Q261" i="1" s="1"/>
  <c r="G233" i="1"/>
  <c r="N233" i="1"/>
  <c r="P233" i="1" s="1"/>
  <c r="Q233" i="1" s="1"/>
  <c r="G258" i="1"/>
  <c r="N258" i="1"/>
  <c r="P258" i="1" s="1"/>
  <c r="Q258" i="1" s="1"/>
  <c r="G227" i="1"/>
  <c r="N227" i="1"/>
  <c r="P227" i="1" s="1"/>
  <c r="Q227" i="1" s="1"/>
  <c r="G249" i="1"/>
  <c r="N249" i="1"/>
  <c r="P249" i="1" s="1"/>
  <c r="Q249" i="1" s="1"/>
  <c r="G251" i="1"/>
  <c r="N251" i="1"/>
  <c r="P251" i="1" s="1"/>
  <c r="Q251" i="1" s="1"/>
  <c r="G263" i="1"/>
  <c r="N263" i="1"/>
  <c r="P263" i="1" s="1"/>
  <c r="Q263" i="1" s="1"/>
  <c r="G254" i="1"/>
  <c r="N254" i="1"/>
  <c r="P254" i="1" s="1"/>
  <c r="Q254" i="1" s="1"/>
  <c r="G252" i="1"/>
  <c r="N252" i="1"/>
  <c r="P252" i="1" s="1"/>
  <c r="Q252" i="1" s="1"/>
  <c r="G226" i="1"/>
  <c r="N226" i="1"/>
  <c r="P226" i="1" s="1"/>
  <c r="Q226" i="1" s="1"/>
  <c r="G241" i="1"/>
  <c r="N241" i="1"/>
  <c r="P241" i="1" s="1"/>
  <c r="Q241" i="1" s="1"/>
  <c r="G267" i="1"/>
  <c r="N267" i="1"/>
  <c r="P267" i="1" s="1"/>
  <c r="Q267" i="1" s="1"/>
  <c r="G260" i="1"/>
  <c r="N260" i="1"/>
  <c r="P260" i="1" s="1"/>
  <c r="Q260" i="1" s="1"/>
  <c r="G224" i="1"/>
  <c r="N224" i="1"/>
  <c r="P224" i="1" s="1"/>
  <c r="Q224" i="1" s="1"/>
  <c r="G246" i="1"/>
  <c r="N246" i="1"/>
  <c r="P246" i="1" s="1"/>
  <c r="Q246" i="1" s="1"/>
  <c r="G235" i="1"/>
  <c r="N235" i="1"/>
  <c r="P235" i="1" s="1"/>
  <c r="Q235" i="1" s="1"/>
  <c r="G244" i="1"/>
  <c r="N244" i="1"/>
  <c r="P244" i="1" s="1"/>
  <c r="Q244" i="1" s="1"/>
  <c r="G264" i="1"/>
  <c r="N264" i="1"/>
  <c r="P264" i="1" s="1"/>
  <c r="Q264" i="1" s="1"/>
  <c r="G221" i="1"/>
  <c r="P218" i="1"/>
  <c r="Q218" i="1" s="1"/>
  <c r="G207" i="1"/>
  <c r="N207" i="1"/>
  <c r="P207" i="1" s="1"/>
  <c r="Q207" i="1" s="1"/>
  <c r="G210" i="1"/>
  <c r="N210" i="1"/>
  <c r="P210" i="1" s="1"/>
  <c r="Q210" i="1" s="1"/>
  <c r="G215" i="1"/>
  <c r="N215" i="1"/>
  <c r="P215" i="1" s="1"/>
  <c r="Q215" i="1" s="1"/>
  <c r="G206" i="1"/>
  <c r="N206" i="1"/>
  <c r="P206" i="1" s="1"/>
  <c r="Q206" i="1" s="1"/>
  <c r="G205" i="1"/>
  <c r="N205" i="1"/>
  <c r="P205" i="1" s="1"/>
  <c r="Q205" i="1" s="1"/>
  <c r="G216" i="1"/>
  <c r="N216" i="1"/>
  <c r="P216" i="1" s="1"/>
  <c r="Q216" i="1" s="1"/>
  <c r="G186" i="1"/>
  <c r="N186" i="1"/>
  <c r="P186" i="1" s="1"/>
  <c r="Q186" i="1" s="1"/>
  <c r="G189" i="1"/>
  <c r="G187" i="1"/>
  <c r="N187" i="1"/>
  <c r="P187" i="1" s="1"/>
  <c r="Q187" i="1" s="1"/>
  <c r="G191" i="1"/>
  <c r="N191" i="1"/>
  <c r="P191" i="1" s="1"/>
  <c r="Q191" i="1" s="1"/>
  <c r="G197" i="1"/>
  <c r="N197" i="1"/>
  <c r="P197" i="1" s="1"/>
  <c r="Q197" i="1" s="1"/>
  <c r="G192" i="1"/>
  <c r="N192" i="1"/>
  <c r="P192" i="1" s="1"/>
  <c r="Q192" i="1" s="1"/>
  <c r="G193" i="1"/>
  <c r="N193" i="1"/>
  <c r="P193" i="1" s="1"/>
  <c r="Q193" i="1" s="1"/>
  <c r="G181" i="1"/>
  <c r="N181" i="1"/>
  <c r="P181" i="1" s="1"/>
  <c r="Q181" i="1" s="1"/>
  <c r="G182" i="1"/>
  <c r="N182" i="1"/>
  <c r="P182" i="1" s="1"/>
  <c r="Q182" i="1" s="1"/>
  <c r="G196" i="1"/>
  <c r="N196" i="1"/>
  <c r="P196" i="1" s="1"/>
  <c r="Q196" i="1" s="1"/>
  <c r="N168" i="1"/>
  <c r="P168" i="1" s="1"/>
  <c r="Q168" i="1" s="1"/>
  <c r="G178" i="1"/>
  <c r="N178" i="1"/>
  <c r="P178" i="1" s="1"/>
  <c r="Q178" i="1" s="1"/>
  <c r="Z51" i="1"/>
  <c r="AA51" i="1" s="1"/>
  <c r="T42" i="1"/>
  <c r="T472" i="1" s="1"/>
  <c r="Z42" i="1"/>
  <c r="AA42" i="1" s="1"/>
  <c r="F183" i="1"/>
  <c r="G185" i="1"/>
  <c r="F214" i="1"/>
  <c r="F195" i="1"/>
  <c r="E217" i="1"/>
  <c r="F217" i="1" s="1"/>
  <c r="F242" i="1"/>
  <c r="F190" i="1"/>
  <c r="F199" i="1"/>
  <c r="E266" i="1"/>
  <c r="F266" i="1" s="1"/>
  <c r="F265" i="1"/>
  <c r="F262" i="1"/>
  <c r="F259" i="1"/>
  <c r="F257" i="1"/>
  <c r="F256" i="1"/>
  <c r="F253" i="1"/>
  <c r="F250" i="1"/>
  <c r="F247" i="1"/>
  <c r="F236" i="1"/>
  <c r="F248" i="1"/>
  <c r="F245" i="1"/>
  <c r="E238" i="1"/>
  <c r="F238" i="1" s="1"/>
  <c r="F243" i="1"/>
  <c r="F240" i="1"/>
  <c r="F237" i="1"/>
  <c r="F230" i="1"/>
  <c r="F229" i="1"/>
  <c r="F232" i="1"/>
  <c r="F234" i="1"/>
  <c r="F231" i="1"/>
  <c r="F228" i="1"/>
  <c r="F225" i="1"/>
  <c r="E223" i="1"/>
  <c r="F223" i="1" s="1"/>
  <c r="F222" i="1"/>
  <c r="F219" i="1"/>
  <c r="G219" i="1" s="1"/>
  <c r="G218" i="1"/>
  <c r="E211" i="1"/>
  <c r="F211" i="1" s="1"/>
  <c r="F204" i="1"/>
  <c r="E203" i="1"/>
  <c r="F203" i="1" s="1"/>
  <c r="E202" i="1"/>
  <c r="F202" i="1" s="1"/>
  <c r="F213" i="1"/>
  <c r="F201" i="1"/>
  <c r="F212" i="1"/>
  <c r="F200" i="1"/>
  <c r="F209" i="1"/>
  <c r="F208" i="1"/>
  <c r="F198" i="1"/>
  <c r="N198" i="1" s="1"/>
  <c r="P198" i="1" s="1"/>
  <c r="Q198" i="1" s="1"/>
  <c r="F188" i="1"/>
  <c r="F180" i="1"/>
  <c r="F179" i="1"/>
  <c r="G253" i="1" l="1"/>
  <c r="N253" i="1"/>
  <c r="P253" i="1" s="1"/>
  <c r="Q253" i="1" s="1"/>
  <c r="G229" i="1"/>
  <c r="N229" i="1"/>
  <c r="P229" i="1" s="1"/>
  <c r="Q229" i="1" s="1"/>
  <c r="G234" i="1"/>
  <c r="N234" i="1"/>
  <c r="P234" i="1" s="1"/>
  <c r="Q234" i="1" s="1"/>
  <c r="G243" i="1"/>
  <c r="N243" i="1"/>
  <c r="P243" i="1" s="1"/>
  <c r="Q243" i="1" s="1"/>
  <c r="G213" i="1"/>
  <c r="N213" i="1"/>
  <c r="P213" i="1" s="1"/>
  <c r="Q213" i="1" s="1"/>
  <c r="G238" i="1"/>
  <c r="N238" i="1"/>
  <c r="P238" i="1" s="1"/>
  <c r="Q238" i="1" s="1"/>
  <c r="G240" i="1"/>
  <c r="N240" i="1"/>
  <c r="P240" i="1" s="1"/>
  <c r="Q240" i="1" s="1"/>
  <c r="G256" i="1"/>
  <c r="N256" i="1"/>
  <c r="P256" i="1" s="1"/>
  <c r="Q256" i="1" s="1"/>
  <c r="G257" i="1"/>
  <c r="N257" i="1"/>
  <c r="P257" i="1" s="1"/>
  <c r="Q257" i="1" s="1"/>
  <c r="G237" i="1"/>
  <c r="N237" i="1"/>
  <c r="P237" i="1" s="1"/>
  <c r="Q237" i="1" s="1"/>
  <c r="G222" i="1"/>
  <c r="N222" i="1"/>
  <c r="P222" i="1" s="1"/>
  <c r="Q222" i="1" s="1"/>
  <c r="G223" i="1"/>
  <c r="N223" i="1"/>
  <c r="P223" i="1" s="1"/>
  <c r="Q223" i="1" s="1"/>
  <c r="G225" i="1"/>
  <c r="N225" i="1"/>
  <c r="P225" i="1" s="1"/>
  <c r="Q225" i="1" s="1"/>
  <c r="G250" i="1"/>
  <c r="N250" i="1"/>
  <c r="P250" i="1" s="1"/>
  <c r="Q250" i="1" s="1"/>
  <c r="G232" i="1"/>
  <c r="N232" i="1"/>
  <c r="P232" i="1" s="1"/>
  <c r="Q232" i="1" s="1"/>
  <c r="G259" i="1"/>
  <c r="N259" i="1"/>
  <c r="P259" i="1" s="1"/>
  <c r="Q259" i="1" s="1"/>
  <c r="G265" i="1"/>
  <c r="N265" i="1"/>
  <c r="P265" i="1" s="1"/>
  <c r="Q265" i="1" s="1"/>
  <c r="G266" i="1"/>
  <c r="N266" i="1"/>
  <c r="P266" i="1" s="1"/>
  <c r="Q266" i="1" s="1"/>
  <c r="G245" i="1"/>
  <c r="N245" i="1"/>
  <c r="P245" i="1" s="1"/>
  <c r="Q245" i="1" s="1"/>
  <c r="G228" i="1"/>
  <c r="N228" i="1"/>
  <c r="P228" i="1" s="1"/>
  <c r="Q228" i="1" s="1"/>
  <c r="G230" i="1"/>
  <c r="N230" i="1"/>
  <c r="P230" i="1" s="1"/>
  <c r="Q230" i="1" s="1"/>
  <c r="G262" i="1"/>
  <c r="N262" i="1"/>
  <c r="P262" i="1" s="1"/>
  <c r="Q262" i="1" s="1"/>
  <c r="G248" i="1"/>
  <c r="N248" i="1"/>
  <c r="P248" i="1" s="1"/>
  <c r="Q248" i="1" s="1"/>
  <c r="G236" i="1"/>
  <c r="N236" i="1"/>
  <c r="P236" i="1" s="1"/>
  <c r="Q236" i="1" s="1"/>
  <c r="G242" i="1"/>
  <c r="N242" i="1"/>
  <c r="P242" i="1" s="1"/>
  <c r="Q242" i="1" s="1"/>
  <c r="G231" i="1"/>
  <c r="N231" i="1"/>
  <c r="P231" i="1" s="1"/>
  <c r="Q231" i="1" s="1"/>
  <c r="G247" i="1"/>
  <c r="N247" i="1"/>
  <c r="P247" i="1" s="1"/>
  <c r="Q247" i="1" s="1"/>
  <c r="G217" i="1"/>
  <c r="N217" i="1"/>
  <c r="P217" i="1" s="1"/>
  <c r="Q217" i="1" s="1"/>
  <c r="G211" i="1"/>
  <c r="N211" i="1"/>
  <c r="P211" i="1" s="1"/>
  <c r="Q211" i="1" s="1"/>
  <c r="G208" i="1"/>
  <c r="N208" i="1"/>
  <c r="P208" i="1" s="1"/>
  <c r="Q208" i="1" s="1"/>
  <c r="G199" i="1"/>
  <c r="N199" i="1"/>
  <c r="P199" i="1" s="1"/>
  <c r="Q199" i="1" s="1"/>
  <c r="G209" i="1"/>
  <c r="N209" i="1"/>
  <c r="P209" i="1" s="1"/>
  <c r="Q209" i="1" s="1"/>
  <c r="G202" i="1"/>
  <c r="N202" i="1"/>
  <c r="P202" i="1" s="1"/>
  <c r="Q202" i="1" s="1"/>
  <c r="G214" i="1"/>
  <c r="N214" i="1"/>
  <c r="P214" i="1" s="1"/>
  <c r="Q214" i="1" s="1"/>
  <c r="G212" i="1"/>
  <c r="N212" i="1"/>
  <c r="P212" i="1" s="1"/>
  <c r="Q212" i="1" s="1"/>
  <c r="N219" i="1"/>
  <c r="P219" i="1" s="1"/>
  <c r="Q219" i="1" s="1"/>
  <c r="G200" i="1"/>
  <c r="N200" i="1"/>
  <c r="P200" i="1" s="1"/>
  <c r="Q200" i="1" s="1"/>
  <c r="G201" i="1"/>
  <c r="N201" i="1"/>
  <c r="P201" i="1" s="1"/>
  <c r="Q201" i="1" s="1"/>
  <c r="G203" i="1"/>
  <c r="N203" i="1"/>
  <c r="P203" i="1" s="1"/>
  <c r="Q203" i="1" s="1"/>
  <c r="G204" i="1"/>
  <c r="N204" i="1"/>
  <c r="P204" i="1" s="1"/>
  <c r="Q204" i="1" s="1"/>
  <c r="G198" i="1"/>
  <c r="G190" i="1"/>
  <c r="N190" i="1"/>
  <c r="P190" i="1" s="1"/>
  <c r="Q190" i="1" s="1"/>
  <c r="G195" i="1"/>
  <c r="N195" i="1"/>
  <c r="P195" i="1" s="1"/>
  <c r="Q195" i="1" s="1"/>
  <c r="G183" i="1"/>
  <c r="N183" i="1"/>
  <c r="P183" i="1" s="1"/>
  <c r="Q183" i="1" s="1"/>
  <c r="G188" i="1"/>
  <c r="N188" i="1"/>
  <c r="P188" i="1" s="1"/>
  <c r="Q188" i="1" s="1"/>
  <c r="G179" i="1"/>
  <c r="N179" i="1"/>
  <c r="P179" i="1" s="1"/>
  <c r="Q179" i="1" s="1"/>
  <c r="G180" i="1"/>
  <c r="N180" i="1"/>
  <c r="P180" i="1" s="1"/>
  <c r="Q180" i="1" s="1"/>
  <c r="D156" i="1"/>
  <c r="E156" i="1" s="1"/>
  <c r="F156" i="1" s="1"/>
  <c r="D155" i="1"/>
  <c r="E155" i="1" s="1"/>
  <c r="D154" i="1"/>
  <c r="E154" i="1" s="1"/>
  <c r="F154" i="1" s="1"/>
  <c r="D153" i="1"/>
  <c r="E153" i="1" s="1"/>
  <c r="F153" i="1" s="1"/>
  <c r="D152" i="1"/>
  <c r="E152" i="1" s="1"/>
  <c r="F152" i="1" s="1"/>
  <c r="D151" i="1"/>
  <c r="E151" i="1" s="1"/>
  <c r="D150" i="1"/>
  <c r="E150" i="1" s="1"/>
  <c r="D149" i="1"/>
  <c r="E149" i="1" s="1"/>
  <c r="D148" i="1"/>
  <c r="D147" i="1"/>
  <c r="E147" i="1" s="1"/>
  <c r="F147" i="1" s="1"/>
  <c r="D145" i="1"/>
  <c r="E145" i="1" s="1"/>
  <c r="D144" i="1"/>
  <c r="E144" i="1" s="1"/>
  <c r="F144" i="1" s="1"/>
  <c r="D143" i="1"/>
  <c r="E143" i="1" s="1"/>
  <c r="F143" i="1" s="1"/>
  <c r="D141" i="1"/>
  <c r="E141" i="1" s="1"/>
  <c r="F141" i="1" s="1"/>
  <c r="D140" i="1"/>
  <c r="E140" i="1" s="1"/>
  <c r="F140" i="1" s="1"/>
  <c r="D139" i="1"/>
  <c r="E139" i="1" s="1"/>
  <c r="F139" i="1" s="1"/>
  <c r="D138" i="1"/>
  <c r="E138" i="1" s="1"/>
  <c r="F138" i="1" s="1"/>
  <c r="D137" i="1"/>
  <c r="E137" i="1" s="1"/>
  <c r="F137" i="1" s="1"/>
  <c r="F157" i="1"/>
  <c r="F158" i="1"/>
  <c r="F159" i="1"/>
  <c r="F160" i="1"/>
  <c r="F161" i="1"/>
  <c r="F162" i="1"/>
  <c r="F163" i="1"/>
  <c r="F164" i="1"/>
  <c r="F165" i="1"/>
  <c r="F166" i="1"/>
  <c r="F167" i="1"/>
  <c r="F169" i="1"/>
  <c r="F170" i="1"/>
  <c r="F171" i="1"/>
  <c r="F172" i="1"/>
  <c r="F173" i="1"/>
  <c r="F174" i="1"/>
  <c r="F175" i="1"/>
  <c r="F176" i="1"/>
  <c r="F177" i="1"/>
  <c r="D136" i="1"/>
  <c r="D135" i="1"/>
  <c r="D134" i="1"/>
  <c r="B112" i="1"/>
  <c r="D91" i="1"/>
  <c r="E91" i="1" s="1"/>
  <c r="D133" i="1"/>
  <c r="F133" i="1" s="1"/>
  <c r="D124" i="1"/>
  <c r="E124" i="1" s="1"/>
  <c r="D125" i="1"/>
  <c r="D126" i="1"/>
  <c r="D127" i="1"/>
  <c r="D129" i="1"/>
  <c r="E129" i="1" s="1"/>
  <c r="D130" i="1"/>
  <c r="E130" i="1" s="1"/>
  <c r="D132" i="1"/>
  <c r="D92" i="1"/>
  <c r="E92" i="1" s="1"/>
  <c r="D93" i="1"/>
  <c r="D94" i="1"/>
  <c r="E94" i="1" s="1"/>
  <c r="D95" i="1"/>
  <c r="E95" i="1" s="1"/>
  <c r="D96" i="1"/>
  <c r="D97" i="1"/>
  <c r="D99" i="1"/>
  <c r="D100" i="1"/>
  <c r="E100" i="1" s="1"/>
  <c r="D101" i="1"/>
  <c r="D102" i="1"/>
  <c r="D103" i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D115" i="1"/>
  <c r="D116" i="1"/>
  <c r="D117" i="1"/>
  <c r="D118" i="1"/>
  <c r="F118" i="1" s="1"/>
  <c r="J118" i="1" s="1"/>
  <c r="L118" i="1" s="1"/>
  <c r="M118" i="1" s="1"/>
  <c r="D119" i="1"/>
  <c r="E119" i="1" s="1"/>
  <c r="D120" i="1"/>
  <c r="D121" i="1"/>
  <c r="D122" i="1"/>
  <c r="D123" i="1"/>
  <c r="E123" i="1" s="1"/>
  <c r="D83" i="1"/>
  <c r="F83" i="1" s="1"/>
  <c r="D82" i="1"/>
  <c r="F82" i="1" s="1"/>
  <c r="J82" i="1" s="1"/>
  <c r="L82" i="1" s="1"/>
  <c r="M82" i="1" s="1"/>
  <c r="D81" i="1"/>
  <c r="F81" i="1" s="1"/>
  <c r="D80" i="1"/>
  <c r="F80" i="1" s="1"/>
  <c r="D75" i="1"/>
  <c r="F75" i="1" s="1"/>
  <c r="D74" i="1"/>
  <c r="F74" i="1" s="1"/>
  <c r="K68" i="1"/>
  <c r="B64" i="1"/>
  <c r="K64" i="1" s="1"/>
  <c r="B63" i="1"/>
  <c r="K63" i="1" s="1"/>
  <c r="D88" i="1"/>
  <c r="F88" i="1" s="1"/>
  <c r="O112" i="1" l="1"/>
  <c r="AC112" i="1"/>
  <c r="AD112" i="1" s="1"/>
  <c r="AD472" i="1" s="1"/>
  <c r="E99" i="1"/>
  <c r="F99" i="1" s="1"/>
  <c r="E125" i="1"/>
  <c r="F125" i="1" s="1"/>
  <c r="E132" i="1"/>
  <c r="F132" i="1" s="1"/>
  <c r="E121" i="1"/>
  <c r="F121" i="1" s="1"/>
  <c r="E96" i="1"/>
  <c r="F96" i="1" s="1"/>
  <c r="E136" i="1"/>
  <c r="F136" i="1" s="1"/>
  <c r="E116" i="1"/>
  <c r="F116" i="1" s="1"/>
  <c r="E115" i="1"/>
  <c r="F115" i="1" s="1"/>
  <c r="E97" i="1"/>
  <c r="F97" i="1" s="1"/>
  <c r="E127" i="1"/>
  <c r="F127" i="1" s="1"/>
  <c r="E122" i="1"/>
  <c r="F122" i="1" s="1"/>
  <c r="E134" i="1"/>
  <c r="F134" i="1" s="1"/>
  <c r="E126" i="1"/>
  <c r="F126" i="1" s="1"/>
  <c r="E120" i="1"/>
  <c r="F120" i="1" s="1"/>
  <c r="E117" i="1"/>
  <c r="F117" i="1" s="1"/>
  <c r="E135" i="1"/>
  <c r="F135" i="1" s="1"/>
  <c r="G157" i="1"/>
  <c r="N157" i="1"/>
  <c r="P157" i="1" s="1"/>
  <c r="Q157" i="1" s="1"/>
  <c r="G167" i="1"/>
  <c r="N167" i="1"/>
  <c r="P167" i="1" s="1"/>
  <c r="Q167" i="1" s="1"/>
  <c r="G166" i="1"/>
  <c r="N166" i="1"/>
  <c r="P166" i="1" s="1"/>
  <c r="Q166" i="1" s="1"/>
  <c r="G152" i="1"/>
  <c r="N152" i="1"/>
  <c r="P152" i="1" s="1"/>
  <c r="Q152" i="1" s="1"/>
  <c r="G165" i="1"/>
  <c r="N165" i="1"/>
  <c r="P165" i="1" s="1"/>
  <c r="Q165" i="1" s="1"/>
  <c r="G153" i="1"/>
  <c r="N153" i="1"/>
  <c r="P153" i="1" s="1"/>
  <c r="Q153" i="1" s="1"/>
  <c r="G176" i="1"/>
  <c r="N176" i="1"/>
  <c r="P176" i="1" s="1"/>
  <c r="Q176" i="1" s="1"/>
  <c r="G164" i="1"/>
  <c r="N164" i="1"/>
  <c r="P164" i="1" s="1"/>
  <c r="Q164" i="1" s="1"/>
  <c r="G154" i="1"/>
  <c r="N154" i="1"/>
  <c r="P154" i="1" s="1"/>
  <c r="Q154" i="1" s="1"/>
  <c r="G177" i="1"/>
  <c r="N177" i="1"/>
  <c r="P177" i="1" s="1"/>
  <c r="Q177" i="1" s="1"/>
  <c r="G175" i="1"/>
  <c r="N175" i="1"/>
  <c r="P175" i="1" s="1"/>
  <c r="Q175" i="1" s="1"/>
  <c r="G163" i="1"/>
  <c r="N163" i="1"/>
  <c r="P163" i="1" s="1"/>
  <c r="Q163" i="1" s="1"/>
  <c r="G162" i="1"/>
  <c r="N162" i="1"/>
  <c r="P162" i="1" s="1"/>
  <c r="Q162" i="1" s="1"/>
  <c r="G156" i="1"/>
  <c r="N156" i="1"/>
  <c r="P156" i="1" s="1"/>
  <c r="Q156" i="1" s="1"/>
  <c r="G170" i="1"/>
  <c r="N170" i="1"/>
  <c r="P170" i="1" s="1"/>
  <c r="Q170" i="1" s="1"/>
  <c r="G169" i="1"/>
  <c r="N169" i="1"/>
  <c r="P169" i="1" s="1"/>
  <c r="Q169" i="1" s="1"/>
  <c r="G174" i="1"/>
  <c r="N174" i="1"/>
  <c r="P174" i="1" s="1"/>
  <c r="Q174" i="1" s="1"/>
  <c r="G161" i="1"/>
  <c r="N161" i="1"/>
  <c r="P161" i="1" s="1"/>
  <c r="Q161" i="1" s="1"/>
  <c r="G173" i="1"/>
  <c r="N173" i="1"/>
  <c r="P173" i="1" s="1"/>
  <c r="Q173" i="1" s="1"/>
  <c r="G160" i="1"/>
  <c r="N160" i="1"/>
  <c r="P160" i="1" s="1"/>
  <c r="Q160" i="1" s="1"/>
  <c r="G172" i="1"/>
  <c r="N172" i="1"/>
  <c r="P172" i="1" s="1"/>
  <c r="Q172" i="1" s="1"/>
  <c r="G159" i="1"/>
  <c r="N159" i="1"/>
  <c r="P159" i="1" s="1"/>
  <c r="Q159" i="1" s="1"/>
  <c r="G171" i="1"/>
  <c r="N171" i="1"/>
  <c r="P171" i="1" s="1"/>
  <c r="Q171" i="1" s="1"/>
  <c r="G158" i="1"/>
  <c r="N158" i="1"/>
  <c r="P158" i="1" s="1"/>
  <c r="Q158" i="1" s="1"/>
  <c r="G144" i="1"/>
  <c r="N144" i="1"/>
  <c r="P144" i="1" s="1"/>
  <c r="Q144" i="1" s="1"/>
  <c r="G147" i="1"/>
  <c r="N147" i="1"/>
  <c r="P147" i="1" s="1"/>
  <c r="Q147" i="1" s="1"/>
  <c r="G143" i="1"/>
  <c r="N143" i="1"/>
  <c r="P143" i="1" s="1"/>
  <c r="Q143" i="1" s="1"/>
  <c r="G137" i="1"/>
  <c r="N137" i="1"/>
  <c r="P137" i="1" s="1"/>
  <c r="Q137" i="1" s="1"/>
  <c r="G138" i="1"/>
  <c r="N138" i="1"/>
  <c r="P138" i="1" s="1"/>
  <c r="Q138" i="1" s="1"/>
  <c r="G140" i="1"/>
  <c r="N140" i="1"/>
  <c r="P140" i="1" s="1"/>
  <c r="Q140" i="1" s="1"/>
  <c r="G139" i="1"/>
  <c r="N139" i="1"/>
  <c r="P139" i="1" s="1"/>
  <c r="Q139" i="1" s="1"/>
  <c r="G141" i="1"/>
  <c r="N141" i="1"/>
  <c r="P141" i="1" s="1"/>
  <c r="Q141" i="1" s="1"/>
  <c r="G81" i="1"/>
  <c r="J81" i="1"/>
  <c r="L81" i="1" s="1"/>
  <c r="M81" i="1" s="1"/>
  <c r="G133" i="1"/>
  <c r="N133" i="1"/>
  <c r="P133" i="1" s="1"/>
  <c r="Q133" i="1" s="1"/>
  <c r="G82" i="1"/>
  <c r="G83" i="1"/>
  <c r="J83" i="1"/>
  <c r="L83" i="1" s="1"/>
  <c r="M83" i="1" s="1"/>
  <c r="G88" i="1"/>
  <c r="J88" i="1"/>
  <c r="L88" i="1" s="1"/>
  <c r="M88" i="1" s="1"/>
  <c r="G118" i="1"/>
  <c r="G74" i="1"/>
  <c r="J74" i="1"/>
  <c r="L74" i="1" s="1"/>
  <c r="M74" i="1" s="1"/>
  <c r="G75" i="1"/>
  <c r="J75" i="1"/>
  <c r="L75" i="1" s="1"/>
  <c r="M75" i="1" s="1"/>
  <c r="G80" i="1"/>
  <c r="J80" i="1"/>
  <c r="L80" i="1" s="1"/>
  <c r="M80" i="1" s="1"/>
  <c r="F155" i="1"/>
  <c r="F149" i="1"/>
  <c r="F151" i="1"/>
  <c r="F150" i="1"/>
  <c r="E148" i="1"/>
  <c r="F148" i="1" s="1"/>
  <c r="F145" i="1"/>
  <c r="F123" i="1"/>
  <c r="F110" i="1"/>
  <c r="F108" i="1"/>
  <c r="F119" i="1"/>
  <c r="F107" i="1"/>
  <c r="F106" i="1"/>
  <c r="F105" i="1"/>
  <c r="F92" i="1"/>
  <c r="E93" i="1"/>
  <c r="F93" i="1" s="1"/>
  <c r="F104" i="1"/>
  <c r="E102" i="1"/>
  <c r="F102" i="1" s="1"/>
  <c r="E114" i="1"/>
  <c r="F114" i="1" s="1"/>
  <c r="E103" i="1"/>
  <c r="F103" i="1" s="1"/>
  <c r="F130" i="1"/>
  <c r="F124" i="1"/>
  <c r="F112" i="1"/>
  <c r="F113" i="1"/>
  <c r="F111" i="1"/>
  <c r="F109" i="1"/>
  <c r="F101" i="1"/>
  <c r="J101" i="1" s="1"/>
  <c r="L101" i="1" s="1"/>
  <c r="M101" i="1" s="1"/>
  <c r="F100" i="1"/>
  <c r="F95" i="1"/>
  <c r="F94" i="1"/>
  <c r="F91" i="1"/>
  <c r="F129" i="1"/>
  <c r="J129" i="1" s="1"/>
  <c r="L129" i="1" s="1"/>
  <c r="M129" i="1" s="1"/>
  <c r="D32" i="1"/>
  <c r="F32" i="1" s="1"/>
  <c r="G32" i="1" s="1"/>
  <c r="D33" i="1"/>
  <c r="F33" i="1" s="1"/>
  <c r="G33" i="1" s="1"/>
  <c r="D34" i="1"/>
  <c r="F34" i="1" s="1"/>
  <c r="G34" i="1" s="1"/>
  <c r="D35" i="1"/>
  <c r="F35" i="1" s="1"/>
  <c r="G35" i="1" s="1"/>
  <c r="E58" i="1"/>
  <c r="E55" i="1"/>
  <c r="E57" i="1"/>
  <c r="E54" i="1"/>
  <c r="E53" i="1"/>
  <c r="E52" i="1"/>
  <c r="E51" i="1"/>
  <c r="E50" i="1"/>
  <c r="E49" i="1"/>
  <c r="E48" i="1"/>
  <c r="E47" i="1"/>
  <c r="E46" i="1"/>
  <c r="E45" i="1"/>
  <c r="D89" i="1"/>
  <c r="D90" i="1"/>
  <c r="D86" i="1"/>
  <c r="F86" i="1" s="1"/>
  <c r="D87" i="1"/>
  <c r="F87" i="1" s="1"/>
  <c r="D85" i="1"/>
  <c r="D84" i="1"/>
  <c r="D73" i="1"/>
  <c r="D72" i="1"/>
  <c r="G116" i="1" l="1"/>
  <c r="N116" i="1"/>
  <c r="P116" i="1" s="1"/>
  <c r="Q116" i="1" s="1"/>
  <c r="G126" i="1"/>
  <c r="N126" i="1"/>
  <c r="P126" i="1" s="1"/>
  <c r="Q126" i="1" s="1"/>
  <c r="G127" i="1"/>
  <c r="N127" i="1"/>
  <c r="P127" i="1" s="1"/>
  <c r="Q127" i="1" s="1"/>
  <c r="N115" i="1"/>
  <c r="P115" i="1" s="1"/>
  <c r="Q115" i="1" s="1"/>
  <c r="G115" i="1"/>
  <c r="G136" i="1"/>
  <c r="N136" i="1"/>
  <c r="P136" i="1" s="1"/>
  <c r="Q136" i="1" s="1"/>
  <c r="Y136" i="1"/>
  <c r="AA136" i="1" s="1"/>
  <c r="G121" i="1"/>
  <c r="N121" i="1"/>
  <c r="P121" i="1" s="1"/>
  <c r="Q121" i="1" s="1"/>
  <c r="N122" i="1"/>
  <c r="P122" i="1" s="1"/>
  <c r="Q122" i="1" s="1"/>
  <c r="G122" i="1"/>
  <c r="Y135" i="1"/>
  <c r="AA135" i="1" s="1"/>
  <c r="N135" i="1"/>
  <c r="P135" i="1" s="1"/>
  <c r="Q135" i="1" s="1"/>
  <c r="G135" i="1"/>
  <c r="G96" i="1"/>
  <c r="N96" i="1"/>
  <c r="P96" i="1" s="1"/>
  <c r="Q96" i="1" s="1"/>
  <c r="N132" i="1"/>
  <c r="P132" i="1" s="1"/>
  <c r="Q132" i="1" s="1"/>
  <c r="G132" i="1"/>
  <c r="N97" i="1"/>
  <c r="P97" i="1" s="1"/>
  <c r="Q97" i="1" s="1"/>
  <c r="G97" i="1"/>
  <c r="N117" i="1"/>
  <c r="P117" i="1" s="1"/>
  <c r="Q117" i="1" s="1"/>
  <c r="G117" i="1"/>
  <c r="G120" i="1"/>
  <c r="N120" i="1"/>
  <c r="P120" i="1" s="1"/>
  <c r="Q120" i="1" s="1"/>
  <c r="G125" i="1"/>
  <c r="N125" i="1"/>
  <c r="P125" i="1" s="1"/>
  <c r="Q125" i="1" s="1"/>
  <c r="Y134" i="1"/>
  <c r="AA134" i="1" s="1"/>
  <c r="G134" i="1"/>
  <c r="N134" i="1"/>
  <c r="P134" i="1" s="1"/>
  <c r="Q134" i="1" s="1"/>
  <c r="G99" i="1"/>
  <c r="N99" i="1"/>
  <c r="P99" i="1" s="1"/>
  <c r="Q99" i="1" s="1"/>
  <c r="G150" i="1"/>
  <c r="N150" i="1"/>
  <c r="P150" i="1" s="1"/>
  <c r="Q150" i="1" s="1"/>
  <c r="G149" i="1"/>
  <c r="N149" i="1"/>
  <c r="P149" i="1" s="1"/>
  <c r="Q149" i="1" s="1"/>
  <c r="G151" i="1"/>
  <c r="N151" i="1"/>
  <c r="P151" i="1" s="1"/>
  <c r="Q151" i="1" s="1"/>
  <c r="G155" i="1"/>
  <c r="N155" i="1"/>
  <c r="P155" i="1" s="1"/>
  <c r="Q155" i="1" s="1"/>
  <c r="G148" i="1"/>
  <c r="N148" i="1"/>
  <c r="P148" i="1" s="1"/>
  <c r="Q148" i="1" s="1"/>
  <c r="G145" i="1"/>
  <c r="N145" i="1"/>
  <c r="P145" i="1" s="1"/>
  <c r="Q145" i="1" s="1"/>
  <c r="G100" i="1"/>
  <c r="N100" i="1"/>
  <c r="P100" i="1" s="1"/>
  <c r="Q100" i="1" s="1"/>
  <c r="G93" i="1"/>
  <c r="N93" i="1"/>
  <c r="P93" i="1" s="1"/>
  <c r="Q93" i="1" s="1"/>
  <c r="G104" i="1"/>
  <c r="N104" i="1"/>
  <c r="P104" i="1" s="1"/>
  <c r="Q104" i="1" s="1"/>
  <c r="G101" i="1"/>
  <c r="G109" i="1"/>
  <c r="N109" i="1"/>
  <c r="P109" i="1" s="1"/>
  <c r="Q109" i="1" s="1"/>
  <c r="G111" i="1"/>
  <c r="N111" i="1"/>
  <c r="P111" i="1" s="1"/>
  <c r="Q111" i="1" s="1"/>
  <c r="G106" i="1"/>
  <c r="N106" i="1"/>
  <c r="P106" i="1" s="1"/>
  <c r="Q106" i="1" s="1"/>
  <c r="G105" i="1"/>
  <c r="N105" i="1"/>
  <c r="P105" i="1" s="1"/>
  <c r="Q105" i="1" s="1"/>
  <c r="G107" i="1"/>
  <c r="N107" i="1"/>
  <c r="P107" i="1" s="1"/>
  <c r="Q107" i="1" s="1"/>
  <c r="G119" i="1"/>
  <c r="N119" i="1"/>
  <c r="P119" i="1" s="1"/>
  <c r="Q119" i="1" s="1"/>
  <c r="G95" i="1"/>
  <c r="N95" i="1"/>
  <c r="P95" i="1" s="1"/>
  <c r="Q95" i="1" s="1"/>
  <c r="G113" i="1"/>
  <c r="N113" i="1"/>
  <c r="P113" i="1" s="1"/>
  <c r="Q113" i="1" s="1"/>
  <c r="G112" i="1"/>
  <c r="N112" i="1"/>
  <c r="P112" i="1" s="1"/>
  <c r="Q112" i="1" s="1"/>
  <c r="G129" i="1"/>
  <c r="G124" i="1"/>
  <c r="N124" i="1"/>
  <c r="P124" i="1" s="1"/>
  <c r="Q124" i="1" s="1"/>
  <c r="G108" i="1"/>
  <c r="N108" i="1"/>
  <c r="P108" i="1" s="1"/>
  <c r="Q108" i="1" s="1"/>
  <c r="G92" i="1"/>
  <c r="N92" i="1"/>
  <c r="P92" i="1" s="1"/>
  <c r="Q92" i="1" s="1"/>
  <c r="G103" i="1"/>
  <c r="N103" i="1"/>
  <c r="P103" i="1" s="1"/>
  <c r="Q103" i="1" s="1"/>
  <c r="G86" i="1"/>
  <c r="J86" i="1"/>
  <c r="L86" i="1" s="1"/>
  <c r="M86" i="1" s="1"/>
  <c r="G114" i="1"/>
  <c r="N114" i="1"/>
  <c r="P114" i="1" s="1"/>
  <c r="Q114" i="1" s="1"/>
  <c r="G130" i="1"/>
  <c r="N130" i="1"/>
  <c r="P130" i="1" s="1"/>
  <c r="Q130" i="1" s="1"/>
  <c r="G110" i="1"/>
  <c r="N110" i="1"/>
  <c r="P110" i="1" s="1"/>
  <c r="Q110" i="1" s="1"/>
  <c r="G87" i="1"/>
  <c r="J87" i="1"/>
  <c r="L87" i="1" s="1"/>
  <c r="M87" i="1" s="1"/>
  <c r="G123" i="1"/>
  <c r="N123" i="1"/>
  <c r="P123" i="1" s="1"/>
  <c r="Q123" i="1" s="1"/>
  <c r="G91" i="1"/>
  <c r="N91" i="1"/>
  <c r="P91" i="1" s="1"/>
  <c r="Q91" i="1" s="1"/>
  <c r="G94" i="1"/>
  <c r="N94" i="1"/>
  <c r="P94" i="1" s="1"/>
  <c r="Q94" i="1" s="1"/>
  <c r="G102" i="1"/>
  <c r="N102" i="1"/>
  <c r="P102" i="1" s="1"/>
  <c r="Q102" i="1" s="1"/>
  <c r="E90" i="1"/>
  <c r="F90" i="1" s="1"/>
  <c r="E89" i="1"/>
  <c r="F89" i="1" s="1"/>
  <c r="D66" i="1"/>
  <c r="F66" i="1" s="1"/>
  <c r="D67" i="1"/>
  <c r="F67" i="1" s="1"/>
  <c r="D68" i="1"/>
  <c r="F68" i="1" s="1"/>
  <c r="D69" i="1"/>
  <c r="F69" i="1" s="1"/>
  <c r="D70" i="1"/>
  <c r="F70" i="1" s="1"/>
  <c r="D71" i="1"/>
  <c r="F71" i="1" s="1"/>
  <c r="D60" i="1"/>
  <c r="F60" i="1" s="1"/>
  <c r="D61" i="1"/>
  <c r="F61" i="1" s="1"/>
  <c r="D62" i="1"/>
  <c r="F62" i="1" s="1"/>
  <c r="D63" i="1"/>
  <c r="F63" i="1" s="1"/>
  <c r="D64" i="1"/>
  <c r="F64" i="1" s="1"/>
  <c r="D65" i="1"/>
  <c r="F65" i="1" s="1"/>
  <c r="D59" i="1"/>
  <c r="F59" i="1" s="1"/>
  <c r="F72" i="1"/>
  <c r="F73" i="1"/>
  <c r="F84" i="1"/>
  <c r="F85" i="1"/>
  <c r="E38" i="1"/>
  <c r="E39" i="1"/>
  <c r="E40" i="1"/>
  <c r="E41" i="1"/>
  <c r="E42" i="1"/>
  <c r="E43" i="1"/>
  <c r="E44" i="1"/>
  <c r="E37" i="1"/>
  <c r="F47" i="1"/>
  <c r="G47" i="1" s="1"/>
  <c r="F50" i="1"/>
  <c r="F51" i="1"/>
  <c r="F52" i="1"/>
  <c r="G52" i="1" s="1"/>
  <c r="F54" i="1"/>
  <c r="G54" i="1" s="1"/>
  <c r="F55" i="1"/>
  <c r="G55" i="1" s="1"/>
  <c r="F56" i="1"/>
  <c r="G56" i="1" s="1"/>
  <c r="F58" i="1"/>
  <c r="E36" i="1"/>
  <c r="C30" i="1"/>
  <c r="D30" i="1" s="1"/>
  <c r="F30" i="1" s="1"/>
  <c r="G30" i="1" s="1"/>
  <c r="C29" i="1"/>
  <c r="D29" i="1" s="1"/>
  <c r="F29" i="1" s="1"/>
  <c r="G29" i="1" s="1"/>
  <c r="C28" i="1"/>
  <c r="D28" i="1" s="1"/>
  <c r="F28" i="1" s="1"/>
  <c r="G28" i="1" s="1"/>
  <c r="C27" i="1"/>
  <c r="D27" i="1" s="1"/>
  <c r="F27" i="1" s="1"/>
  <c r="G27" i="1" s="1"/>
  <c r="C26" i="1"/>
  <c r="D26" i="1" s="1"/>
  <c r="F26" i="1" s="1"/>
  <c r="G26" i="1" s="1"/>
  <c r="C25" i="1"/>
  <c r="D25" i="1" s="1"/>
  <c r="F25" i="1" s="1"/>
  <c r="G25" i="1" s="1"/>
  <c r="C24" i="1"/>
  <c r="D24" i="1" s="1"/>
  <c r="F24" i="1" s="1"/>
  <c r="G24" i="1" s="1"/>
  <c r="C23" i="1"/>
  <c r="D23" i="1" s="1"/>
  <c r="F23" i="1" s="1"/>
  <c r="G23" i="1" s="1"/>
  <c r="C22" i="1"/>
  <c r="D22" i="1" s="1"/>
  <c r="F22" i="1" s="1"/>
  <c r="G22" i="1" s="1"/>
  <c r="C21" i="1"/>
  <c r="D21" i="1" s="1"/>
  <c r="F21" i="1" s="1"/>
  <c r="G21" i="1" s="1"/>
  <c r="C20" i="1"/>
  <c r="D20" i="1" s="1"/>
  <c r="F20" i="1" s="1"/>
  <c r="G20" i="1" s="1"/>
  <c r="C19" i="1"/>
  <c r="D19" i="1" s="1"/>
  <c r="F19" i="1" s="1"/>
  <c r="G19" i="1" s="1"/>
  <c r="C18" i="1"/>
  <c r="D18" i="1" s="1"/>
  <c r="F18" i="1" s="1"/>
  <c r="G18" i="1" s="1"/>
  <c r="C17" i="1"/>
  <c r="D17" i="1" s="1"/>
  <c r="F17" i="1" s="1"/>
  <c r="G17" i="1" s="1"/>
  <c r="C16" i="1"/>
  <c r="D16" i="1" s="1"/>
  <c r="F16" i="1" s="1"/>
  <c r="G16" i="1" s="1"/>
  <c r="C13" i="1"/>
  <c r="D13" i="1" s="1"/>
  <c r="F13" i="1" s="1"/>
  <c r="G13" i="1" s="1"/>
  <c r="D9" i="1"/>
  <c r="F9" i="1" s="1"/>
  <c r="G9" i="1" s="1"/>
  <c r="C15" i="1"/>
  <c r="D15" i="1" s="1"/>
  <c r="F15" i="1" s="1"/>
  <c r="C14" i="1"/>
  <c r="D14" i="1" s="1"/>
  <c r="C12" i="1"/>
  <c r="D12" i="1" s="1"/>
  <c r="F12" i="1" s="1"/>
  <c r="G12" i="1" s="1"/>
  <c r="C11" i="1"/>
  <c r="D11" i="1" s="1"/>
  <c r="F11" i="1" s="1"/>
  <c r="C10" i="1"/>
  <c r="D10" i="1" s="1"/>
  <c r="F10" i="1" s="1"/>
  <c r="G10" i="1" s="1"/>
  <c r="D8" i="1"/>
  <c r="F8" i="1" s="1"/>
  <c r="G8" i="1" s="1"/>
  <c r="AA472" i="1" l="1"/>
  <c r="G84" i="1"/>
  <c r="J84" i="1"/>
  <c r="L84" i="1" s="1"/>
  <c r="M84" i="1" s="1"/>
  <c r="G69" i="1"/>
  <c r="J69" i="1"/>
  <c r="L69" i="1" s="1"/>
  <c r="M69" i="1" s="1"/>
  <c r="G67" i="1"/>
  <c r="J67" i="1"/>
  <c r="L67" i="1" s="1"/>
  <c r="M67" i="1" s="1"/>
  <c r="G59" i="1"/>
  <c r="J59" i="1"/>
  <c r="L59" i="1" s="1"/>
  <c r="M59" i="1" s="1"/>
  <c r="G66" i="1"/>
  <c r="J66" i="1"/>
  <c r="L66" i="1" s="1"/>
  <c r="M66" i="1" s="1"/>
  <c r="G68" i="1"/>
  <c r="J68" i="1"/>
  <c r="L68" i="1" s="1"/>
  <c r="M68" i="1" s="1"/>
  <c r="G65" i="1"/>
  <c r="J65" i="1"/>
  <c r="L65" i="1" s="1"/>
  <c r="M65" i="1" s="1"/>
  <c r="G89" i="1"/>
  <c r="N89" i="1"/>
  <c r="P89" i="1" s="1"/>
  <c r="Q89" i="1" s="1"/>
  <c r="G64" i="1"/>
  <c r="J64" i="1"/>
  <c r="L64" i="1" s="1"/>
  <c r="M64" i="1" s="1"/>
  <c r="G90" i="1"/>
  <c r="N90" i="1"/>
  <c r="P90" i="1" s="1"/>
  <c r="Q90" i="1" s="1"/>
  <c r="G63" i="1"/>
  <c r="J63" i="1"/>
  <c r="L63" i="1" s="1"/>
  <c r="M63" i="1" s="1"/>
  <c r="G73" i="1"/>
  <c r="J73" i="1"/>
  <c r="L73" i="1" s="1"/>
  <c r="M73" i="1" s="1"/>
  <c r="G72" i="1"/>
  <c r="J72" i="1"/>
  <c r="L72" i="1" s="1"/>
  <c r="M72" i="1" s="1"/>
  <c r="G60" i="1"/>
  <c r="J60" i="1"/>
  <c r="L60" i="1" s="1"/>
  <c r="M60" i="1" s="1"/>
  <c r="G71" i="1"/>
  <c r="J71" i="1"/>
  <c r="L71" i="1" s="1"/>
  <c r="M71" i="1" s="1"/>
  <c r="G62" i="1"/>
  <c r="J62" i="1"/>
  <c r="L62" i="1" s="1"/>
  <c r="M62" i="1" s="1"/>
  <c r="G61" i="1"/>
  <c r="J61" i="1"/>
  <c r="L61" i="1" s="1"/>
  <c r="M61" i="1" s="1"/>
  <c r="G85" i="1"/>
  <c r="J85" i="1"/>
  <c r="L85" i="1" s="1"/>
  <c r="M85" i="1" s="1"/>
  <c r="G70" i="1"/>
  <c r="J70" i="1"/>
  <c r="L70" i="1" s="1"/>
  <c r="M70" i="1" s="1"/>
  <c r="F14" i="1"/>
  <c r="G14" i="1" s="1"/>
  <c r="F40" i="1"/>
  <c r="G40" i="1" s="1"/>
  <c r="F44" i="1"/>
  <c r="G44" i="1" s="1"/>
  <c r="F43" i="1"/>
  <c r="G43" i="1" s="1"/>
  <c r="F42" i="1"/>
  <c r="G42" i="1" s="1"/>
  <c r="F39" i="1"/>
  <c r="G39" i="1" s="1"/>
  <c r="F36" i="1"/>
  <c r="G36" i="1" s="1"/>
  <c r="F49" i="1"/>
  <c r="F38" i="1"/>
  <c r="G38" i="1" s="1"/>
  <c r="F48" i="1"/>
  <c r="G48" i="1" s="1"/>
  <c r="F57" i="1"/>
  <c r="G57" i="1" s="1"/>
  <c r="F45" i="1"/>
  <c r="G45" i="1" s="1"/>
  <c r="F46" i="1"/>
  <c r="G46" i="1" s="1"/>
  <c r="F53" i="1"/>
  <c r="F41" i="1"/>
  <c r="G41" i="1" s="1"/>
  <c r="F37" i="1"/>
  <c r="G37" i="1" s="1"/>
  <c r="G11" i="1"/>
  <c r="G15" i="1"/>
  <c r="M473" i="1" l="1"/>
  <c r="L472" i="1"/>
  <c r="B58" i="1"/>
  <c r="B53" i="1"/>
  <c r="G51" i="1"/>
  <c r="B50" i="1"/>
  <c r="B49" i="1"/>
  <c r="G49" i="1" l="1"/>
  <c r="O49" i="1"/>
  <c r="P49" i="1" s="1"/>
  <c r="Q49" i="1" s="1"/>
  <c r="G50" i="1"/>
  <c r="O50" i="1"/>
  <c r="P50" i="1" s="1"/>
  <c r="Q50" i="1" s="1"/>
  <c r="G53" i="1"/>
  <c r="O53" i="1"/>
  <c r="P53" i="1" s="1"/>
  <c r="Q53" i="1" s="1"/>
  <c r="G58" i="1"/>
  <c r="O58" i="1"/>
  <c r="P58" i="1" s="1"/>
  <c r="Q58" i="1" s="1"/>
  <c r="Q473" i="1" l="1"/>
  <c r="P472" i="1"/>
</calcChain>
</file>

<file path=xl/sharedStrings.xml><?xml version="1.0" encoding="utf-8"?>
<sst xmlns="http://schemas.openxmlformats.org/spreadsheetml/2006/main" count="674" uniqueCount="643">
  <si>
    <t>Vak</t>
  </si>
  <si>
    <t>m2</t>
  </si>
  <si>
    <t>m</t>
  </si>
  <si>
    <t>m3</t>
  </si>
  <si>
    <t>HS1</t>
  </si>
  <si>
    <t>HS2</t>
  </si>
  <si>
    <t>HS3</t>
  </si>
  <si>
    <t>HS4</t>
  </si>
  <si>
    <t>HS5</t>
  </si>
  <si>
    <t>HS6</t>
  </si>
  <si>
    <t>HS7</t>
  </si>
  <si>
    <t>HS8</t>
  </si>
  <si>
    <t>HS10</t>
  </si>
  <si>
    <t>HS11</t>
  </si>
  <si>
    <t>HS12</t>
  </si>
  <si>
    <t>HS13</t>
  </si>
  <si>
    <t>HS14</t>
  </si>
  <si>
    <t>HS15</t>
  </si>
  <si>
    <t>HS16</t>
  </si>
  <si>
    <t>HS17</t>
  </si>
  <si>
    <t>HS18</t>
  </si>
  <si>
    <t>HS19</t>
  </si>
  <si>
    <t>HS20</t>
  </si>
  <si>
    <t>HS21</t>
  </si>
  <si>
    <t>HS22</t>
  </si>
  <si>
    <t>HS9.1</t>
  </si>
  <si>
    <t>HS9.2</t>
  </si>
  <si>
    <t>Hardsteen</t>
  </si>
  <si>
    <t>ND10</t>
  </si>
  <si>
    <t>ND11</t>
  </si>
  <si>
    <t>ND12</t>
  </si>
  <si>
    <t>ND13</t>
  </si>
  <si>
    <t>ND14</t>
  </si>
  <si>
    <t>ND15</t>
  </si>
  <si>
    <t>ND16</t>
  </si>
  <si>
    <t>ND02</t>
  </si>
  <si>
    <t>ND01</t>
  </si>
  <si>
    <t>ND03</t>
  </si>
  <si>
    <t>ND04</t>
  </si>
  <si>
    <t>ND05</t>
  </si>
  <si>
    <t>ND06</t>
  </si>
  <si>
    <t>ND07</t>
  </si>
  <si>
    <t>ND08</t>
  </si>
  <si>
    <t>ND09</t>
  </si>
  <si>
    <t>GRP1</t>
  </si>
  <si>
    <t>GRP2</t>
  </si>
  <si>
    <t>GRP3</t>
  </si>
  <si>
    <t>GRP4</t>
  </si>
  <si>
    <t>GRP5</t>
  </si>
  <si>
    <t>GRP6</t>
  </si>
  <si>
    <t>GRP7</t>
  </si>
  <si>
    <t>GRP8</t>
  </si>
  <si>
    <t>GRP9</t>
  </si>
  <si>
    <t>GRP10</t>
  </si>
  <si>
    <t>GRP11</t>
  </si>
  <si>
    <t>GRP12</t>
  </si>
  <si>
    <t>GRP13</t>
  </si>
  <si>
    <t>GRP14</t>
  </si>
  <si>
    <t>GRP15</t>
  </si>
  <si>
    <t>GRP16</t>
  </si>
  <si>
    <t>GRP17</t>
  </si>
  <si>
    <t>GRP18</t>
  </si>
  <si>
    <t>GRP19</t>
  </si>
  <si>
    <t>GRP20</t>
  </si>
  <si>
    <t>GRP21</t>
  </si>
  <si>
    <t>GRP22</t>
  </si>
  <si>
    <t>GRP23</t>
  </si>
  <si>
    <t>ND20</t>
  </si>
  <si>
    <t>ND21</t>
  </si>
  <si>
    <t>ND22</t>
  </si>
  <si>
    <t>ND23</t>
  </si>
  <si>
    <t>ND24</t>
  </si>
  <si>
    <t>ND25</t>
  </si>
  <si>
    <t>ND26</t>
  </si>
  <si>
    <t>V1</t>
  </si>
  <si>
    <t>V2</t>
  </si>
  <si>
    <t>V3</t>
  </si>
  <si>
    <t>V4</t>
  </si>
  <si>
    <t>V5</t>
  </si>
  <si>
    <t>V6</t>
  </si>
  <si>
    <t>V7</t>
  </si>
  <si>
    <t>V8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</si>
  <si>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</si>
  <si>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</si>
  <si>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</si>
  <si>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</si>
  <si>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</si>
  <si>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</si>
  <si>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</si>
  <si>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</si>
  <si>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</si>
  <si>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</si>
  <si>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</si>
  <si>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</si>
  <si>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</si>
  <si>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</si>
  <si>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</si>
  <si>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</si>
  <si>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</si>
  <si>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</si>
  <si>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</si>
  <si>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</si>
  <si>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</si>
  <si>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</si>
  <si>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</si>
  <si>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</si>
  <si>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</si>
  <si>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</si>
  <si>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</si>
  <si>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</si>
  <si>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</si>
  <si>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</si>
  <si>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</si>
  <si>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</si>
  <si>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</si>
  <si>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</si>
  <si>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</si>
  <si>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</si>
  <si>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</si>
  <si>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HS-GP1</t>
  </si>
  <si>
    <t>HS-GP2</t>
  </si>
  <si>
    <t>HS-GP3</t>
  </si>
  <si>
    <t>HS-GP4</t>
  </si>
  <si>
    <t>BL1</t>
  </si>
  <si>
    <t>BL2</t>
  </si>
  <si>
    <t>BL3</t>
  </si>
  <si>
    <t>BL4</t>
  </si>
  <si>
    <t>BL5</t>
  </si>
  <si>
    <t>BL6</t>
  </si>
  <si>
    <t>BL7</t>
  </si>
  <si>
    <t>BL8</t>
  </si>
  <si>
    <t>BL9</t>
  </si>
  <si>
    <t>BL10</t>
  </si>
  <si>
    <t>BL11</t>
  </si>
  <si>
    <t>BL12</t>
  </si>
  <si>
    <t>BL13</t>
  </si>
  <si>
    <t>BL14</t>
  </si>
  <si>
    <t>BL15</t>
  </si>
  <si>
    <t>BL16</t>
  </si>
  <si>
    <t>BL17</t>
  </si>
  <si>
    <t>BL18</t>
  </si>
  <si>
    <t>BL19</t>
  </si>
  <si>
    <t>BL20</t>
  </si>
  <si>
    <t>BL21</t>
  </si>
  <si>
    <t>BL22</t>
  </si>
  <si>
    <t>BL23</t>
  </si>
  <si>
    <t>BL24</t>
  </si>
  <si>
    <t>BL25</t>
  </si>
  <si>
    <t>BL26</t>
  </si>
  <si>
    <t>BL27</t>
  </si>
  <si>
    <t>BL28</t>
  </si>
  <si>
    <t>BL29</t>
  </si>
  <si>
    <t>BL30</t>
  </si>
  <si>
    <t>BL31</t>
  </si>
  <si>
    <t>BL32</t>
  </si>
  <si>
    <t>BL33</t>
  </si>
  <si>
    <t>BL34</t>
  </si>
  <si>
    <t>BL35</t>
  </si>
  <si>
    <t>BL36</t>
  </si>
  <si>
    <t>BL37</t>
  </si>
  <si>
    <t>BL38</t>
  </si>
  <si>
    <t>BL39</t>
  </si>
  <si>
    <t>BL40</t>
  </si>
  <si>
    <t>BL41</t>
  </si>
  <si>
    <t>BL42</t>
  </si>
  <si>
    <t>BL43</t>
  </si>
  <si>
    <t>BL44</t>
  </si>
  <si>
    <t>BL45</t>
  </si>
  <si>
    <t>BL46</t>
  </si>
  <si>
    <t>BL47</t>
  </si>
  <si>
    <t>BL48</t>
  </si>
  <si>
    <t>BL49</t>
  </si>
  <si>
    <t>BL50</t>
  </si>
  <si>
    <t>BL51</t>
  </si>
  <si>
    <t>BL52</t>
  </si>
  <si>
    <t>BL53</t>
  </si>
  <si>
    <t>BL54</t>
  </si>
  <si>
    <t>BL55</t>
  </si>
  <si>
    <t>BL56</t>
  </si>
  <si>
    <t>BL57</t>
  </si>
  <si>
    <t>BL58</t>
  </si>
  <si>
    <t>BL59</t>
  </si>
  <si>
    <t>BL60</t>
  </si>
  <si>
    <t>BL61</t>
  </si>
  <si>
    <t>BL62</t>
  </si>
  <si>
    <t>BL63</t>
  </si>
  <si>
    <t>BL64</t>
  </si>
  <si>
    <t>BL65</t>
  </si>
  <si>
    <t>BL66</t>
  </si>
  <si>
    <t>BL67</t>
  </si>
  <si>
    <t>BL68</t>
  </si>
  <si>
    <t>BL69</t>
  </si>
  <si>
    <t>BL70</t>
  </si>
  <si>
    <t>BL71</t>
  </si>
  <si>
    <t>BL72</t>
  </si>
  <si>
    <t>BL73</t>
  </si>
  <si>
    <t>BL74</t>
  </si>
  <si>
    <t>BL75</t>
  </si>
  <si>
    <t>BL76</t>
  </si>
  <si>
    <t>BL77</t>
  </si>
  <si>
    <t>BL78</t>
  </si>
  <si>
    <t>BL79</t>
  </si>
  <si>
    <t>BL80</t>
  </si>
  <si>
    <t>BL81</t>
  </si>
  <si>
    <t>BL82</t>
  </si>
  <si>
    <t>BL83</t>
  </si>
  <si>
    <t>BL84</t>
  </si>
  <si>
    <t>BL85</t>
  </si>
  <si>
    <t>BL86</t>
  </si>
  <si>
    <t>BL87</t>
  </si>
  <si>
    <t>BL88</t>
  </si>
  <si>
    <t>BL89</t>
  </si>
  <si>
    <t>BL90</t>
  </si>
  <si>
    <t>BL91</t>
  </si>
  <si>
    <t>BL92</t>
  </si>
  <si>
    <t>BL93</t>
  </si>
  <si>
    <t>BL94</t>
  </si>
  <si>
    <t>BL95</t>
  </si>
  <si>
    <t>BL96</t>
  </si>
  <si>
    <t>BL97</t>
  </si>
  <si>
    <t>BL98</t>
  </si>
  <si>
    <t>BL99</t>
  </si>
  <si>
    <t>BL100</t>
  </si>
  <si>
    <t>BL101</t>
  </si>
  <si>
    <t>BL102</t>
  </si>
  <si>
    <t>BL103</t>
  </si>
  <si>
    <t>BL104</t>
  </si>
  <si>
    <t>BL105</t>
  </si>
  <si>
    <t>BL106</t>
  </si>
  <si>
    <t>BL107</t>
  </si>
  <si>
    <t>BL108</t>
  </si>
  <si>
    <t>BL109</t>
  </si>
  <si>
    <t>BL110</t>
  </si>
  <si>
    <t>BL111</t>
  </si>
  <si>
    <t>BL112</t>
  </si>
  <si>
    <t>BL113</t>
  </si>
  <si>
    <t>BL114</t>
  </si>
  <si>
    <t>BL115</t>
  </si>
  <si>
    <t>BL116</t>
  </si>
  <si>
    <t>BL117</t>
  </si>
  <si>
    <t>BL118</t>
  </si>
  <si>
    <t>BL119</t>
  </si>
  <si>
    <t>BL120</t>
  </si>
  <si>
    <t>BL121</t>
  </si>
  <si>
    <t>BL122</t>
  </si>
  <si>
    <t>BL123</t>
  </si>
  <si>
    <t>BL124</t>
  </si>
  <si>
    <t>BL125</t>
  </si>
  <si>
    <t>BL126</t>
  </si>
  <si>
    <t>Menggranulaat</t>
  </si>
  <si>
    <t>Bomengranulaat</t>
  </si>
  <si>
    <t>Teelaarde</t>
  </si>
  <si>
    <t>Legbedsubstraat</t>
  </si>
  <si>
    <t>dikte (m)</t>
  </si>
  <si>
    <t>HS23</t>
  </si>
  <si>
    <t>Bomengrond</t>
  </si>
  <si>
    <t>BL127</t>
  </si>
  <si>
    <t>BL128</t>
  </si>
  <si>
    <t>BL129</t>
  </si>
  <si>
    <t>BL130</t>
  </si>
  <si>
    <t>BL131</t>
  </si>
  <si>
    <t>BS1</t>
  </si>
  <si>
    <t>BS2</t>
  </si>
  <si>
    <t>ND19,2</t>
  </si>
  <si>
    <t>ND18.1</t>
  </si>
  <si>
    <t>ND18.2</t>
  </si>
  <si>
    <t>ND19.1</t>
  </si>
  <si>
    <t>ND17.1</t>
  </si>
  <si>
    <t>ND17.2</t>
  </si>
  <si>
    <t>ND17.3</t>
  </si>
  <si>
    <t>BS3</t>
  </si>
  <si>
    <t>BS4</t>
  </si>
  <si>
    <t>BS5</t>
  </si>
  <si>
    <t>BS6</t>
  </si>
  <si>
    <t>BS7</t>
  </si>
  <si>
    <t>V9.1</t>
  </si>
  <si>
    <t>V9.2</t>
  </si>
  <si>
    <t>PL1</t>
  </si>
  <si>
    <t>PL2</t>
  </si>
  <si>
    <t>PL3</t>
  </si>
  <si>
    <t>PL4</t>
  </si>
  <si>
    <t>PL5</t>
  </si>
  <si>
    <t>PL6</t>
  </si>
  <si>
    <t>PL7</t>
  </si>
  <si>
    <t>PL8</t>
  </si>
  <si>
    <t>PL9</t>
  </si>
  <si>
    <t>PL10</t>
  </si>
  <si>
    <t>PL11</t>
  </si>
  <si>
    <t>PL12</t>
  </si>
  <si>
    <t>PL13</t>
  </si>
  <si>
    <t>PL14</t>
  </si>
  <si>
    <t>PL15</t>
  </si>
  <si>
    <t>PL16</t>
  </si>
  <si>
    <t>PL17</t>
  </si>
  <si>
    <t>PL18</t>
  </si>
  <si>
    <t>PL19</t>
  </si>
  <si>
    <t>PL20</t>
  </si>
  <si>
    <t>PL21</t>
  </si>
  <si>
    <t>PL22</t>
  </si>
  <si>
    <t>PL23</t>
  </si>
  <si>
    <t>PL25</t>
  </si>
  <si>
    <t>PL26</t>
  </si>
  <si>
    <t>PL27</t>
  </si>
  <si>
    <t>PL28</t>
  </si>
  <si>
    <t>PL29</t>
  </si>
  <si>
    <t>PL30</t>
  </si>
  <si>
    <t>PL31</t>
  </si>
  <si>
    <t>HS</t>
  </si>
  <si>
    <t>HS-GP</t>
  </si>
  <si>
    <t>GRP</t>
  </si>
  <si>
    <t>V</t>
  </si>
  <si>
    <t>ND</t>
  </si>
  <si>
    <t>BL</t>
  </si>
  <si>
    <t>BS</t>
  </si>
  <si>
    <t>PL</t>
  </si>
  <si>
    <t>Gewicht (ton)</t>
  </si>
  <si>
    <t>Totaal menggranulaat</t>
  </si>
  <si>
    <t>Totaal bomengranulaat</t>
  </si>
  <si>
    <t>Totaal bomengrond</t>
  </si>
  <si>
    <t>Totaal teelaarde</t>
  </si>
  <si>
    <t>Totaal legbedsubstr.</t>
  </si>
  <si>
    <t>Bestaand gemiddelde m.v. hoogte NAP</t>
  </si>
  <si>
    <t>Hoogte onderkant cunet NAP</t>
  </si>
  <si>
    <t>Ontgravingshooge cunet (grond/zand)</t>
  </si>
  <si>
    <t>Onderkant bestaande verharding  NAP</t>
  </si>
  <si>
    <t>Hoeveelheid ontgraven (grond/zand)</t>
  </si>
  <si>
    <t>Opp.</t>
  </si>
  <si>
    <t>Nieuw aan te brengen materiaal</t>
  </si>
  <si>
    <t xml:space="preserve">Hoeveelheden in m3 is op basis van theoretisch profiel (vaste m3) </t>
  </si>
  <si>
    <t>Hardsteenvak</t>
  </si>
  <si>
    <t>Hardsteenvak garageplein</t>
  </si>
  <si>
    <t>Nutsdoorsteek/onderbreking van menggranulaat</t>
  </si>
  <si>
    <t>Nieuwe plantsoenvakken zonder te planten bomen</t>
  </si>
  <si>
    <t>Groeiplaats nieuwe bomen evt. doorlopend onder parkeervakken en voetgangersdoorsteken</t>
  </si>
  <si>
    <t>Ontgravingsvak bomengranulaat t.b.v. parkeervakken, kliko-opstelplaatsen en inritten zonder bomengroeiplaats</t>
  </si>
  <si>
    <t>Bandenlijn funderingen buiten groeiplaats of parkeervak met bomengranulaat</t>
  </si>
  <si>
    <t>Totaal gewicht hardsteen in ton</t>
  </si>
  <si>
    <t>Totaal hardsteen in m3</t>
  </si>
  <si>
    <t>DR</t>
  </si>
  <si>
    <t>Drempels</t>
  </si>
  <si>
    <t>DR1</t>
  </si>
  <si>
    <t>DR2</t>
  </si>
  <si>
    <t>DR3</t>
  </si>
  <si>
    <t>DR4</t>
  </si>
  <si>
    <t>DR5</t>
  </si>
  <si>
    <t>DR6</t>
  </si>
  <si>
    <t>DR7</t>
  </si>
  <si>
    <t>DR8</t>
  </si>
  <si>
    <t>DR9</t>
  </si>
  <si>
    <t>DR10</t>
  </si>
  <si>
    <t>PL24.1</t>
  </si>
  <si>
    <t>PL24.2</t>
  </si>
  <si>
    <t>Totaal gewicht bomengran. in ton</t>
  </si>
  <si>
    <t>Totaal gewicht menggran. in ton</t>
  </si>
  <si>
    <t>RS</t>
  </si>
  <si>
    <t>Schoonzand n.t.b.</t>
  </si>
  <si>
    <t>Drainzand</t>
  </si>
  <si>
    <t>RS1</t>
  </si>
  <si>
    <t>Lengte sleuf (alleen bij de rioolsleuven)</t>
  </si>
  <si>
    <t>DS1</t>
  </si>
  <si>
    <t>DS2</t>
  </si>
  <si>
    <t>DS3</t>
  </si>
  <si>
    <t>DS4</t>
  </si>
  <si>
    <t>DS5</t>
  </si>
  <si>
    <t>DS6</t>
  </si>
  <si>
    <t>DS7</t>
  </si>
  <si>
    <t>DS8</t>
  </si>
  <si>
    <t>DS9</t>
  </si>
  <si>
    <t>DS10</t>
  </si>
  <si>
    <t>DS11</t>
  </si>
  <si>
    <t>DS12</t>
  </si>
  <si>
    <t>DS13</t>
  </si>
  <si>
    <t>DS14</t>
  </si>
  <si>
    <t>DS15</t>
  </si>
  <si>
    <t>DS16</t>
  </si>
  <si>
    <t>DS17</t>
  </si>
  <si>
    <t>DRA1-DRA2</t>
  </si>
  <si>
    <t>DRA2-DRA3</t>
  </si>
  <si>
    <t>DRA3-DRA4</t>
  </si>
  <si>
    <t>DRA4-DRA5</t>
  </si>
  <si>
    <t>DRA5-DRA6</t>
  </si>
  <si>
    <t>DRA7-DRA8</t>
  </si>
  <si>
    <t>DRA6-DRA9</t>
  </si>
  <si>
    <t>DRA9-DRA10</t>
  </si>
  <si>
    <t>DRA4-DRA11</t>
  </si>
  <si>
    <t>DRA11-DRA12</t>
  </si>
  <si>
    <t>DS18</t>
  </si>
  <si>
    <t>DS19</t>
  </si>
  <si>
    <t>DS20</t>
  </si>
  <si>
    <t>DS21</t>
  </si>
  <si>
    <t>DS22</t>
  </si>
  <si>
    <t>DS23</t>
  </si>
  <si>
    <t>DS24</t>
  </si>
  <si>
    <t>DS25</t>
  </si>
  <si>
    <t>DS26</t>
  </si>
  <si>
    <t>DS27</t>
  </si>
  <si>
    <t>DS28</t>
  </si>
  <si>
    <t>DS29</t>
  </si>
  <si>
    <t>DRA12-DRA13</t>
  </si>
  <si>
    <t>DRA13-DRA14</t>
  </si>
  <si>
    <t>DRA14-DRA15</t>
  </si>
  <si>
    <t>DRA15-DRA16</t>
  </si>
  <si>
    <t>DRA18-DRA19</t>
  </si>
  <si>
    <t>DRA19-DRA20</t>
  </si>
  <si>
    <t>DRA13-DRA17</t>
  </si>
  <si>
    <t>DRA19-DRA21</t>
  </si>
  <si>
    <t>DRA21-DRA22</t>
  </si>
  <si>
    <t>DRA21-DRA23</t>
  </si>
  <si>
    <t>DRA23-DRA24</t>
  </si>
  <si>
    <t>DRA24-DRA25</t>
  </si>
  <si>
    <t>DS30</t>
  </si>
  <si>
    <t>DS31</t>
  </si>
  <si>
    <t>DS32</t>
  </si>
  <si>
    <t>DS33</t>
  </si>
  <si>
    <t>DS34</t>
  </si>
  <si>
    <t>DS35</t>
  </si>
  <si>
    <t>DS36</t>
  </si>
  <si>
    <t>DS37</t>
  </si>
  <si>
    <t>DS38</t>
  </si>
  <si>
    <t>DS39</t>
  </si>
  <si>
    <t>DS40</t>
  </si>
  <si>
    <t>DS41</t>
  </si>
  <si>
    <t>DS42</t>
  </si>
  <si>
    <t>DS43</t>
  </si>
  <si>
    <t>DRA24-DRA26</t>
  </si>
  <si>
    <t>DRA25-DRA27</t>
  </si>
  <si>
    <t>DRA26-DRA27</t>
  </si>
  <si>
    <t>DRA27-DRA32</t>
  </si>
  <si>
    <t>Totaal te ontgaven grond/zand (d&amp;rsleuven)</t>
  </si>
  <si>
    <t>DRA18-DRA28</t>
  </si>
  <si>
    <t>DRA28-DRA29</t>
  </si>
  <si>
    <t>DRA29-DRA31</t>
  </si>
  <si>
    <t>DRA B1-DRA30</t>
  </si>
  <si>
    <t>DRA B1-DRA B2</t>
  </si>
  <si>
    <t>DRA B2-DRA B3</t>
  </si>
  <si>
    <t>DRA31-DRA32</t>
  </si>
  <si>
    <t>DRA32-DRA33</t>
  </si>
  <si>
    <t>DS44</t>
  </si>
  <si>
    <t>DS45</t>
  </si>
  <si>
    <t>DRA34-DRA35</t>
  </si>
  <si>
    <t>DRA35-DRA36</t>
  </si>
  <si>
    <t>DRA35-DRA37</t>
  </si>
  <si>
    <t>DRA37-DRA38</t>
  </si>
  <si>
    <t>DRA38-DRA39</t>
  </si>
  <si>
    <t>DRA39-DRA34</t>
  </si>
  <si>
    <t>DS46</t>
  </si>
  <si>
    <t>RS2</t>
  </si>
  <si>
    <t>RS3</t>
  </si>
  <si>
    <t>RS4</t>
  </si>
  <si>
    <t>RS5</t>
  </si>
  <si>
    <t>RS6</t>
  </si>
  <si>
    <t>RS7</t>
  </si>
  <si>
    <t>lengte (m)</t>
  </si>
  <si>
    <t>DWA1-DWA2</t>
  </si>
  <si>
    <t>DWA2-DWA3</t>
  </si>
  <si>
    <t>DWA4-DWA5</t>
  </si>
  <si>
    <t>DWA5-DWA6</t>
  </si>
  <si>
    <t>DWA3-DWA4</t>
  </si>
  <si>
    <t>DWA6-DWA7</t>
  </si>
  <si>
    <t>RS8</t>
  </si>
  <si>
    <t>RS9</t>
  </si>
  <si>
    <t>RS10</t>
  </si>
  <si>
    <t>RS11</t>
  </si>
  <si>
    <t>RS12</t>
  </si>
  <si>
    <t>RS13</t>
  </si>
  <si>
    <t>RS14</t>
  </si>
  <si>
    <t>RS15</t>
  </si>
  <si>
    <t>RS16</t>
  </si>
  <si>
    <t>RS17</t>
  </si>
  <si>
    <t>RS18</t>
  </si>
  <si>
    <t>RS19</t>
  </si>
  <si>
    <t>RS20</t>
  </si>
  <si>
    <t>RS21</t>
  </si>
  <si>
    <t>RS22</t>
  </si>
  <si>
    <t>RS23</t>
  </si>
  <si>
    <t>RS24</t>
  </si>
  <si>
    <t>RS25</t>
  </si>
  <si>
    <t>RS26</t>
  </si>
  <si>
    <t>RS27</t>
  </si>
  <si>
    <t>DWA4-DWA7</t>
  </si>
  <si>
    <t>DWA7-B PUT</t>
  </si>
  <si>
    <t>DWA3-DWA8</t>
  </si>
  <si>
    <t>DWA8-DWA9</t>
  </si>
  <si>
    <t>DWA9-DWA10</t>
  </si>
  <si>
    <t>DWA10-DWA11</t>
  </si>
  <si>
    <t>DWA11-B PUT</t>
  </si>
  <si>
    <t>DWA10-DWA12</t>
  </si>
  <si>
    <t>DWA12-DWA13</t>
  </si>
  <si>
    <t>DWA12-DWA14</t>
  </si>
  <si>
    <t>DWA15-DWA16</t>
  </si>
  <si>
    <t>DWA16-DWA18</t>
  </si>
  <si>
    <t>DWA18-DWA19</t>
  </si>
  <si>
    <t>DWA18-DWA20</t>
  </si>
  <si>
    <t>DWA20-DWA21</t>
  </si>
  <si>
    <t>DWA20-DWA22</t>
  </si>
  <si>
    <t>DWA21-DWA23</t>
  </si>
  <si>
    <t>DWA22-DWA23</t>
  </si>
  <si>
    <t>DWA23-DWA29</t>
  </si>
  <si>
    <t>DWA15-DWA24</t>
  </si>
  <si>
    <t>DWA24-DWA25</t>
  </si>
  <si>
    <t>RS28</t>
  </si>
  <si>
    <t>RS29</t>
  </si>
  <si>
    <t>RS30</t>
  </si>
  <si>
    <t>RS31</t>
  </si>
  <si>
    <t>RS32</t>
  </si>
  <si>
    <t>RS33</t>
  </si>
  <si>
    <t>RS34</t>
  </si>
  <si>
    <t>RS35</t>
  </si>
  <si>
    <t>RS36</t>
  </si>
  <si>
    <t>RS37</t>
  </si>
  <si>
    <t>RS38</t>
  </si>
  <si>
    <t>RS39</t>
  </si>
  <si>
    <t>RS40</t>
  </si>
  <si>
    <t>DWA25-DWA26</t>
  </si>
  <si>
    <t>DWA26-DWA27</t>
  </si>
  <si>
    <t>DWA25-DWA28</t>
  </si>
  <si>
    <t>DWA28-DWA29</t>
  </si>
  <si>
    <t>DWA29-DWA30</t>
  </si>
  <si>
    <t>DWA29-B PUT</t>
  </si>
  <si>
    <t>DWA30-DWA31</t>
  </si>
  <si>
    <t>DWA31-DWA32</t>
  </si>
  <si>
    <t>DWA33-DWA34</t>
  </si>
  <si>
    <t>DWA34-DWA35</t>
  </si>
  <si>
    <t>DWA31-DWA35</t>
  </si>
  <si>
    <t>DWA30-DWA33</t>
  </si>
  <si>
    <t>DS</t>
  </si>
  <si>
    <t>Rioolsleuven voor nieuw buis/vervangen oud</t>
  </si>
  <si>
    <t>DRA6.1-DRA7</t>
  </si>
  <si>
    <t>DRA6.1-DRA9.1</t>
  </si>
  <si>
    <t>DRA8-DRA9.1</t>
  </si>
  <si>
    <t>DRA6-DRA6.1</t>
  </si>
  <si>
    <t>DS47</t>
  </si>
  <si>
    <t>DS48</t>
  </si>
  <si>
    <t>DRA9-DRA9.1</t>
  </si>
  <si>
    <t>DS49</t>
  </si>
  <si>
    <t>DRA8.1-DRA8.2</t>
  </si>
  <si>
    <t>DRA8.2-DRA8.3</t>
  </si>
  <si>
    <t>DRA7-DRA7.1</t>
  </si>
  <si>
    <t>DRA8-DRA8.1</t>
  </si>
  <si>
    <t>DRA7.1-DRA7.2</t>
  </si>
  <si>
    <t>DRA7.2-DRA7.3</t>
  </si>
  <si>
    <t>DRA26-DRA26.1</t>
  </si>
  <si>
    <t>DRA26.1-DRA26.2</t>
  </si>
  <si>
    <t>DRA25-DRA25.1</t>
  </si>
  <si>
    <t>DRA25.1-DRA25.2</t>
  </si>
  <si>
    <t>DS50</t>
  </si>
  <si>
    <t>DS51</t>
  </si>
  <si>
    <t>DS52</t>
  </si>
  <si>
    <t>DS53</t>
  </si>
  <si>
    <t>DS54</t>
  </si>
  <si>
    <t>DS55</t>
  </si>
  <si>
    <t>DS56</t>
  </si>
  <si>
    <t>DS57</t>
  </si>
  <si>
    <t>DS58</t>
  </si>
  <si>
    <t>DS59</t>
  </si>
  <si>
    <t>DWA17-bestaand</t>
  </si>
  <si>
    <t>AFTK</t>
  </si>
  <si>
    <t>Aftakingen</t>
  </si>
  <si>
    <t>Drainage sleuven 200 &amp; 125</t>
  </si>
  <si>
    <t>Ontgravingen en aanvullingen volgens tekeningen 326, 299 en 334</t>
  </si>
  <si>
    <t>DRA17-instelput1</t>
  </si>
  <si>
    <t>instelput1-DRA18</t>
  </si>
  <si>
    <t>DRA30-instelput D28</t>
  </si>
  <si>
    <t>DRA17-DRA17.1</t>
  </si>
  <si>
    <t>DS60</t>
  </si>
  <si>
    <t>DRAB3-DRA34.0</t>
  </si>
  <si>
    <t>DRA34.0-DRA34</t>
  </si>
  <si>
    <t>DS61</t>
  </si>
  <si>
    <t>VV</t>
  </si>
  <si>
    <t>Vijver</t>
  </si>
  <si>
    <t>WW</t>
  </si>
  <si>
    <t>Wadi Willem van Velsenstraat</t>
  </si>
  <si>
    <t>VV1</t>
  </si>
  <si>
    <t>VV2</t>
  </si>
  <si>
    <t>VV3</t>
  </si>
  <si>
    <t>WM1</t>
  </si>
  <si>
    <t>WM2</t>
  </si>
  <si>
    <t>Wadi Meester Galleehof 1</t>
  </si>
  <si>
    <t>Wadi Meester Galleehof 2</t>
  </si>
  <si>
    <t>WW1</t>
  </si>
  <si>
    <t>WW2</t>
  </si>
  <si>
    <t>WW3</t>
  </si>
  <si>
    <t>VV4</t>
  </si>
  <si>
    <t>WW4</t>
  </si>
  <si>
    <t>WW5</t>
  </si>
  <si>
    <t>WW6</t>
  </si>
  <si>
    <t>WW7</t>
  </si>
  <si>
    <t>WW8</t>
  </si>
  <si>
    <t>WW9</t>
  </si>
  <si>
    <t>WW10</t>
  </si>
  <si>
    <t>WW11</t>
  </si>
  <si>
    <t>WW12</t>
  </si>
  <si>
    <t>WM1.1</t>
  </si>
  <si>
    <t>WM1.2</t>
  </si>
  <si>
    <t>WM1.3</t>
  </si>
  <si>
    <t>WM1.4</t>
  </si>
  <si>
    <t>WM1.5</t>
  </si>
  <si>
    <t>WM1.6</t>
  </si>
  <si>
    <t>WM1.7</t>
  </si>
  <si>
    <t>WM1.8</t>
  </si>
  <si>
    <t>WM1.9</t>
  </si>
  <si>
    <t>WM2.1</t>
  </si>
  <si>
    <t>WM2.2</t>
  </si>
  <si>
    <t>WM2.3</t>
  </si>
  <si>
    <t>WM2.4</t>
  </si>
  <si>
    <t>WM2.5</t>
  </si>
  <si>
    <t>WM2.6</t>
  </si>
  <si>
    <t>WM2.7</t>
  </si>
  <si>
    <t>WM2.8</t>
  </si>
  <si>
    <t>Talud waterkant</t>
  </si>
  <si>
    <t>Onderwater talud</t>
  </si>
  <si>
    <t>Bodem tot vijverpeil (rechte stuk)</t>
  </si>
  <si>
    <t>Plasberm</t>
  </si>
  <si>
    <t>Aftakkingen (volgens bestek)</t>
  </si>
  <si>
    <t>V39.1</t>
  </si>
  <si>
    <t>Bomenspiegel buiten groeiplaats zonder boom</t>
  </si>
  <si>
    <t xml:space="preserve">Rioolsleuven voor verwijderen oud rioolbuis </t>
  </si>
  <si>
    <t>RSV</t>
  </si>
  <si>
    <t>RSV1</t>
  </si>
  <si>
    <t>RSV2</t>
  </si>
  <si>
    <t>RSV3</t>
  </si>
  <si>
    <t>RSV4</t>
  </si>
  <si>
    <t>RSV5</t>
  </si>
  <si>
    <t>RSV6</t>
  </si>
  <si>
    <t>Debora Bakelaan 41-43</t>
  </si>
  <si>
    <t>Willem van Coulsterstraat 27-23 Ø400 buis</t>
  </si>
  <si>
    <t>Willem van Coulsterstraat 23-15 Ø400 buis</t>
  </si>
  <si>
    <t>Willem van Coulsterstraat 15-1 Ø400 buis</t>
  </si>
  <si>
    <t>Willem van Coulsterstraat uitrit tot nr. 1 Ø400 buis</t>
  </si>
  <si>
    <t>Willem van Coulsterstraat 27-17 Ø300 buis</t>
  </si>
  <si>
    <t>RSV7</t>
  </si>
  <si>
    <t>Willem van Coulsterstraat 15 tot uitrit Ø300 buis</t>
  </si>
  <si>
    <t>RSV8</t>
  </si>
  <si>
    <t>Meester Galleehof</t>
  </si>
  <si>
    <t>RSV9</t>
  </si>
  <si>
    <t>Heckermerstraat garageplein 3</t>
  </si>
  <si>
    <t>RSV10</t>
  </si>
  <si>
    <t>Heckermerstraat garageplein 4</t>
  </si>
  <si>
    <t>WVV</t>
  </si>
  <si>
    <t>Willem van Velsenstraat vak</t>
  </si>
  <si>
    <t>waarvan 543,05</t>
  </si>
  <si>
    <t>ton Hydraulisch</t>
  </si>
  <si>
    <t xml:space="preserve"> hem ook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</si>
</sst>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/>
    <xf numFmtId="164" fontId="0" fillId="0" borderId="16" xfId="0" quotePrefix="1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0" xfId="0" applyNumberFormat="1"/>
    <xf numFmtId="2" fontId="1" fillId="0" borderId="29" xfId="0" applyNumberFormat="1" applyFont="1" applyBorder="1"/>
    <xf numFmtId="0" fontId="0" fillId="0" borderId="0" xfId="0" applyAlignment="1">
      <alignment horizontal="left" vertical="top"/>
    </xf>
    <xf numFmtId="2" fontId="1" fillId="0" borderId="25" xfId="0" applyNumberFormat="1" applyFont="1" applyBorder="1"/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26" xfId="0" applyBorder="1"/>
    <xf numFmtId="4" fontId="0" fillId="0" borderId="19" xfId="0" applyNumberFormat="1" applyBorder="1" applyAlignment="1">
      <alignment horizontal="center" vertical="center"/>
    </xf>
    <xf numFmtId="0" fontId="3" fillId="0" borderId="0" xfId="0" applyFont="1"/>
    <xf numFmtId="0" fontId="0" fillId="0" borderId="26" xfId="0" applyBorder="1"/>
    <xf numFmtId="0" fontId="0" fillId="0" borderId="0" xfId="0"/>
    <xf numFmtId="0" fontId="1" fillId="3" borderId="2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1016-35B5-4272-BA98-E5236AC1D1E3}">
  <dimension ref="A1:AN475"/>
  <sheetViews>
    <sheetView tabSelected="1" zoomScaleNormal="100" workbookViewId="0">
      <pane xSplit="12300" ySplit="2385" topLeftCell="J16" activePane="bottomLeft"/>
      <selection activeCell="F26" sqref="F26"/>
      <selection pane="topRight" activeCell="AG1" sqref="AE1:AG1048576"/>
      <selection pane="bottomLeft" activeCell="H27" sqref="H27"/>
      <selection pane="bottomRight" activeCell="AI456" sqref="AI456"/>
    </sheetView>
  </sheetViews>
  <sheetFormatPr defaultRowHeight="13.2" x14ac:dyDescent="0.25"/>
  <cols>
    <col min="1" max="1" width="7.6640625" bestFit="1" customWidth="1"/>
    <col min="2" max="5" width="12.6640625" customWidth="1"/>
    <col min="6" max="6" width="14.109375" customWidth="1"/>
    <col min="7" max="9" width="12.6640625" customWidth="1"/>
    <col min="10" max="12" width="9.6640625" customWidth="1"/>
    <col min="13" max="13" width="13.6640625" customWidth="1"/>
    <col min="14" max="16" width="9.6640625" customWidth="1"/>
    <col min="17" max="17" width="13.6640625" customWidth="1"/>
    <col min="18" max="23" width="9.6640625" customWidth="1"/>
    <col min="24" max="24" width="13.6640625" customWidth="1"/>
    <col min="25" max="36" width="9.6640625" customWidth="1"/>
    <col min="40" max="40" width="43.88671875" customWidth="1"/>
  </cols>
  <sheetData>
    <row r="1" spans="1:40" ht="15.6" customHeight="1" x14ac:dyDescent="0.25">
      <c r="A1" s="54" t="s">
        <v>559</v>
      </c>
      <c r="B1" s="55"/>
      <c r="C1" s="55"/>
      <c r="D1" s="55"/>
      <c r="E1" s="55"/>
      <c r="F1" s="55"/>
      <c r="G1" s="55"/>
      <c r="H1" s="26"/>
      <c r="I1" s="26"/>
    </row>
    <row r="2" spans="1:40" ht="15.6" customHeight="1" thickBot="1" x14ac:dyDescent="0.3">
      <c r="A2" s="56"/>
      <c r="B2" s="57"/>
      <c r="C2" s="9" t="s">
        <v>328</v>
      </c>
      <c r="D2" s="9"/>
      <c r="E2" s="9"/>
      <c r="F2" s="9"/>
      <c r="G2" s="9"/>
    </row>
    <row r="3" spans="1:40" ht="15.6" customHeight="1" thickBot="1" x14ac:dyDescent="0.3">
      <c r="A3" s="4" t="s">
        <v>0</v>
      </c>
      <c r="B3" s="58" t="s">
        <v>326</v>
      </c>
      <c r="C3" s="61" t="s">
        <v>321</v>
      </c>
      <c r="D3" s="64" t="s">
        <v>324</v>
      </c>
      <c r="E3" s="64" t="s">
        <v>322</v>
      </c>
      <c r="F3" s="64" t="s">
        <v>323</v>
      </c>
      <c r="G3" s="67" t="s">
        <v>325</v>
      </c>
      <c r="H3" s="42" t="s">
        <v>358</v>
      </c>
      <c r="I3" s="42" t="s">
        <v>428</v>
      </c>
      <c r="J3" s="40" t="s">
        <v>327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</row>
    <row r="4" spans="1:40" ht="13.5" customHeight="1" thickBot="1" x14ac:dyDescent="0.3">
      <c r="A4" s="68"/>
      <c r="B4" s="59"/>
      <c r="C4" s="62"/>
      <c r="D4" s="65"/>
      <c r="E4" s="65"/>
      <c r="F4" s="65"/>
      <c r="G4" s="65"/>
      <c r="H4" s="43"/>
      <c r="I4" s="43"/>
      <c r="J4" s="37" t="s">
        <v>249</v>
      </c>
      <c r="K4" s="36"/>
      <c r="L4" s="36"/>
      <c r="M4" s="45"/>
      <c r="N4" s="37" t="s">
        <v>250</v>
      </c>
      <c r="O4" s="36"/>
      <c r="P4" s="36"/>
      <c r="Q4" s="45"/>
      <c r="R4" s="35" t="s">
        <v>255</v>
      </c>
      <c r="S4" s="35"/>
      <c r="T4" s="35"/>
      <c r="U4" s="37" t="s">
        <v>27</v>
      </c>
      <c r="V4" s="36"/>
      <c r="W4" s="36"/>
      <c r="X4" s="45"/>
      <c r="Y4" s="35" t="s">
        <v>251</v>
      </c>
      <c r="Z4" s="35"/>
      <c r="AA4" s="35"/>
      <c r="AB4" s="35" t="s">
        <v>252</v>
      </c>
      <c r="AC4" s="35"/>
      <c r="AD4" s="35"/>
      <c r="AE4" s="35" t="s">
        <v>355</v>
      </c>
      <c r="AF4" s="36"/>
      <c r="AG4" s="36"/>
      <c r="AH4" s="35" t="s">
        <v>356</v>
      </c>
      <c r="AI4" s="36"/>
      <c r="AJ4" s="36"/>
    </row>
    <row r="5" spans="1:40" ht="13.8" thickBot="1" x14ac:dyDescent="0.3">
      <c r="A5" s="69"/>
      <c r="B5" s="59"/>
      <c r="C5" s="62"/>
      <c r="D5" s="65"/>
      <c r="E5" s="65"/>
      <c r="F5" s="65"/>
      <c r="G5" s="65"/>
      <c r="H5" s="43"/>
      <c r="I5" s="43"/>
      <c r="J5" s="37"/>
      <c r="K5" s="36"/>
      <c r="L5" s="36"/>
      <c r="M5" s="45"/>
      <c r="N5" s="37"/>
      <c r="O5" s="36"/>
      <c r="P5" s="36"/>
      <c r="Q5" s="45"/>
      <c r="R5" s="51"/>
      <c r="S5" s="51"/>
      <c r="T5" s="51"/>
      <c r="U5" s="37"/>
      <c r="V5" s="36"/>
      <c r="W5" s="36"/>
      <c r="X5" s="45"/>
      <c r="Y5" s="51"/>
      <c r="Z5" s="51"/>
      <c r="AA5" s="51"/>
      <c r="AB5" s="51"/>
      <c r="AC5" s="51"/>
      <c r="AD5" s="51"/>
      <c r="AE5" s="37"/>
      <c r="AF5" s="36"/>
      <c r="AG5" s="36"/>
      <c r="AH5" s="37"/>
      <c r="AI5" s="36"/>
      <c r="AJ5" s="36"/>
    </row>
    <row r="6" spans="1:40" ht="13.8" thickBot="1" x14ac:dyDescent="0.3">
      <c r="A6" s="69"/>
      <c r="B6" s="60"/>
      <c r="C6" s="63"/>
      <c r="D6" s="66"/>
      <c r="E6" s="66"/>
      <c r="F6" s="66"/>
      <c r="G6" s="66"/>
      <c r="H6" s="44"/>
      <c r="I6" s="44"/>
      <c r="J6" s="38"/>
      <c r="K6" s="39"/>
      <c r="L6" s="39"/>
      <c r="M6" s="46"/>
      <c r="N6" s="38"/>
      <c r="O6" s="39"/>
      <c r="P6" s="39"/>
      <c r="Q6" s="46"/>
      <c r="R6" s="51"/>
      <c r="S6" s="51"/>
      <c r="T6" s="51"/>
      <c r="U6" s="38"/>
      <c r="V6" s="39"/>
      <c r="W6" s="39"/>
      <c r="X6" s="46"/>
      <c r="Y6" s="51"/>
      <c r="Z6" s="51"/>
      <c r="AA6" s="51"/>
      <c r="AB6" s="51"/>
      <c r="AC6" s="51"/>
      <c r="AD6" s="51"/>
      <c r="AE6" s="38"/>
      <c r="AF6" s="39"/>
      <c r="AG6" s="39"/>
      <c r="AH6" s="38"/>
      <c r="AI6" s="39"/>
      <c r="AJ6" s="39"/>
    </row>
    <row r="7" spans="1:40" ht="15.6" customHeight="1" thickBot="1" x14ac:dyDescent="0.3">
      <c r="A7" s="70"/>
      <c r="B7" s="2" t="s">
        <v>1</v>
      </c>
      <c r="C7" s="3" t="s">
        <v>2</v>
      </c>
      <c r="D7" s="2" t="s">
        <v>2</v>
      </c>
      <c r="E7" s="2" t="s">
        <v>2</v>
      </c>
      <c r="F7" s="1" t="s">
        <v>2</v>
      </c>
      <c r="G7" s="15" t="s">
        <v>3</v>
      </c>
      <c r="H7" s="15" t="s">
        <v>2</v>
      </c>
      <c r="I7" s="15" t="s">
        <v>3</v>
      </c>
      <c r="J7" s="16" t="s">
        <v>253</v>
      </c>
      <c r="K7" s="16" t="s">
        <v>1</v>
      </c>
      <c r="L7" s="16" t="s">
        <v>3</v>
      </c>
      <c r="M7" s="16" t="s">
        <v>315</v>
      </c>
      <c r="N7" s="16" t="s">
        <v>253</v>
      </c>
      <c r="O7" s="16" t="s">
        <v>1</v>
      </c>
      <c r="P7" s="16" t="s">
        <v>3</v>
      </c>
      <c r="Q7" s="16" t="s">
        <v>315</v>
      </c>
      <c r="R7" s="16" t="s">
        <v>253</v>
      </c>
      <c r="S7" s="16" t="s">
        <v>1</v>
      </c>
      <c r="T7" s="16" t="s">
        <v>3</v>
      </c>
      <c r="U7" s="16" t="s">
        <v>253</v>
      </c>
      <c r="V7" s="16" t="s">
        <v>1</v>
      </c>
      <c r="W7" s="16" t="s">
        <v>3</v>
      </c>
      <c r="X7" s="16" t="s">
        <v>315</v>
      </c>
      <c r="Y7" s="16" t="s">
        <v>253</v>
      </c>
      <c r="Z7" s="16" t="s">
        <v>1</v>
      </c>
      <c r="AA7" s="16" t="s">
        <v>3</v>
      </c>
      <c r="AB7" s="16" t="s">
        <v>253</v>
      </c>
      <c r="AC7" s="16" t="s">
        <v>1</v>
      </c>
      <c r="AD7" s="16" t="s">
        <v>3</v>
      </c>
      <c r="AE7" s="16" t="s">
        <v>452</v>
      </c>
      <c r="AF7" s="16" t="s">
        <v>1</v>
      </c>
      <c r="AG7" s="16" t="s">
        <v>3</v>
      </c>
      <c r="AH7" s="16" t="s">
        <v>452</v>
      </c>
      <c r="AI7" s="16" t="s">
        <v>1</v>
      </c>
      <c r="AJ7" s="16" t="s">
        <v>3</v>
      </c>
    </row>
    <row r="8" spans="1:40" ht="15.6" customHeight="1" x14ac:dyDescent="0.25">
      <c r="A8" s="7" t="s">
        <v>4</v>
      </c>
      <c r="B8" s="5">
        <v>126</v>
      </c>
      <c r="C8" s="12">
        <v>0.53</v>
      </c>
      <c r="D8" s="12">
        <f>C8-0.09</f>
        <v>0.44000000000000006</v>
      </c>
      <c r="E8" s="10">
        <v>-0.19</v>
      </c>
      <c r="F8" s="14">
        <f>D8-E8</f>
        <v>0.63000000000000012</v>
      </c>
      <c r="G8" s="12">
        <f>F8*B8</f>
        <v>79.38000000000001</v>
      </c>
      <c r="H8" s="12"/>
      <c r="I8" s="12"/>
      <c r="J8" s="17"/>
      <c r="K8" s="17"/>
      <c r="L8" s="17"/>
      <c r="M8" s="17"/>
      <c r="N8" s="17"/>
      <c r="O8" s="12"/>
      <c r="P8" s="12"/>
      <c r="Q8" s="12"/>
      <c r="R8" s="12"/>
      <c r="S8" s="12"/>
      <c r="T8" s="12"/>
      <c r="U8" s="17">
        <v>0.48</v>
      </c>
      <c r="V8" s="17">
        <f>B8</f>
        <v>126</v>
      </c>
      <c r="W8" s="17">
        <f t="shared" ref="W8:W35" si="0">U8*B8</f>
        <v>60.48</v>
      </c>
      <c r="X8" s="17">
        <f>W8*1.8</f>
        <v>108.86399999999999</v>
      </c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M8" t="s">
        <v>307</v>
      </c>
      <c r="AN8" s="23" t="s">
        <v>329</v>
      </c>
    </row>
    <row r="9" spans="1:40" ht="15.6" customHeight="1" x14ac:dyDescent="0.25">
      <c r="A9" s="8" t="s">
        <v>5</v>
      </c>
      <c r="B9" s="6">
        <v>285</v>
      </c>
      <c r="C9" s="13">
        <v>0.49</v>
      </c>
      <c r="D9" s="13">
        <f>C9-0.09</f>
        <v>0.4</v>
      </c>
      <c r="E9" s="11">
        <v>-0.26500000000000001</v>
      </c>
      <c r="F9" s="11">
        <f>D9-E9</f>
        <v>0.66500000000000004</v>
      </c>
      <c r="G9" s="13">
        <f>F9*B9</f>
        <v>189.52500000000001</v>
      </c>
      <c r="H9" s="19"/>
      <c r="I9" s="19"/>
      <c r="J9" s="18"/>
      <c r="K9" s="18"/>
      <c r="L9" s="18"/>
      <c r="M9" s="18"/>
      <c r="N9" s="18"/>
      <c r="O9" s="19"/>
      <c r="P9" s="19"/>
      <c r="Q9" s="19"/>
      <c r="R9" s="19"/>
      <c r="S9" s="19"/>
      <c r="T9" s="19"/>
      <c r="U9" s="18">
        <v>0.48</v>
      </c>
      <c r="V9" s="18">
        <f>B9</f>
        <v>285</v>
      </c>
      <c r="W9" s="18">
        <f t="shared" si="0"/>
        <v>136.79999999999998</v>
      </c>
      <c r="X9" s="18">
        <f>W9*1.8</f>
        <v>246.23999999999998</v>
      </c>
      <c r="Y9" s="18"/>
      <c r="Z9" s="18"/>
      <c r="AA9" s="18"/>
      <c r="AB9" s="18">
        <f>(0.15+0.05)/2</f>
        <v>0.1</v>
      </c>
      <c r="AC9" s="18">
        <v>101.31</v>
      </c>
      <c r="AD9" s="20">
        <f>AC9*AB9</f>
        <v>10.131</v>
      </c>
      <c r="AE9" s="18"/>
      <c r="AF9" s="18"/>
      <c r="AG9" s="18"/>
      <c r="AH9" s="18"/>
      <c r="AI9" s="18"/>
      <c r="AJ9" s="18"/>
      <c r="AM9" t="s">
        <v>308</v>
      </c>
      <c r="AN9" s="23" t="s">
        <v>330</v>
      </c>
    </row>
    <row r="10" spans="1:40" ht="15.6" customHeight="1" x14ac:dyDescent="0.25">
      <c r="A10" s="8" t="s">
        <v>6</v>
      </c>
      <c r="B10" s="6">
        <v>184</v>
      </c>
      <c r="C10" s="13">
        <f>0.33</f>
        <v>0.33</v>
      </c>
      <c r="D10" s="13">
        <f t="shared" ref="D10:D35" si="1">C10-0.09</f>
        <v>0.24000000000000002</v>
      </c>
      <c r="E10" s="11">
        <v>-0.39500000000000002</v>
      </c>
      <c r="F10" s="11">
        <f t="shared" ref="F10:F59" si="2">D10-E10</f>
        <v>0.63500000000000001</v>
      </c>
      <c r="G10" s="13">
        <f t="shared" ref="G10:G59" si="3">F10*B10</f>
        <v>116.84</v>
      </c>
      <c r="H10" s="13"/>
      <c r="I10" s="13"/>
      <c r="J10" s="20"/>
      <c r="K10" s="20"/>
      <c r="L10" s="20"/>
      <c r="M10" s="20"/>
      <c r="N10" s="20"/>
      <c r="O10" s="13"/>
      <c r="P10" s="13"/>
      <c r="Q10" s="13"/>
      <c r="R10" s="13"/>
      <c r="S10" s="13"/>
      <c r="T10" s="13"/>
      <c r="U10" s="20">
        <v>0.48</v>
      </c>
      <c r="V10" s="18">
        <f t="shared" ref="V10:V35" si="4">B10</f>
        <v>184</v>
      </c>
      <c r="W10" s="18">
        <f t="shared" si="0"/>
        <v>88.32</v>
      </c>
      <c r="X10" s="18">
        <f t="shared" ref="X10:X35" si="5">W10*1.8</f>
        <v>158.976</v>
      </c>
      <c r="Y10" s="20"/>
      <c r="Z10" s="20"/>
      <c r="AA10" s="20"/>
      <c r="AB10" s="20"/>
      <c r="AC10" s="20"/>
      <c r="AD10" s="20"/>
      <c r="AE10" s="18"/>
      <c r="AF10" s="18"/>
      <c r="AG10" s="18"/>
      <c r="AH10" s="18"/>
      <c r="AI10" s="18"/>
      <c r="AJ10" s="18"/>
      <c r="AM10" s="48" t="s">
        <v>309</v>
      </c>
      <c r="AN10" s="47" t="s">
        <v>333</v>
      </c>
    </row>
    <row r="11" spans="1:40" ht="15.6" customHeight="1" x14ac:dyDescent="0.25">
      <c r="A11" s="8" t="s">
        <v>7</v>
      </c>
      <c r="B11" s="6">
        <v>193</v>
      </c>
      <c r="C11" s="13">
        <f>0.29</f>
        <v>0.28999999999999998</v>
      </c>
      <c r="D11" s="13">
        <f t="shared" si="1"/>
        <v>0.19999999999999998</v>
      </c>
      <c r="E11" s="11">
        <v>-0.5</v>
      </c>
      <c r="F11" s="11">
        <f t="shared" si="2"/>
        <v>0.7</v>
      </c>
      <c r="G11" s="13">
        <f t="shared" si="3"/>
        <v>135.1</v>
      </c>
      <c r="H11" s="13"/>
      <c r="I11" s="13"/>
      <c r="J11" s="20"/>
      <c r="K11" s="20"/>
      <c r="L11" s="20"/>
      <c r="M11" s="20"/>
      <c r="N11" s="20"/>
      <c r="O11" s="13"/>
      <c r="P11" s="13"/>
      <c r="Q11" s="13"/>
      <c r="R11" s="13"/>
      <c r="S11" s="13"/>
      <c r="T11" s="13"/>
      <c r="U11" s="20">
        <v>0.51</v>
      </c>
      <c r="V11" s="18">
        <f t="shared" si="4"/>
        <v>193</v>
      </c>
      <c r="W11" s="18">
        <f t="shared" si="0"/>
        <v>98.43</v>
      </c>
      <c r="X11" s="18">
        <f t="shared" si="5"/>
        <v>177.17400000000001</v>
      </c>
      <c r="Y11" s="20"/>
      <c r="Z11" s="20"/>
      <c r="AA11" s="20"/>
      <c r="AB11" s="18">
        <f t="shared" ref="AB11:AB29" si="6">(0.15+0.05)/2</f>
        <v>0.1</v>
      </c>
      <c r="AC11" s="20">
        <f>16.779+14.634</f>
        <v>31.413</v>
      </c>
      <c r="AD11" s="20">
        <f>AC11*AB11</f>
        <v>3.1413000000000002</v>
      </c>
      <c r="AE11" s="18"/>
      <c r="AF11" s="18"/>
      <c r="AG11" s="18"/>
      <c r="AH11" s="18"/>
      <c r="AI11" s="18"/>
      <c r="AJ11" s="18"/>
      <c r="AM11" s="48"/>
      <c r="AN11" s="47"/>
    </row>
    <row r="12" spans="1:40" ht="15.6" customHeight="1" x14ac:dyDescent="0.25">
      <c r="A12" s="8" t="s">
        <v>8</v>
      </c>
      <c r="B12" s="6">
        <v>240</v>
      </c>
      <c r="C12" s="13">
        <f>0.15</f>
        <v>0.15</v>
      </c>
      <c r="D12" s="13">
        <f t="shared" si="1"/>
        <v>0.06</v>
      </c>
      <c r="E12" s="11">
        <v>-0.54</v>
      </c>
      <c r="F12" s="11">
        <f t="shared" si="2"/>
        <v>0.60000000000000009</v>
      </c>
      <c r="G12" s="13">
        <f t="shared" si="3"/>
        <v>144.00000000000003</v>
      </c>
      <c r="H12" s="13"/>
      <c r="I12" s="13"/>
      <c r="J12" s="20"/>
      <c r="K12" s="20"/>
      <c r="L12" s="20"/>
      <c r="M12" s="20"/>
      <c r="N12" s="20"/>
      <c r="O12" s="13"/>
      <c r="P12" s="13"/>
      <c r="Q12" s="13"/>
      <c r="R12" s="13"/>
      <c r="S12" s="13"/>
      <c r="T12" s="13"/>
      <c r="U12" s="20">
        <v>0.48</v>
      </c>
      <c r="V12" s="18">
        <f t="shared" si="4"/>
        <v>240</v>
      </c>
      <c r="W12" s="18">
        <f t="shared" si="0"/>
        <v>115.19999999999999</v>
      </c>
      <c r="X12" s="18">
        <f t="shared" si="5"/>
        <v>207.35999999999999</v>
      </c>
      <c r="Y12" s="20"/>
      <c r="Z12" s="20"/>
      <c r="AA12" s="20"/>
      <c r="AB12" s="18">
        <f>(0.15+0.05)/2</f>
        <v>0.1</v>
      </c>
      <c r="AC12" s="20">
        <f>28.9+19.788+51.586</f>
        <v>100.274</v>
      </c>
      <c r="AD12" s="20">
        <f>AC12*AB12</f>
        <v>10.0274</v>
      </c>
      <c r="AE12" s="18"/>
      <c r="AF12" s="18"/>
      <c r="AG12" s="18"/>
      <c r="AH12" s="18"/>
      <c r="AI12" s="18"/>
      <c r="AJ12" s="18"/>
      <c r="AM12" s="48" t="s">
        <v>310</v>
      </c>
      <c r="AN12" s="47" t="s">
        <v>334</v>
      </c>
    </row>
    <row r="13" spans="1:40" ht="15.6" customHeight="1" x14ac:dyDescent="0.25">
      <c r="A13" s="8" t="s">
        <v>9</v>
      </c>
      <c r="B13" s="6">
        <v>203</v>
      </c>
      <c r="C13" s="13">
        <f>0.18</f>
        <v>0.18</v>
      </c>
      <c r="D13" s="13">
        <f t="shared" si="1"/>
        <v>0.09</v>
      </c>
      <c r="E13" s="11">
        <v>-0.55000000000000004</v>
      </c>
      <c r="F13" s="11">
        <f t="shared" si="2"/>
        <v>0.64</v>
      </c>
      <c r="G13" s="13">
        <f t="shared" si="3"/>
        <v>129.92000000000002</v>
      </c>
      <c r="H13" s="13"/>
      <c r="I13" s="13"/>
      <c r="J13" s="20"/>
      <c r="K13" s="20"/>
      <c r="L13" s="20"/>
      <c r="M13" s="20"/>
      <c r="N13" s="20"/>
      <c r="O13" s="13"/>
      <c r="P13" s="13"/>
      <c r="Q13" s="13"/>
      <c r="R13" s="13"/>
      <c r="S13" s="13"/>
      <c r="T13" s="13"/>
      <c r="U13" s="20">
        <v>0.48</v>
      </c>
      <c r="V13" s="18">
        <f t="shared" si="4"/>
        <v>203</v>
      </c>
      <c r="W13" s="18">
        <f t="shared" si="0"/>
        <v>97.44</v>
      </c>
      <c r="X13" s="18">
        <f t="shared" si="5"/>
        <v>175.392</v>
      </c>
      <c r="Y13" s="20"/>
      <c r="Z13" s="20"/>
      <c r="AA13" s="20"/>
      <c r="AB13" s="18">
        <f>(0.15+0.05)/2</f>
        <v>0.1</v>
      </c>
      <c r="AC13" s="20">
        <f>30.39+29.544</f>
        <v>59.933999999999997</v>
      </c>
      <c r="AD13" s="20">
        <f>AC13*AB13</f>
        <v>5.9934000000000003</v>
      </c>
      <c r="AE13" s="18"/>
      <c r="AF13" s="18"/>
      <c r="AG13" s="18"/>
      <c r="AH13" s="18"/>
      <c r="AI13" s="18"/>
      <c r="AJ13" s="18"/>
      <c r="AM13" s="48"/>
      <c r="AN13" s="47"/>
    </row>
    <row r="14" spans="1:40" ht="15.6" customHeight="1" x14ac:dyDescent="0.25">
      <c r="A14" s="8" t="s">
        <v>10</v>
      </c>
      <c r="B14" s="6">
        <v>459</v>
      </c>
      <c r="C14" s="13">
        <f>0.25</f>
        <v>0.25</v>
      </c>
      <c r="D14" s="13">
        <f t="shared" si="1"/>
        <v>0.16</v>
      </c>
      <c r="E14" s="11">
        <v>-0.52500000000000002</v>
      </c>
      <c r="F14" s="11">
        <f>D14-E14</f>
        <v>0.68500000000000005</v>
      </c>
      <c r="G14" s="13">
        <f t="shared" si="3"/>
        <v>314.41500000000002</v>
      </c>
      <c r="H14" s="13"/>
      <c r="I14" s="13"/>
      <c r="J14" s="20"/>
      <c r="K14" s="20"/>
      <c r="L14" s="20"/>
      <c r="M14" s="20"/>
      <c r="N14" s="20"/>
      <c r="O14" s="13"/>
      <c r="P14" s="13"/>
      <c r="Q14" s="13"/>
      <c r="R14" s="13"/>
      <c r="S14" s="13"/>
      <c r="T14" s="13"/>
      <c r="U14" s="20">
        <v>0.44</v>
      </c>
      <c r="V14" s="18">
        <f t="shared" si="4"/>
        <v>459</v>
      </c>
      <c r="W14" s="18">
        <f t="shared" si="0"/>
        <v>201.96</v>
      </c>
      <c r="X14" s="18">
        <f t="shared" si="5"/>
        <v>363.52800000000002</v>
      </c>
      <c r="Y14" s="20"/>
      <c r="Z14" s="20"/>
      <c r="AA14" s="20"/>
      <c r="AB14" s="18">
        <f t="shared" si="6"/>
        <v>0.1</v>
      </c>
      <c r="AC14" s="20">
        <f>62.732+57.07</f>
        <v>119.80199999999999</v>
      </c>
      <c r="AD14" s="20">
        <f>AC14*AB14</f>
        <v>11.9802</v>
      </c>
      <c r="AE14" s="18"/>
      <c r="AF14" s="18"/>
      <c r="AG14" s="18"/>
      <c r="AH14" s="18"/>
      <c r="AI14" s="18"/>
      <c r="AJ14" s="18"/>
      <c r="AM14" s="48"/>
      <c r="AN14" s="47"/>
    </row>
    <row r="15" spans="1:40" ht="15.6" customHeight="1" x14ac:dyDescent="0.25">
      <c r="A15" s="8" t="s">
        <v>11</v>
      </c>
      <c r="B15" s="6">
        <v>158</v>
      </c>
      <c r="C15" s="13">
        <f>0.11</f>
        <v>0.11</v>
      </c>
      <c r="D15" s="13">
        <f t="shared" si="1"/>
        <v>2.0000000000000004E-2</v>
      </c>
      <c r="E15" s="11">
        <v>-0.625</v>
      </c>
      <c r="F15" s="11">
        <f t="shared" si="2"/>
        <v>0.64500000000000002</v>
      </c>
      <c r="G15" s="13">
        <f t="shared" si="3"/>
        <v>101.91</v>
      </c>
      <c r="H15" s="13"/>
      <c r="I15" s="13"/>
      <c r="J15" s="20"/>
      <c r="K15" s="20"/>
      <c r="L15" s="20"/>
      <c r="M15" s="20"/>
      <c r="N15" s="20"/>
      <c r="O15" s="13"/>
      <c r="P15" s="13"/>
      <c r="Q15" s="13"/>
      <c r="R15" s="13"/>
      <c r="S15" s="13"/>
      <c r="T15" s="13"/>
      <c r="U15" s="20">
        <v>0.4</v>
      </c>
      <c r="V15" s="18">
        <f t="shared" si="4"/>
        <v>158</v>
      </c>
      <c r="W15" s="18">
        <f t="shared" si="0"/>
        <v>63.2</v>
      </c>
      <c r="X15" s="18">
        <f t="shared" si="5"/>
        <v>113.76</v>
      </c>
      <c r="Y15" s="20"/>
      <c r="Z15" s="20"/>
      <c r="AA15" s="20"/>
      <c r="AB15" s="20"/>
      <c r="AC15" s="20"/>
      <c r="AD15" s="20"/>
      <c r="AE15" s="18"/>
      <c r="AF15" s="18"/>
      <c r="AG15" s="18"/>
      <c r="AH15" s="18"/>
      <c r="AI15" s="18"/>
      <c r="AJ15" s="18"/>
      <c r="AM15" t="s">
        <v>311</v>
      </c>
      <c r="AN15" s="23" t="s">
        <v>331</v>
      </c>
    </row>
    <row r="16" spans="1:40" ht="15.6" customHeight="1" x14ac:dyDescent="0.25">
      <c r="A16" s="8" t="s">
        <v>25</v>
      </c>
      <c r="B16" s="6">
        <v>474</v>
      </c>
      <c r="C16" s="13">
        <f>-0.01</f>
        <v>-0.01</v>
      </c>
      <c r="D16" s="13">
        <f t="shared" si="1"/>
        <v>-9.9999999999999992E-2</v>
      </c>
      <c r="E16" s="11">
        <v>-0.73499999999999999</v>
      </c>
      <c r="F16" s="11">
        <f t="shared" si="2"/>
        <v>0.63500000000000001</v>
      </c>
      <c r="G16" s="13">
        <f t="shared" si="3"/>
        <v>300.99</v>
      </c>
      <c r="H16" s="13"/>
      <c r="I16" s="13"/>
      <c r="J16" s="20"/>
      <c r="K16" s="20"/>
      <c r="L16" s="20"/>
      <c r="M16" s="20"/>
      <c r="N16" s="20"/>
      <c r="O16" s="13"/>
      <c r="P16" s="13"/>
      <c r="Q16" s="13"/>
      <c r="R16" s="13"/>
      <c r="S16" s="13"/>
      <c r="T16" s="13"/>
      <c r="U16" s="20">
        <v>0.39</v>
      </c>
      <c r="V16" s="18">
        <f t="shared" si="4"/>
        <v>474</v>
      </c>
      <c r="W16" s="18">
        <f t="shared" si="0"/>
        <v>184.86</v>
      </c>
      <c r="X16" s="18">
        <f t="shared" si="5"/>
        <v>332.74800000000005</v>
      </c>
      <c r="Y16" s="20"/>
      <c r="Z16" s="20"/>
      <c r="AA16" s="20"/>
      <c r="AB16" s="18">
        <f>(0.15+0.05)/2</f>
        <v>0.1</v>
      </c>
      <c r="AC16" s="20">
        <v>93.037999999999997</v>
      </c>
      <c r="AD16" s="20">
        <f>AC16*AB16</f>
        <v>9.3038000000000007</v>
      </c>
      <c r="AE16" s="18"/>
      <c r="AF16" s="18"/>
      <c r="AG16" s="18"/>
      <c r="AH16" s="18"/>
      <c r="AI16" s="18"/>
      <c r="AJ16" s="18"/>
      <c r="AM16" s="50" t="s">
        <v>312</v>
      </c>
      <c r="AN16" s="49" t="s">
        <v>335</v>
      </c>
    </row>
    <row r="17" spans="1:40" ht="15.6" customHeight="1" x14ac:dyDescent="0.25">
      <c r="A17" s="8" t="s">
        <v>26</v>
      </c>
      <c r="B17" s="6">
        <v>172</v>
      </c>
      <c r="C17" s="13">
        <f>-0.06</f>
        <v>-0.06</v>
      </c>
      <c r="D17" s="13">
        <f t="shared" si="1"/>
        <v>-0.15</v>
      </c>
      <c r="E17" s="11">
        <v>-0.79500000000000004</v>
      </c>
      <c r="F17" s="11">
        <f t="shared" si="2"/>
        <v>0.64500000000000002</v>
      </c>
      <c r="G17" s="13">
        <f t="shared" si="3"/>
        <v>110.94</v>
      </c>
      <c r="H17" s="13"/>
      <c r="I17" s="13"/>
      <c r="J17" s="20"/>
      <c r="K17" s="20"/>
      <c r="L17" s="20"/>
      <c r="M17" s="20"/>
      <c r="N17" s="20"/>
      <c r="O17" s="13"/>
      <c r="P17" s="13"/>
      <c r="Q17" s="13"/>
      <c r="R17" s="13"/>
      <c r="S17" s="13"/>
      <c r="T17" s="13"/>
      <c r="U17" s="20">
        <v>0.39</v>
      </c>
      <c r="V17" s="18">
        <f t="shared" si="4"/>
        <v>172</v>
      </c>
      <c r="W17" s="18">
        <f t="shared" si="0"/>
        <v>67.08</v>
      </c>
      <c r="X17" s="18">
        <f t="shared" si="5"/>
        <v>120.744</v>
      </c>
      <c r="Y17" s="20"/>
      <c r="Z17" s="20"/>
      <c r="AA17" s="20"/>
      <c r="AB17" s="18">
        <f t="shared" si="6"/>
        <v>0.1</v>
      </c>
      <c r="AC17" s="20">
        <v>21.219000000000001</v>
      </c>
      <c r="AD17" s="20">
        <f t="shared" ref="AD17:AD25" si="7">AB17*AC17</f>
        <v>2.1219000000000001</v>
      </c>
      <c r="AE17" s="18"/>
      <c r="AF17" s="18"/>
      <c r="AG17" s="18"/>
      <c r="AH17" s="18"/>
      <c r="AI17" s="18"/>
      <c r="AJ17" s="18"/>
      <c r="AM17" s="50"/>
      <c r="AN17" s="49"/>
    </row>
    <row r="18" spans="1:40" ht="15.6" customHeight="1" x14ac:dyDescent="0.25">
      <c r="A18" s="8" t="s">
        <v>12</v>
      </c>
      <c r="B18" s="6">
        <v>174</v>
      </c>
      <c r="C18" s="13">
        <f>-0.06</f>
        <v>-0.06</v>
      </c>
      <c r="D18" s="13">
        <f t="shared" si="1"/>
        <v>-0.15</v>
      </c>
      <c r="E18" s="11">
        <v>-0.995</v>
      </c>
      <c r="F18" s="11">
        <f t="shared" si="2"/>
        <v>0.84499999999999997</v>
      </c>
      <c r="G18" s="13">
        <f t="shared" si="3"/>
        <v>147.03</v>
      </c>
      <c r="H18" s="13"/>
      <c r="I18" s="13"/>
      <c r="J18" s="20"/>
      <c r="K18" s="20"/>
      <c r="L18" s="20"/>
      <c r="M18" s="20"/>
      <c r="N18" s="20"/>
      <c r="O18" s="13"/>
      <c r="P18" s="13"/>
      <c r="Q18" s="13"/>
      <c r="R18" s="13"/>
      <c r="S18" s="13"/>
      <c r="T18" s="13"/>
      <c r="U18" s="20">
        <v>0.68</v>
      </c>
      <c r="V18" s="18">
        <f t="shared" si="4"/>
        <v>174</v>
      </c>
      <c r="W18" s="18">
        <f t="shared" si="0"/>
        <v>118.32000000000001</v>
      </c>
      <c r="X18" s="18">
        <f t="shared" si="5"/>
        <v>212.97600000000003</v>
      </c>
      <c r="Y18" s="20"/>
      <c r="Z18" s="20"/>
      <c r="AA18" s="20"/>
      <c r="AB18" s="18">
        <f t="shared" si="6"/>
        <v>0.1</v>
      </c>
      <c r="AC18" s="20">
        <v>21.048999999999999</v>
      </c>
      <c r="AD18" s="20">
        <f t="shared" si="7"/>
        <v>2.1049000000000002</v>
      </c>
      <c r="AE18" s="18"/>
      <c r="AF18" s="18"/>
      <c r="AG18" s="18"/>
      <c r="AH18" s="18"/>
      <c r="AI18" s="18"/>
      <c r="AJ18" s="18"/>
      <c r="AM18" t="s">
        <v>313</v>
      </c>
      <c r="AN18" s="23" t="s">
        <v>615</v>
      </c>
    </row>
    <row r="19" spans="1:40" ht="15.6" customHeight="1" x14ac:dyDescent="0.25">
      <c r="A19" s="8" t="s">
        <v>13</v>
      </c>
      <c r="B19" s="6">
        <v>177</v>
      </c>
      <c r="C19" s="13">
        <f>-0.07</f>
        <v>-7.0000000000000007E-2</v>
      </c>
      <c r="D19" s="13">
        <f t="shared" si="1"/>
        <v>-0.16</v>
      </c>
      <c r="E19" s="11">
        <v>-0.97</v>
      </c>
      <c r="F19" s="11">
        <f t="shared" si="2"/>
        <v>0.80999999999999994</v>
      </c>
      <c r="G19" s="13">
        <f t="shared" si="3"/>
        <v>143.36999999999998</v>
      </c>
      <c r="H19" s="13"/>
      <c r="I19" s="13"/>
      <c r="J19" s="20"/>
      <c r="K19" s="20"/>
      <c r="L19" s="20"/>
      <c r="M19" s="20"/>
      <c r="N19" s="20"/>
      <c r="O19" s="13"/>
      <c r="P19" s="13"/>
      <c r="Q19" s="13"/>
      <c r="R19" s="13"/>
      <c r="S19" s="13"/>
      <c r="T19" s="13"/>
      <c r="U19" s="20">
        <v>0.68</v>
      </c>
      <c r="V19" s="18">
        <f t="shared" si="4"/>
        <v>177</v>
      </c>
      <c r="W19" s="18">
        <f t="shared" si="0"/>
        <v>120.36000000000001</v>
      </c>
      <c r="X19" s="18">
        <f t="shared" si="5"/>
        <v>216.64800000000002</v>
      </c>
      <c r="Y19" s="20"/>
      <c r="Z19" s="20"/>
      <c r="AA19" s="20"/>
      <c r="AB19" s="18">
        <f t="shared" si="6"/>
        <v>0.1</v>
      </c>
      <c r="AC19" s="20">
        <f>28.306+3.967</f>
        <v>32.273000000000003</v>
      </c>
      <c r="AD19" s="20">
        <f t="shared" si="7"/>
        <v>3.2273000000000005</v>
      </c>
      <c r="AE19" s="18"/>
      <c r="AF19" s="18"/>
      <c r="AG19" s="18"/>
      <c r="AH19" s="18"/>
      <c r="AI19" s="18"/>
      <c r="AJ19" s="18"/>
      <c r="AM19" t="s">
        <v>314</v>
      </c>
      <c r="AN19" s="23" t="s">
        <v>332</v>
      </c>
    </row>
    <row r="20" spans="1:40" ht="15.6" customHeight="1" x14ac:dyDescent="0.25">
      <c r="A20" s="8" t="s">
        <v>14</v>
      </c>
      <c r="B20" s="6">
        <v>180</v>
      </c>
      <c r="C20" s="13">
        <f>-0.17</f>
        <v>-0.17</v>
      </c>
      <c r="D20" s="13">
        <f t="shared" si="1"/>
        <v>-0.26</v>
      </c>
      <c r="E20" s="11">
        <v>-1.1000000000000001</v>
      </c>
      <c r="F20" s="11">
        <f t="shared" si="2"/>
        <v>0.84000000000000008</v>
      </c>
      <c r="G20" s="13">
        <f t="shared" si="3"/>
        <v>151.20000000000002</v>
      </c>
      <c r="H20" s="13"/>
      <c r="I20" s="13"/>
      <c r="J20" s="20"/>
      <c r="K20" s="20"/>
      <c r="L20" s="20"/>
      <c r="M20" s="20"/>
      <c r="N20" s="20"/>
      <c r="O20" s="13"/>
      <c r="P20" s="13"/>
      <c r="Q20" s="13"/>
      <c r="R20" s="13"/>
      <c r="S20" s="13"/>
      <c r="T20" s="13"/>
      <c r="U20" s="20">
        <v>0.68</v>
      </c>
      <c r="V20" s="18">
        <f t="shared" si="4"/>
        <v>180</v>
      </c>
      <c r="W20" s="18">
        <f t="shared" si="0"/>
        <v>122.4</v>
      </c>
      <c r="X20" s="18">
        <f t="shared" si="5"/>
        <v>220.32000000000002</v>
      </c>
      <c r="Y20" s="20"/>
      <c r="Z20" s="20"/>
      <c r="AA20" s="20"/>
      <c r="AB20" s="18">
        <f>(0.15+0.05)/2</f>
        <v>0.1</v>
      </c>
      <c r="AC20" s="20">
        <f>14.427+30.489</f>
        <v>44.915999999999997</v>
      </c>
      <c r="AD20" s="20">
        <f t="shared" si="7"/>
        <v>4.4916</v>
      </c>
      <c r="AE20" s="18"/>
      <c r="AF20" s="18"/>
      <c r="AG20" s="18"/>
      <c r="AH20" s="18"/>
      <c r="AI20" s="18"/>
      <c r="AJ20" s="18"/>
      <c r="AM20" t="s">
        <v>338</v>
      </c>
      <c r="AN20" s="23" t="s">
        <v>339</v>
      </c>
    </row>
    <row r="21" spans="1:40" ht="15.6" customHeight="1" x14ac:dyDescent="0.25">
      <c r="A21" s="8" t="s">
        <v>15</v>
      </c>
      <c r="B21" s="6">
        <v>1447</v>
      </c>
      <c r="C21" s="13">
        <f>-0.26</f>
        <v>-0.26</v>
      </c>
      <c r="D21" s="13">
        <f t="shared" si="1"/>
        <v>-0.35</v>
      </c>
      <c r="E21" s="11">
        <v>-0.9</v>
      </c>
      <c r="F21" s="11">
        <f t="shared" si="2"/>
        <v>0.55000000000000004</v>
      </c>
      <c r="G21" s="13">
        <f t="shared" si="3"/>
        <v>795.85</v>
      </c>
      <c r="H21" s="13"/>
      <c r="I21" s="13"/>
      <c r="J21" s="20"/>
      <c r="K21" s="20"/>
      <c r="L21" s="20"/>
      <c r="M21" s="20"/>
      <c r="N21" s="20"/>
      <c r="O21" s="13"/>
      <c r="P21" s="13"/>
      <c r="Q21" s="13"/>
      <c r="R21" s="13"/>
      <c r="S21" s="13"/>
      <c r="T21" s="13"/>
      <c r="U21" s="20">
        <v>0.3</v>
      </c>
      <c r="V21" s="18">
        <f t="shared" si="4"/>
        <v>1447</v>
      </c>
      <c r="W21" s="18">
        <f t="shared" si="0"/>
        <v>434.09999999999997</v>
      </c>
      <c r="X21" s="18">
        <f t="shared" si="5"/>
        <v>781.38</v>
      </c>
      <c r="Y21" s="20"/>
      <c r="Z21" s="20"/>
      <c r="AA21" s="20"/>
      <c r="AB21" s="18">
        <f t="shared" si="6"/>
        <v>0.1</v>
      </c>
      <c r="AC21" s="20">
        <f>157.21+115.381+35.518</f>
        <v>308.10900000000004</v>
      </c>
      <c r="AD21" s="20">
        <f t="shared" si="7"/>
        <v>30.810900000000004</v>
      </c>
      <c r="AE21" s="18"/>
      <c r="AF21" s="18"/>
      <c r="AG21" s="18"/>
      <c r="AH21" s="18"/>
      <c r="AI21" s="18"/>
      <c r="AJ21" s="18"/>
      <c r="AM21" t="s">
        <v>525</v>
      </c>
      <c r="AN21" s="23" t="s">
        <v>558</v>
      </c>
    </row>
    <row r="22" spans="1:40" ht="15.6" customHeight="1" x14ac:dyDescent="0.25">
      <c r="A22" s="8" t="s">
        <v>16</v>
      </c>
      <c r="B22" s="6">
        <v>789</v>
      </c>
      <c r="C22" s="13">
        <f>-0.22</f>
        <v>-0.22</v>
      </c>
      <c r="D22" s="13">
        <f t="shared" si="1"/>
        <v>-0.31</v>
      </c>
      <c r="E22" s="11">
        <v>-0.9</v>
      </c>
      <c r="F22" s="11">
        <f t="shared" si="2"/>
        <v>0.59000000000000008</v>
      </c>
      <c r="G22" s="13">
        <f t="shared" si="3"/>
        <v>465.51000000000005</v>
      </c>
      <c r="H22" s="13"/>
      <c r="I22" s="13"/>
      <c r="J22" s="20"/>
      <c r="K22" s="20"/>
      <c r="L22" s="20"/>
      <c r="M22" s="20"/>
      <c r="N22" s="20"/>
      <c r="O22" s="13"/>
      <c r="P22" s="13"/>
      <c r="Q22" s="13"/>
      <c r="R22" s="13"/>
      <c r="S22" s="13"/>
      <c r="T22" s="13"/>
      <c r="U22" s="20">
        <v>0.35</v>
      </c>
      <c r="V22" s="18">
        <f t="shared" si="4"/>
        <v>789</v>
      </c>
      <c r="W22" s="18">
        <f t="shared" si="0"/>
        <v>276.14999999999998</v>
      </c>
      <c r="X22" s="18">
        <f t="shared" si="5"/>
        <v>497.07</v>
      </c>
      <c r="Y22" s="20"/>
      <c r="Z22" s="20"/>
      <c r="AA22" s="20"/>
      <c r="AB22" s="18">
        <f>(0.18+0.14)/2</f>
        <v>0.16</v>
      </c>
      <c r="AC22" s="20">
        <f>24.011+12.711+71.317+7.833+121.392+76.738</f>
        <v>314.00199999999995</v>
      </c>
      <c r="AD22" s="20">
        <f t="shared" si="7"/>
        <v>50.240319999999997</v>
      </c>
      <c r="AE22" s="18"/>
      <c r="AF22" s="18"/>
      <c r="AG22" s="18"/>
      <c r="AH22" s="18"/>
      <c r="AI22" s="18"/>
      <c r="AJ22" s="18"/>
      <c r="AM22" s="28" t="s">
        <v>354</v>
      </c>
      <c r="AN22" s="29" t="s">
        <v>526</v>
      </c>
    </row>
    <row r="23" spans="1:40" ht="15.6" customHeight="1" x14ac:dyDescent="0.25">
      <c r="A23" s="8" t="s">
        <v>17</v>
      </c>
      <c r="B23" s="6">
        <v>326</v>
      </c>
      <c r="C23" s="13">
        <f>-0.25</f>
        <v>-0.25</v>
      </c>
      <c r="D23" s="13">
        <f t="shared" si="1"/>
        <v>-0.33999999999999997</v>
      </c>
      <c r="E23" s="11">
        <v>-0.9</v>
      </c>
      <c r="F23" s="11">
        <f t="shared" si="2"/>
        <v>0.56000000000000005</v>
      </c>
      <c r="G23" s="13">
        <f t="shared" si="3"/>
        <v>182.56000000000003</v>
      </c>
      <c r="H23" s="13"/>
      <c r="I23" s="13"/>
      <c r="J23" s="20"/>
      <c r="K23" s="20"/>
      <c r="L23" s="20"/>
      <c r="M23" s="20"/>
      <c r="N23" s="20"/>
      <c r="O23" s="13"/>
      <c r="P23" s="13"/>
      <c r="Q23" s="13"/>
      <c r="R23" s="13"/>
      <c r="S23" s="13"/>
      <c r="T23" s="13"/>
      <c r="U23" s="20">
        <v>0.35</v>
      </c>
      <c r="V23" s="18">
        <f t="shared" si="4"/>
        <v>326</v>
      </c>
      <c r="W23" s="18">
        <f t="shared" si="0"/>
        <v>114.1</v>
      </c>
      <c r="X23" s="18">
        <f t="shared" si="5"/>
        <v>205.38</v>
      </c>
      <c r="Y23" s="20"/>
      <c r="Z23" s="20"/>
      <c r="AA23" s="20"/>
      <c r="AB23" s="18">
        <f t="shared" si="6"/>
        <v>0.1</v>
      </c>
      <c r="AC23" s="20">
        <f>93.347+94.245</f>
        <v>187.59199999999998</v>
      </c>
      <c r="AD23" s="20">
        <f t="shared" si="7"/>
        <v>18.7592</v>
      </c>
      <c r="AE23" s="18"/>
      <c r="AF23" s="18"/>
      <c r="AG23" s="18"/>
      <c r="AH23" s="18"/>
      <c r="AI23" s="18"/>
      <c r="AJ23" s="18"/>
      <c r="AM23" t="s">
        <v>617</v>
      </c>
      <c r="AN23" s="29" t="s">
        <v>616</v>
      </c>
    </row>
    <row r="24" spans="1:40" ht="15.6" customHeight="1" x14ac:dyDescent="0.25">
      <c r="A24" s="8" t="s">
        <v>18</v>
      </c>
      <c r="B24" s="6">
        <v>184</v>
      </c>
      <c r="C24" s="13">
        <f>-0.31</f>
        <v>-0.31</v>
      </c>
      <c r="D24" s="13">
        <f t="shared" si="1"/>
        <v>-0.4</v>
      </c>
      <c r="E24" s="11">
        <v>-0.9</v>
      </c>
      <c r="F24" s="11">
        <f t="shared" si="2"/>
        <v>0.5</v>
      </c>
      <c r="G24" s="13">
        <f t="shared" si="3"/>
        <v>92</v>
      </c>
      <c r="H24" s="13"/>
      <c r="I24" s="13"/>
      <c r="J24" s="20"/>
      <c r="K24" s="20"/>
      <c r="L24" s="20"/>
      <c r="M24" s="20"/>
      <c r="N24" s="20"/>
      <c r="O24" s="13"/>
      <c r="P24" s="13"/>
      <c r="Q24" s="13"/>
      <c r="R24" s="13"/>
      <c r="S24" s="13"/>
      <c r="T24" s="13"/>
      <c r="U24" s="20">
        <v>0.35</v>
      </c>
      <c r="V24" s="18">
        <f t="shared" si="4"/>
        <v>184</v>
      </c>
      <c r="W24" s="18">
        <f t="shared" si="0"/>
        <v>64.399999999999991</v>
      </c>
      <c r="X24" s="18">
        <f t="shared" si="5"/>
        <v>115.91999999999999</v>
      </c>
      <c r="Y24" s="20"/>
      <c r="Z24" s="20"/>
      <c r="AA24" s="20"/>
      <c r="AB24" s="18">
        <f t="shared" si="6"/>
        <v>0.1</v>
      </c>
      <c r="AC24" s="20">
        <f>27.494+16.59</f>
        <v>44.084000000000003</v>
      </c>
      <c r="AD24" s="20">
        <f t="shared" si="7"/>
        <v>4.4084000000000003</v>
      </c>
      <c r="AE24" s="18"/>
      <c r="AF24" s="18"/>
      <c r="AG24" s="18"/>
      <c r="AH24" s="18"/>
      <c r="AI24" s="18"/>
      <c r="AJ24" s="18"/>
      <c r="AM24" s="28" t="s">
        <v>556</v>
      </c>
      <c r="AN24" s="29" t="s">
        <v>557</v>
      </c>
    </row>
    <row r="25" spans="1:40" ht="15.6" customHeight="1" x14ac:dyDescent="0.25">
      <c r="A25" s="8" t="s">
        <v>19</v>
      </c>
      <c r="B25" s="6">
        <v>294</v>
      </c>
      <c r="C25" s="13">
        <f>-0.34</f>
        <v>-0.34</v>
      </c>
      <c r="D25" s="13">
        <f t="shared" si="1"/>
        <v>-0.43000000000000005</v>
      </c>
      <c r="E25" s="11">
        <v>-0.9</v>
      </c>
      <c r="F25" s="11">
        <f t="shared" si="2"/>
        <v>0.47</v>
      </c>
      <c r="G25" s="13">
        <f t="shared" si="3"/>
        <v>138.17999999999998</v>
      </c>
      <c r="H25" s="13"/>
      <c r="I25" s="13"/>
      <c r="J25" s="20"/>
      <c r="K25" s="20"/>
      <c r="L25" s="20"/>
      <c r="M25" s="20"/>
      <c r="N25" s="20"/>
      <c r="O25" s="13"/>
      <c r="P25" s="13"/>
      <c r="Q25" s="13"/>
      <c r="R25" s="13"/>
      <c r="S25" s="13"/>
      <c r="T25" s="13"/>
      <c r="U25" s="20">
        <v>0.35</v>
      </c>
      <c r="V25" s="18">
        <f t="shared" si="4"/>
        <v>294</v>
      </c>
      <c r="W25" s="18">
        <f t="shared" si="0"/>
        <v>102.89999999999999</v>
      </c>
      <c r="X25" s="18">
        <f t="shared" si="5"/>
        <v>185.22</v>
      </c>
      <c r="Y25" s="20"/>
      <c r="Z25" s="20"/>
      <c r="AA25" s="20"/>
      <c r="AB25" s="18">
        <f t="shared" si="6"/>
        <v>0.1</v>
      </c>
      <c r="AC25" s="20">
        <v>115.98399999999999</v>
      </c>
      <c r="AD25" s="20">
        <f t="shared" si="7"/>
        <v>11.5984</v>
      </c>
      <c r="AE25" s="18"/>
      <c r="AF25" s="18"/>
      <c r="AG25" s="18"/>
      <c r="AH25" s="18"/>
      <c r="AI25" s="18"/>
      <c r="AJ25" s="18"/>
      <c r="AM25" t="s">
        <v>568</v>
      </c>
      <c r="AN25" s="23" t="s">
        <v>569</v>
      </c>
    </row>
    <row r="26" spans="1:40" ht="15.6" customHeight="1" x14ac:dyDescent="0.25">
      <c r="A26" s="8" t="s">
        <v>20</v>
      </c>
      <c r="B26" s="6">
        <v>528</v>
      </c>
      <c r="C26" s="13">
        <f>-0.34</f>
        <v>-0.34</v>
      </c>
      <c r="D26" s="13">
        <f t="shared" si="1"/>
        <v>-0.43000000000000005</v>
      </c>
      <c r="E26" s="11">
        <v>-0.9</v>
      </c>
      <c r="F26" s="11">
        <f t="shared" si="2"/>
        <v>0.47</v>
      </c>
      <c r="G26" s="13">
        <f t="shared" si="3"/>
        <v>248.16</v>
      </c>
      <c r="H26" s="13"/>
      <c r="I26" s="13"/>
      <c r="J26" s="20"/>
      <c r="K26" s="20"/>
      <c r="L26" s="20"/>
      <c r="M26" s="20"/>
      <c r="N26" s="20"/>
      <c r="O26" s="13"/>
      <c r="P26" s="13"/>
      <c r="Q26" s="13"/>
      <c r="R26" s="13"/>
      <c r="S26" s="13"/>
      <c r="T26" s="13"/>
      <c r="U26" s="20">
        <v>0.35</v>
      </c>
      <c r="V26" s="18">
        <f t="shared" si="4"/>
        <v>528</v>
      </c>
      <c r="W26" s="18">
        <f t="shared" si="0"/>
        <v>184.79999999999998</v>
      </c>
      <c r="X26" s="18">
        <f t="shared" si="5"/>
        <v>332.64</v>
      </c>
      <c r="Y26" s="20"/>
      <c r="Z26" s="20"/>
      <c r="AA26" s="20"/>
      <c r="AB26" s="18">
        <f t="shared" si="6"/>
        <v>0.1</v>
      </c>
      <c r="AC26" s="20">
        <f>59.557+62.13+30.62</f>
        <v>152.30700000000002</v>
      </c>
      <c r="AD26" s="20">
        <f t="shared" ref="AD26:AD29" si="8">AB26*AC26</f>
        <v>15.230700000000002</v>
      </c>
      <c r="AE26" s="18"/>
      <c r="AF26" s="18"/>
      <c r="AG26" s="18"/>
      <c r="AH26" s="18"/>
      <c r="AI26" s="18"/>
      <c r="AJ26" s="18"/>
      <c r="AM26" s="28" t="s">
        <v>570</v>
      </c>
      <c r="AN26" s="29" t="s">
        <v>571</v>
      </c>
    </row>
    <row r="27" spans="1:40" ht="15.6" customHeight="1" x14ac:dyDescent="0.25">
      <c r="A27" s="8" t="s">
        <v>21</v>
      </c>
      <c r="B27" s="6">
        <v>342</v>
      </c>
      <c r="C27" s="13">
        <f>-0.22</f>
        <v>-0.22</v>
      </c>
      <c r="D27" s="13">
        <f t="shared" si="1"/>
        <v>-0.31</v>
      </c>
      <c r="E27" s="11">
        <v>-0.9</v>
      </c>
      <c r="F27" s="11">
        <f t="shared" si="2"/>
        <v>0.59000000000000008</v>
      </c>
      <c r="G27" s="13">
        <f t="shared" si="3"/>
        <v>201.78000000000003</v>
      </c>
      <c r="H27" s="13"/>
      <c r="I27" s="13"/>
      <c r="J27" s="20"/>
      <c r="K27" s="20"/>
      <c r="L27" s="20"/>
      <c r="M27" s="20"/>
      <c r="N27" s="20"/>
      <c r="O27" s="13"/>
      <c r="P27" s="13"/>
      <c r="Q27" s="13"/>
      <c r="R27" s="13"/>
      <c r="S27" s="13"/>
      <c r="T27" s="13"/>
      <c r="U27" s="20">
        <v>0.28999999999999998</v>
      </c>
      <c r="V27" s="18">
        <f t="shared" si="4"/>
        <v>342</v>
      </c>
      <c r="W27" s="18">
        <f t="shared" si="0"/>
        <v>99.179999999999993</v>
      </c>
      <c r="X27" s="18">
        <f t="shared" si="5"/>
        <v>178.524</v>
      </c>
      <c r="Y27" s="20"/>
      <c r="Z27" s="20"/>
      <c r="AA27" s="20"/>
      <c r="AB27" s="18">
        <f t="shared" si="6"/>
        <v>0.1</v>
      </c>
      <c r="AC27" s="20">
        <v>132.90299999999999</v>
      </c>
      <c r="AD27" s="20">
        <f t="shared" si="8"/>
        <v>13.2903</v>
      </c>
      <c r="AE27" s="18"/>
      <c r="AF27" s="18"/>
      <c r="AG27" s="18"/>
      <c r="AH27" s="18"/>
      <c r="AI27" s="18"/>
      <c r="AJ27" s="18"/>
      <c r="AM27" s="28" t="s">
        <v>575</v>
      </c>
      <c r="AN27" s="29" t="s">
        <v>577</v>
      </c>
    </row>
    <row r="28" spans="1:40" ht="15.6" customHeight="1" x14ac:dyDescent="0.25">
      <c r="A28" s="8" t="s">
        <v>22</v>
      </c>
      <c r="B28" s="6">
        <v>630</v>
      </c>
      <c r="C28" s="13">
        <f>-0.22</f>
        <v>-0.22</v>
      </c>
      <c r="D28" s="13">
        <f t="shared" si="1"/>
        <v>-0.31</v>
      </c>
      <c r="E28" s="11">
        <v>-0.9</v>
      </c>
      <c r="F28" s="11">
        <f t="shared" si="2"/>
        <v>0.59000000000000008</v>
      </c>
      <c r="G28" s="13">
        <f t="shared" si="3"/>
        <v>371.70000000000005</v>
      </c>
      <c r="H28" s="13"/>
      <c r="I28" s="13"/>
      <c r="J28" s="20"/>
      <c r="K28" s="20"/>
      <c r="L28" s="20"/>
      <c r="M28" s="20"/>
      <c r="N28" s="20"/>
      <c r="O28" s="13"/>
      <c r="P28" s="13"/>
      <c r="Q28" s="13"/>
      <c r="R28" s="13"/>
      <c r="S28" s="13"/>
      <c r="T28" s="13"/>
      <c r="U28" s="20">
        <v>0.28999999999999998</v>
      </c>
      <c r="V28" s="18">
        <f t="shared" si="4"/>
        <v>630</v>
      </c>
      <c r="W28" s="18">
        <f t="shared" si="0"/>
        <v>182.7</v>
      </c>
      <c r="X28" s="18">
        <f t="shared" si="5"/>
        <v>328.86</v>
      </c>
      <c r="Y28" s="20"/>
      <c r="Z28" s="20"/>
      <c r="AA28" s="20"/>
      <c r="AB28" s="18">
        <f t="shared" si="6"/>
        <v>0.1</v>
      </c>
      <c r="AC28" s="20">
        <f>26.668+148.097+60.744</f>
        <v>235.50900000000001</v>
      </c>
      <c r="AD28" s="20">
        <f t="shared" si="8"/>
        <v>23.550900000000002</v>
      </c>
      <c r="AE28" s="18"/>
      <c r="AF28" s="18"/>
      <c r="AG28" s="18"/>
      <c r="AH28" s="18"/>
      <c r="AI28" s="18"/>
      <c r="AJ28" s="18"/>
      <c r="AM28" s="28" t="s">
        <v>576</v>
      </c>
      <c r="AN28" s="29" t="s">
        <v>578</v>
      </c>
    </row>
    <row r="29" spans="1:40" ht="15.6" customHeight="1" x14ac:dyDescent="0.25">
      <c r="A29" s="8" t="s">
        <v>23</v>
      </c>
      <c r="B29" s="6">
        <v>603</v>
      </c>
      <c r="C29" s="13">
        <f>-0.27</f>
        <v>-0.27</v>
      </c>
      <c r="D29" s="13">
        <f t="shared" si="1"/>
        <v>-0.36</v>
      </c>
      <c r="E29" s="11">
        <v>-0.9</v>
      </c>
      <c r="F29" s="11">
        <f t="shared" si="2"/>
        <v>0.54</v>
      </c>
      <c r="G29" s="13">
        <f t="shared" si="3"/>
        <v>325.62</v>
      </c>
      <c r="H29" s="13"/>
      <c r="I29" s="13"/>
      <c r="J29" s="20"/>
      <c r="K29" s="20"/>
      <c r="L29" s="20"/>
      <c r="M29" s="20"/>
      <c r="N29" s="20"/>
      <c r="O29" s="13"/>
      <c r="P29" s="13"/>
      <c r="Q29" s="13"/>
      <c r="R29" s="13"/>
      <c r="S29" s="13"/>
      <c r="T29" s="13"/>
      <c r="U29" s="20">
        <v>0.28999999999999998</v>
      </c>
      <c r="V29" s="18">
        <f t="shared" si="4"/>
        <v>603</v>
      </c>
      <c r="W29" s="18">
        <f t="shared" si="0"/>
        <v>174.86999999999998</v>
      </c>
      <c r="X29" s="18">
        <f t="shared" si="5"/>
        <v>314.76599999999996</v>
      </c>
      <c r="Y29" s="20"/>
      <c r="Z29" s="20"/>
      <c r="AA29" s="20"/>
      <c r="AB29" s="18">
        <f t="shared" si="6"/>
        <v>0.1</v>
      </c>
      <c r="AC29" s="20">
        <f>33.132+25.806+44.7+31.66</f>
        <v>135.298</v>
      </c>
      <c r="AD29" s="20">
        <f t="shared" si="8"/>
        <v>13.529800000000002</v>
      </c>
      <c r="AE29" s="18"/>
      <c r="AF29" s="18"/>
      <c r="AG29" s="18"/>
      <c r="AH29" s="18"/>
      <c r="AI29" s="18"/>
      <c r="AJ29" s="18"/>
      <c r="AM29" s="28" t="s">
        <v>638</v>
      </c>
      <c r="AN29" s="29" t="s">
        <v>639</v>
      </c>
    </row>
    <row r="30" spans="1:40" ht="15.6" customHeight="1" x14ac:dyDescent="0.25">
      <c r="A30" s="8" t="s">
        <v>24</v>
      </c>
      <c r="B30" s="6">
        <v>157</v>
      </c>
      <c r="C30" s="13">
        <f>-0.35</f>
        <v>-0.35</v>
      </c>
      <c r="D30" s="13">
        <f t="shared" si="1"/>
        <v>-0.43999999999999995</v>
      </c>
      <c r="E30" s="11">
        <v>-1.1499999999999999</v>
      </c>
      <c r="F30" s="11">
        <f t="shared" si="2"/>
        <v>0.71</v>
      </c>
      <c r="G30" s="13">
        <f t="shared" si="3"/>
        <v>111.47</v>
      </c>
      <c r="H30" s="13"/>
      <c r="I30" s="13"/>
      <c r="J30" s="20"/>
      <c r="K30" s="20"/>
      <c r="L30" s="20"/>
      <c r="M30" s="20"/>
      <c r="N30" s="20"/>
      <c r="O30" s="13"/>
      <c r="P30" s="13"/>
      <c r="Q30" s="13"/>
      <c r="R30" s="13"/>
      <c r="S30" s="13"/>
      <c r="T30" s="13"/>
      <c r="U30" s="20">
        <v>0.44</v>
      </c>
      <c r="V30" s="18">
        <f t="shared" si="4"/>
        <v>157</v>
      </c>
      <c r="W30" s="18">
        <f t="shared" si="0"/>
        <v>69.08</v>
      </c>
      <c r="X30" s="18">
        <f t="shared" si="5"/>
        <v>124.34399999999999</v>
      </c>
      <c r="Y30" s="20"/>
      <c r="Z30" s="20"/>
      <c r="AA30" s="20"/>
      <c r="AB30" s="20"/>
      <c r="AC30" s="20"/>
      <c r="AD30" s="20"/>
      <c r="AE30" s="18"/>
      <c r="AF30" s="18"/>
      <c r="AG30" s="18"/>
      <c r="AH30" s="18"/>
      <c r="AI30" s="18"/>
      <c r="AJ30" s="18"/>
    </row>
    <row r="31" spans="1:40" ht="15.6" customHeight="1" x14ac:dyDescent="0.25">
      <c r="A31" s="8" t="s">
        <v>254</v>
      </c>
      <c r="B31" s="6">
        <v>1077</v>
      </c>
      <c r="C31" s="13">
        <v>-0.31</v>
      </c>
      <c r="D31" s="13">
        <f t="shared" si="1"/>
        <v>-0.4</v>
      </c>
      <c r="E31" s="11">
        <v>-1.1499999999999999</v>
      </c>
      <c r="F31" s="11">
        <f t="shared" si="2"/>
        <v>0.74999999999999989</v>
      </c>
      <c r="G31" s="13">
        <f t="shared" si="3"/>
        <v>807.74999999999989</v>
      </c>
      <c r="H31" s="13"/>
      <c r="I31" s="13"/>
      <c r="J31" s="20"/>
      <c r="K31" s="20"/>
      <c r="L31" s="20"/>
      <c r="M31" s="20"/>
      <c r="N31" s="20"/>
      <c r="O31" s="13"/>
      <c r="P31" s="13"/>
      <c r="Q31" s="13"/>
      <c r="R31" s="13"/>
      <c r="S31" s="13"/>
      <c r="T31" s="13"/>
      <c r="U31" s="20">
        <v>0.44</v>
      </c>
      <c r="V31" s="18">
        <f t="shared" si="4"/>
        <v>1077</v>
      </c>
      <c r="W31" s="18">
        <f t="shared" si="0"/>
        <v>473.88</v>
      </c>
      <c r="X31" s="18">
        <f t="shared" si="5"/>
        <v>852.98400000000004</v>
      </c>
      <c r="Y31" s="20"/>
      <c r="Z31" s="20"/>
      <c r="AA31" s="20"/>
      <c r="AB31" s="20"/>
      <c r="AC31" s="20"/>
      <c r="AD31" s="20"/>
      <c r="AE31" s="18"/>
      <c r="AF31" s="18"/>
      <c r="AG31" s="18"/>
      <c r="AH31" s="18"/>
      <c r="AI31" s="18"/>
      <c r="AJ31" s="18"/>
    </row>
    <row r="32" spans="1:40" ht="15.6" customHeight="1" x14ac:dyDescent="0.25">
      <c r="A32" s="8" t="s">
        <v>119</v>
      </c>
      <c r="B32" s="13">
        <v>180</v>
      </c>
      <c r="C32" s="13">
        <v>0.32</v>
      </c>
      <c r="D32" s="13">
        <f t="shared" si="1"/>
        <v>0.23</v>
      </c>
      <c r="E32" s="11">
        <v>-0.28999999999999998</v>
      </c>
      <c r="F32" s="11">
        <f>D32-E32</f>
        <v>0.52</v>
      </c>
      <c r="G32" s="13">
        <f t="shared" ref="G32:G35" si="9">F32*B32</f>
        <v>93.600000000000009</v>
      </c>
      <c r="H32" s="13"/>
      <c r="I32" s="13"/>
      <c r="J32" s="20"/>
      <c r="K32" s="20"/>
      <c r="L32" s="20"/>
      <c r="M32" s="20"/>
      <c r="N32" s="20"/>
      <c r="O32" s="13"/>
      <c r="P32" s="13"/>
      <c r="Q32" s="13"/>
      <c r="R32" s="13"/>
      <c r="S32" s="13"/>
      <c r="T32" s="13"/>
      <c r="U32" s="20">
        <v>0.2</v>
      </c>
      <c r="V32" s="18">
        <f t="shared" si="4"/>
        <v>180</v>
      </c>
      <c r="W32" s="18">
        <f t="shared" si="0"/>
        <v>36</v>
      </c>
      <c r="X32" s="18">
        <f t="shared" si="5"/>
        <v>64.8</v>
      </c>
      <c r="Y32" s="20"/>
      <c r="Z32" s="20"/>
      <c r="AA32" s="20"/>
      <c r="AB32" s="18">
        <f>(0.28+0.22)/2</f>
        <v>0.25</v>
      </c>
      <c r="AC32" s="20">
        <f>B32</f>
        <v>180</v>
      </c>
      <c r="AD32" s="20">
        <f>AC32*AB32</f>
        <v>45</v>
      </c>
      <c r="AE32" s="18"/>
      <c r="AF32" s="18"/>
      <c r="AG32" s="18"/>
      <c r="AH32" s="18"/>
      <c r="AI32" s="18"/>
      <c r="AJ32" s="18"/>
    </row>
    <row r="33" spans="1:36" ht="15.6" customHeight="1" x14ac:dyDescent="0.25">
      <c r="A33" s="8" t="s">
        <v>120</v>
      </c>
      <c r="B33" s="13">
        <v>187</v>
      </c>
      <c r="C33" s="13">
        <v>0.27</v>
      </c>
      <c r="D33" s="13">
        <f t="shared" si="1"/>
        <v>0.18000000000000002</v>
      </c>
      <c r="E33" s="11">
        <v>-0.19</v>
      </c>
      <c r="F33" s="11">
        <f>D33-E33</f>
        <v>0.37</v>
      </c>
      <c r="G33" s="13">
        <f t="shared" si="9"/>
        <v>69.19</v>
      </c>
      <c r="H33" s="13"/>
      <c r="I33" s="13"/>
      <c r="J33" s="20"/>
      <c r="K33" s="20"/>
      <c r="L33" s="20"/>
      <c r="M33" s="20"/>
      <c r="N33" s="20"/>
      <c r="O33" s="13"/>
      <c r="P33" s="13"/>
      <c r="Q33" s="13"/>
      <c r="R33" s="13"/>
      <c r="S33" s="13"/>
      <c r="T33" s="13"/>
      <c r="U33" s="20">
        <v>0.2</v>
      </c>
      <c r="V33" s="18">
        <f t="shared" si="4"/>
        <v>187</v>
      </c>
      <c r="W33" s="18">
        <f t="shared" si="0"/>
        <v>37.4</v>
      </c>
      <c r="X33" s="18">
        <f t="shared" si="5"/>
        <v>67.319999999999993</v>
      </c>
      <c r="Y33" s="20"/>
      <c r="Z33" s="20"/>
      <c r="AA33" s="20"/>
      <c r="AB33" s="18">
        <f t="shared" ref="AB33:AB35" si="10">(0.28+0.22)/2</f>
        <v>0.25</v>
      </c>
      <c r="AC33" s="20">
        <f t="shared" ref="AC33:AC35" si="11">B33</f>
        <v>187</v>
      </c>
      <c r="AD33" s="20">
        <f t="shared" ref="AD33:AD35" si="12">AC33*AB33</f>
        <v>46.75</v>
      </c>
      <c r="AE33" s="18"/>
      <c r="AF33" s="18"/>
      <c r="AG33" s="18"/>
      <c r="AH33" s="18"/>
      <c r="AI33" s="18"/>
      <c r="AJ33" s="18"/>
    </row>
    <row r="34" spans="1:36" ht="15.6" customHeight="1" x14ac:dyDescent="0.25">
      <c r="A34" s="8" t="s">
        <v>121</v>
      </c>
      <c r="B34" s="13">
        <v>194</v>
      </c>
      <c r="C34" s="13">
        <v>-0.25</v>
      </c>
      <c r="D34" s="13">
        <f t="shared" si="1"/>
        <v>-0.33999999999999997</v>
      </c>
      <c r="E34" s="11">
        <v>-0.71</v>
      </c>
      <c r="F34" s="11">
        <f t="shared" ref="F34:F35" si="13">D34-E34</f>
        <v>0.37</v>
      </c>
      <c r="G34" s="13">
        <f t="shared" si="9"/>
        <v>71.78</v>
      </c>
      <c r="H34" s="13"/>
      <c r="I34" s="13"/>
      <c r="J34" s="20"/>
      <c r="K34" s="20"/>
      <c r="L34" s="20"/>
      <c r="M34" s="20"/>
      <c r="N34" s="20"/>
      <c r="O34" s="13"/>
      <c r="P34" s="13"/>
      <c r="Q34" s="13"/>
      <c r="R34" s="13"/>
      <c r="S34" s="13"/>
      <c r="T34" s="13"/>
      <c r="U34" s="20">
        <v>0.2</v>
      </c>
      <c r="V34" s="18">
        <f t="shared" si="4"/>
        <v>194</v>
      </c>
      <c r="W34" s="18">
        <f t="shared" si="0"/>
        <v>38.800000000000004</v>
      </c>
      <c r="X34" s="18">
        <f t="shared" si="5"/>
        <v>69.84</v>
      </c>
      <c r="Y34" s="20"/>
      <c r="Z34" s="20"/>
      <c r="AA34" s="20"/>
      <c r="AB34" s="18">
        <f t="shared" si="10"/>
        <v>0.25</v>
      </c>
      <c r="AC34" s="20">
        <f t="shared" si="11"/>
        <v>194</v>
      </c>
      <c r="AD34" s="20">
        <f t="shared" si="12"/>
        <v>48.5</v>
      </c>
      <c r="AE34" s="18"/>
      <c r="AF34" s="18"/>
      <c r="AG34" s="18"/>
      <c r="AH34" s="18"/>
      <c r="AI34" s="18"/>
      <c r="AJ34" s="18"/>
    </row>
    <row r="35" spans="1:36" ht="15.6" customHeight="1" x14ac:dyDescent="0.25">
      <c r="A35" s="8" t="s">
        <v>122</v>
      </c>
      <c r="B35" s="13">
        <v>237</v>
      </c>
      <c r="C35" s="13">
        <v>-0.22</v>
      </c>
      <c r="D35" s="13">
        <f t="shared" si="1"/>
        <v>-0.31</v>
      </c>
      <c r="E35" s="11">
        <v>-0.76</v>
      </c>
      <c r="F35" s="11">
        <f t="shared" si="13"/>
        <v>0.45</v>
      </c>
      <c r="G35" s="13">
        <f t="shared" si="9"/>
        <v>106.65</v>
      </c>
      <c r="H35" s="13"/>
      <c r="I35" s="13"/>
      <c r="J35" s="20"/>
      <c r="K35" s="20"/>
      <c r="L35" s="20"/>
      <c r="M35" s="20"/>
      <c r="N35" s="20"/>
      <c r="O35" s="13"/>
      <c r="P35" s="13"/>
      <c r="Q35" s="13"/>
      <c r="R35" s="13"/>
      <c r="S35" s="13"/>
      <c r="T35" s="13"/>
      <c r="U35" s="20">
        <v>0.2</v>
      </c>
      <c r="V35" s="18">
        <f t="shared" si="4"/>
        <v>237</v>
      </c>
      <c r="W35" s="18">
        <f t="shared" si="0"/>
        <v>47.400000000000006</v>
      </c>
      <c r="X35" s="18">
        <f t="shared" si="5"/>
        <v>85.320000000000007</v>
      </c>
      <c r="Y35" s="20"/>
      <c r="Z35" s="20"/>
      <c r="AA35" s="20"/>
      <c r="AB35" s="18">
        <f t="shared" si="10"/>
        <v>0.25</v>
      </c>
      <c r="AC35" s="20">
        <f t="shared" si="11"/>
        <v>237</v>
      </c>
      <c r="AD35" s="20">
        <f t="shared" si="12"/>
        <v>59.25</v>
      </c>
      <c r="AE35" s="18"/>
      <c r="AF35" s="18"/>
      <c r="AG35" s="18"/>
      <c r="AH35" s="18"/>
      <c r="AI35" s="18"/>
      <c r="AJ35" s="18"/>
    </row>
    <row r="36" spans="1:36" ht="15.6" customHeight="1" x14ac:dyDescent="0.25">
      <c r="A36" s="8" t="s">
        <v>44</v>
      </c>
      <c r="B36" s="13">
        <v>24.763999999999999</v>
      </c>
      <c r="C36" s="13">
        <v>0.51</v>
      </c>
      <c r="D36" s="13">
        <f>C36-0.09</f>
        <v>0.42000000000000004</v>
      </c>
      <c r="E36" s="11">
        <f>C36-1</f>
        <v>-0.49</v>
      </c>
      <c r="F36" s="11">
        <f t="shared" si="2"/>
        <v>0.91</v>
      </c>
      <c r="G36" s="13">
        <f t="shared" si="3"/>
        <v>22.535240000000002</v>
      </c>
      <c r="H36" s="13"/>
      <c r="I36" s="13"/>
      <c r="J36" s="20"/>
      <c r="K36" s="20"/>
      <c r="L36" s="20"/>
      <c r="M36" s="20"/>
      <c r="N36" s="20">
        <v>1</v>
      </c>
      <c r="O36" s="13">
        <f t="shared" ref="O36:O41" si="14">B36-S36</f>
        <v>20.664000000000001</v>
      </c>
      <c r="P36" s="13">
        <f>O36*N36</f>
        <v>20.664000000000001</v>
      </c>
      <c r="Q36" s="13">
        <f>P36*1.7</f>
        <v>35.128799999999998</v>
      </c>
      <c r="R36" s="13">
        <f>N36-Y36</f>
        <v>0.6</v>
      </c>
      <c r="S36" s="13">
        <v>4.0999999999999996</v>
      </c>
      <c r="T36" s="13">
        <f>S36*R36</f>
        <v>2.4599999999999995</v>
      </c>
      <c r="U36" s="20"/>
      <c r="V36" s="20"/>
      <c r="W36" s="20"/>
      <c r="X36" s="20"/>
      <c r="Y36" s="20">
        <v>0.4</v>
      </c>
      <c r="Z36" s="20">
        <v>4.0999999999999996</v>
      </c>
      <c r="AA36" s="20">
        <f>Z36*Y36</f>
        <v>1.64</v>
      </c>
      <c r="AB36" s="20"/>
      <c r="AC36" s="20"/>
      <c r="AD36" s="20"/>
      <c r="AE36" s="18"/>
      <c r="AF36" s="18"/>
      <c r="AG36" s="18"/>
      <c r="AH36" s="18"/>
      <c r="AI36" s="18"/>
      <c r="AJ36" s="18"/>
    </row>
    <row r="37" spans="1:36" ht="15.6" customHeight="1" x14ac:dyDescent="0.25">
      <c r="A37" s="8" t="s">
        <v>45</v>
      </c>
      <c r="B37" s="13">
        <v>24.734999999999999</v>
      </c>
      <c r="C37" s="13">
        <v>0.36</v>
      </c>
      <c r="D37" s="13">
        <f t="shared" ref="D37:D58" si="15">C37-0.09</f>
        <v>0.27</v>
      </c>
      <c r="E37" s="11">
        <f>C37-1</f>
        <v>-0.64</v>
      </c>
      <c r="F37" s="11">
        <f t="shared" si="2"/>
        <v>0.91</v>
      </c>
      <c r="G37" s="13">
        <f t="shared" si="3"/>
        <v>22.508849999999999</v>
      </c>
      <c r="H37" s="13"/>
      <c r="I37" s="13"/>
      <c r="J37" s="20"/>
      <c r="K37" s="20"/>
      <c r="L37" s="20"/>
      <c r="M37" s="20"/>
      <c r="N37" s="20">
        <v>1</v>
      </c>
      <c r="O37" s="13">
        <f t="shared" si="14"/>
        <v>20.634999999999998</v>
      </c>
      <c r="P37" s="13">
        <f t="shared" ref="P37:P58" si="16">O37*N37</f>
        <v>20.634999999999998</v>
      </c>
      <c r="Q37" s="13">
        <f t="shared" ref="Q37:Q58" si="17">P37*1.7</f>
        <v>35.079499999999996</v>
      </c>
      <c r="R37" s="13">
        <f t="shared" ref="R37:R58" si="18">N37-Y37</f>
        <v>0.6</v>
      </c>
      <c r="S37" s="13">
        <v>4.0999999999999996</v>
      </c>
      <c r="T37" s="13">
        <f>S37*R37</f>
        <v>2.4599999999999995</v>
      </c>
      <c r="U37" s="20"/>
      <c r="V37" s="20"/>
      <c r="W37" s="20"/>
      <c r="X37" s="20"/>
      <c r="Y37" s="20">
        <v>0.4</v>
      </c>
      <c r="Z37" s="20">
        <v>4.0999999999999996</v>
      </c>
      <c r="AA37" s="20">
        <f t="shared" ref="AA37:AA58" si="19">Z37*Y37</f>
        <v>1.64</v>
      </c>
      <c r="AB37" s="20"/>
      <c r="AC37" s="20"/>
      <c r="AD37" s="20"/>
      <c r="AE37" s="18"/>
      <c r="AF37" s="18"/>
      <c r="AG37" s="18"/>
      <c r="AH37" s="18"/>
      <c r="AI37" s="18"/>
      <c r="AJ37" s="18"/>
    </row>
    <row r="38" spans="1:36" ht="15.6" customHeight="1" x14ac:dyDescent="0.25">
      <c r="A38" s="8" t="s">
        <v>46</v>
      </c>
      <c r="B38" s="13">
        <v>31.178999999999998</v>
      </c>
      <c r="C38" s="13">
        <v>0.27</v>
      </c>
      <c r="D38" s="13">
        <f t="shared" si="15"/>
        <v>0.18000000000000002</v>
      </c>
      <c r="E38" s="11">
        <f t="shared" ref="E38:E44" si="20">C38-1</f>
        <v>-0.73</v>
      </c>
      <c r="F38" s="11">
        <f t="shared" si="2"/>
        <v>0.91</v>
      </c>
      <c r="G38" s="13">
        <f t="shared" si="3"/>
        <v>28.372889999999998</v>
      </c>
      <c r="H38" s="13"/>
      <c r="I38" s="13"/>
      <c r="J38" s="20"/>
      <c r="K38" s="20"/>
      <c r="L38" s="20"/>
      <c r="M38" s="20"/>
      <c r="N38" s="20">
        <v>1</v>
      </c>
      <c r="O38" s="13">
        <f t="shared" si="14"/>
        <v>27.079000000000001</v>
      </c>
      <c r="P38" s="13">
        <f t="shared" si="16"/>
        <v>27.079000000000001</v>
      </c>
      <c r="Q38" s="13">
        <f t="shared" si="17"/>
        <v>46.034300000000002</v>
      </c>
      <c r="R38" s="13">
        <f t="shared" si="18"/>
        <v>0.6</v>
      </c>
      <c r="S38" s="13">
        <v>4.0999999999999996</v>
      </c>
      <c r="T38" s="13">
        <f>S38*R38</f>
        <v>2.4599999999999995</v>
      </c>
      <c r="U38" s="20"/>
      <c r="V38" s="20"/>
      <c r="W38" s="20"/>
      <c r="X38" s="20"/>
      <c r="Y38" s="20">
        <v>0.4</v>
      </c>
      <c r="Z38" s="20">
        <v>4.0999999999999996</v>
      </c>
      <c r="AA38" s="20">
        <f t="shared" si="19"/>
        <v>1.64</v>
      </c>
      <c r="AB38" s="20"/>
      <c r="AC38" s="20"/>
      <c r="AD38" s="20"/>
      <c r="AE38" s="18"/>
      <c r="AF38" s="18"/>
      <c r="AG38" s="18"/>
      <c r="AH38" s="18"/>
      <c r="AI38" s="18"/>
      <c r="AJ38" s="18"/>
    </row>
    <row r="39" spans="1:36" ht="15.6" customHeight="1" x14ac:dyDescent="0.25">
      <c r="A39" s="8" t="s">
        <v>47</v>
      </c>
      <c r="B39" s="13">
        <v>50.444000000000003</v>
      </c>
      <c r="C39" s="13">
        <v>0.24</v>
      </c>
      <c r="D39" s="13">
        <f t="shared" si="15"/>
        <v>0.15</v>
      </c>
      <c r="E39" s="11">
        <f t="shared" si="20"/>
        <v>-0.76</v>
      </c>
      <c r="F39" s="11">
        <f t="shared" si="2"/>
        <v>0.91</v>
      </c>
      <c r="G39" s="13">
        <f t="shared" si="3"/>
        <v>45.904040000000002</v>
      </c>
      <c r="H39" s="13"/>
      <c r="I39" s="13"/>
      <c r="J39" s="20"/>
      <c r="K39" s="20"/>
      <c r="L39" s="20"/>
      <c r="M39" s="20"/>
      <c r="N39" s="20">
        <v>1</v>
      </c>
      <c r="O39" s="13">
        <f t="shared" si="14"/>
        <v>42.244</v>
      </c>
      <c r="P39" s="13">
        <f t="shared" si="16"/>
        <v>42.244</v>
      </c>
      <c r="Q39" s="13">
        <f t="shared" si="17"/>
        <v>71.814799999999991</v>
      </c>
      <c r="R39" s="13">
        <f t="shared" si="18"/>
        <v>0.6</v>
      </c>
      <c r="S39" s="13">
        <f>4.1+4.1</f>
        <v>8.1999999999999993</v>
      </c>
      <c r="T39" s="13">
        <f t="shared" ref="T39:T58" si="21">S39*R39</f>
        <v>4.919999999999999</v>
      </c>
      <c r="U39" s="20"/>
      <c r="V39" s="20"/>
      <c r="W39" s="20"/>
      <c r="X39" s="20"/>
      <c r="Y39" s="20">
        <v>0.4</v>
      </c>
      <c r="Z39" s="20">
        <f t="shared" ref="Z39:Z47" si="22">S39</f>
        <v>8.1999999999999993</v>
      </c>
      <c r="AA39" s="20">
        <f t="shared" si="19"/>
        <v>3.28</v>
      </c>
      <c r="AB39" s="20"/>
      <c r="AC39" s="20"/>
      <c r="AD39" s="20"/>
      <c r="AE39" s="18"/>
      <c r="AF39" s="18"/>
      <c r="AG39" s="18"/>
      <c r="AH39" s="18"/>
      <c r="AI39" s="18"/>
      <c r="AJ39" s="18"/>
    </row>
    <row r="40" spans="1:36" ht="15.6" customHeight="1" x14ac:dyDescent="0.25">
      <c r="A40" s="8" t="s">
        <v>48</v>
      </c>
      <c r="B40" s="13">
        <v>46.228999999999999</v>
      </c>
      <c r="C40" s="13">
        <v>0.19</v>
      </c>
      <c r="D40" s="13">
        <f t="shared" si="15"/>
        <v>0.1</v>
      </c>
      <c r="E40" s="11">
        <f>C40-1</f>
        <v>-0.81</v>
      </c>
      <c r="F40" s="11">
        <f t="shared" si="2"/>
        <v>0.91</v>
      </c>
      <c r="G40" s="13">
        <f t="shared" si="3"/>
        <v>42.068390000000001</v>
      </c>
      <c r="H40" s="13"/>
      <c r="I40" s="13"/>
      <c r="J40" s="20"/>
      <c r="K40" s="20"/>
      <c r="L40" s="20"/>
      <c r="M40" s="20"/>
      <c r="N40" s="20">
        <v>1</v>
      </c>
      <c r="O40" s="13">
        <f t="shared" si="14"/>
        <v>38.028999999999996</v>
      </c>
      <c r="P40" s="13">
        <f t="shared" si="16"/>
        <v>38.028999999999996</v>
      </c>
      <c r="Q40" s="13">
        <f t="shared" si="17"/>
        <v>64.649299999999997</v>
      </c>
      <c r="R40" s="13">
        <f t="shared" si="18"/>
        <v>0.6</v>
      </c>
      <c r="S40" s="13">
        <f>4.1+4.1</f>
        <v>8.1999999999999993</v>
      </c>
      <c r="T40" s="13">
        <f t="shared" si="21"/>
        <v>4.919999999999999</v>
      </c>
      <c r="U40" s="20"/>
      <c r="V40" s="20"/>
      <c r="W40" s="20"/>
      <c r="X40" s="20"/>
      <c r="Y40" s="20">
        <v>0.4</v>
      </c>
      <c r="Z40" s="20">
        <f t="shared" si="22"/>
        <v>8.1999999999999993</v>
      </c>
      <c r="AA40" s="20">
        <f t="shared" si="19"/>
        <v>3.28</v>
      </c>
      <c r="AB40" s="20"/>
      <c r="AC40" s="20"/>
      <c r="AD40" s="20"/>
      <c r="AE40" s="18"/>
      <c r="AF40" s="18"/>
      <c r="AG40" s="18"/>
      <c r="AH40" s="18"/>
      <c r="AI40" s="18"/>
      <c r="AJ40" s="18"/>
    </row>
    <row r="41" spans="1:36" ht="15.6" customHeight="1" x14ac:dyDescent="0.25">
      <c r="A41" s="8" t="s">
        <v>49</v>
      </c>
      <c r="B41" s="13">
        <v>24.698</v>
      </c>
      <c r="C41" s="13">
        <v>0.2</v>
      </c>
      <c r="D41" s="13">
        <f t="shared" si="15"/>
        <v>0.11000000000000001</v>
      </c>
      <c r="E41" s="11">
        <f>C41-1</f>
        <v>-0.8</v>
      </c>
      <c r="F41" s="11">
        <f t="shared" si="2"/>
        <v>0.91</v>
      </c>
      <c r="G41" s="13">
        <f t="shared" si="3"/>
        <v>22.475180000000002</v>
      </c>
      <c r="H41" s="13"/>
      <c r="I41" s="13"/>
      <c r="J41" s="20"/>
      <c r="K41" s="20"/>
      <c r="L41" s="20"/>
      <c r="M41" s="20"/>
      <c r="N41" s="20">
        <v>1</v>
      </c>
      <c r="O41" s="13">
        <f t="shared" si="14"/>
        <v>17.963000000000001</v>
      </c>
      <c r="P41" s="13">
        <f t="shared" si="16"/>
        <v>17.963000000000001</v>
      </c>
      <c r="Q41" s="13">
        <f t="shared" si="17"/>
        <v>30.537100000000002</v>
      </c>
      <c r="R41" s="13">
        <f t="shared" si="18"/>
        <v>0.6</v>
      </c>
      <c r="S41" s="13">
        <v>6.7350000000000003</v>
      </c>
      <c r="T41" s="13">
        <f t="shared" si="21"/>
        <v>4.0410000000000004</v>
      </c>
      <c r="U41" s="20"/>
      <c r="V41" s="20"/>
      <c r="W41" s="20"/>
      <c r="X41" s="20"/>
      <c r="Y41" s="20">
        <v>0.4</v>
      </c>
      <c r="Z41" s="20">
        <f t="shared" si="22"/>
        <v>6.7350000000000003</v>
      </c>
      <c r="AA41" s="20">
        <f t="shared" si="19"/>
        <v>2.6940000000000004</v>
      </c>
      <c r="AB41" s="20"/>
      <c r="AC41" s="20"/>
      <c r="AD41" s="20"/>
      <c r="AE41" s="18"/>
      <c r="AF41" s="18"/>
      <c r="AG41" s="18"/>
      <c r="AH41" s="18"/>
      <c r="AI41" s="18"/>
      <c r="AJ41" s="18"/>
    </row>
    <row r="42" spans="1:36" ht="15.6" customHeight="1" x14ac:dyDescent="0.25">
      <c r="A42" s="8" t="s">
        <v>50</v>
      </c>
      <c r="B42" s="13">
        <v>51.045000000000002</v>
      </c>
      <c r="C42" s="13">
        <v>0.2</v>
      </c>
      <c r="D42" s="13">
        <f t="shared" si="15"/>
        <v>0.11000000000000001</v>
      </c>
      <c r="E42" s="11">
        <f t="shared" si="20"/>
        <v>-0.8</v>
      </c>
      <c r="F42" s="11">
        <f t="shared" si="2"/>
        <v>0.91</v>
      </c>
      <c r="G42" s="13">
        <f t="shared" si="3"/>
        <v>46.450950000000006</v>
      </c>
      <c r="H42" s="13"/>
      <c r="I42" s="13"/>
      <c r="J42" s="20"/>
      <c r="K42" s="20"/>
      <c r="L42" s="20"/>
      <c r="M42" s="20"/>
      <c r="N42" s="20">
        <v>1</v>
      </c>
      <c r="O42" s="13">
        <f>1.389+1.405</f>
        <v>2.794</v>
      </c>
      <c r="P42" s="13">
        <f t="shared" si="16"/>
        <v>2.794</v>
      </c>
      <c r="Q42" s="13">
        <f t="shared" si="17"/>
        <v>4.7497999999999996</v>
      </c>
      <c r="R42" s="13">
        <f t="shared" si="18"/>
        <v>0.6</v>
      </c>
      <c r="S42" s="13">
        <f>B42-O42</f>
        <v>48.251000000000005</v>
      </c>
      <c r="T42" s="13">
        <f t="shared" si="21"/>
        <v>28.950600000000001</v>
      </c>
      <c r="U42" s="20"/>
      <c r="V42" s="20"/>
      <c r="W42" s="20"/>
      <c r="X42" s="20"/>
      <c r="Y42" s="20">
        <v>0.4</v>
      </c>
      <c r="Z42" s="20">
        <f t="shared" si="22"/>
        <v>48.251000000000005</v>
      </c>
      <c r="AA42" s="20">
        <f t="shared" si="19"/>
        <v>19.300400000000003</v>
      </c>
      <c r="AB42" s="20"/>
      <c r="AC42" s="20"/>
      <c r="AD42" s="20"/>
      <c r="AE42" s="18"/>
      <c r="AF42" s="18"/>
      <c r="AG42" s="18"/>
      <c r="AH42" s="18"/>
      <c r="AI42" s="18"/>
      <c r="AJ42" s="18"/>
    </row>
    <row r="43" spans="1:36" ht="15.6" customHeight="1" x14ac:dyDescent="0.25">
      <c r="A43" s="8" t="s">
        <v>51</v>
      </c>
      <c r="B43" s="13">
        <v>47.445</v>
      </c>
      <c r="C43" s="13">
        <v>0.26</v>
      </c>
      <c r="D43" s="13">
        <f t="shared" si="15"/>
        <v>0.17</v>
      </c>
      <c r="E43" s="11">
        <f t="shared" si="20"/>
        <v>-0.74</v>
      </c>
      <c r="F43" s="11">
        <f t="shared" si="2"/>
        <v>0.91</v>
      </c>
      <c r="G43" s="13">
        <f t="shared" si="3"/>
        <v>43.174950000000003</v>
      </c>
      <c r="H43" s="13"/>
      <c r="I43" s="13"/>
      <c r="J43" s="20"/>
      <c r="K43" s="20"/>
      <c r="L43" s="20"/>
      <c r="M43" s="20"/>
      <c r="N43" s="20">
        <v>1</v>
      </c>
      <c r="O43" s="13">
        <f t="shared" ref="O43:O50" si="23">B43-S43</f>
        <v>39.245000000000005</v>
      </c>
      <c r="P43" s="13">
        <f t="shared" si="16"/>
        <v>39.245000000000005</v>
      </c>
      <c r="Q43" s="13">
        <f t="shared" si="17"/>
        <v>66.716500000000011</v>
      </c>
      <c r="R43" s="13">
        <f t="shared" si="18"/>
        <v>0.6</v>
      </c>
      <c r="S43" s="13">
        <f>2*4.1</f>
        <v>8.1999999999999993</v>
      </c>
      <c r="T43" s="13">
        <f t="shared" si="21"/>
        <v>4.919999999999999</v>
      </c>
      <c r="U43" s="20"/>
      <c r="V43" s="20"/>
      <c r="W43" s="20"/>
      <c r="X43" s="20"/>
      <c r="Y43" s="20">
        <v>0.4</v>
      </c>
      <c r="Z43" s="20">
        <f t="shared" si="22"/>
        <v>8.1999999999999993</v>
      </c>
      <c r="AA43" s="20">
        <f t="shared" si="19"/>
        <v>3.28</v>
      </c>
      <c r="AB43" s="20"/>
      <c r="AC43" s="20"/>
      <c r="AD43" s="20"/>
      <c r="AE43" s="18"/>
      <c r="AF43" s="18"/>
      <c r="AG43" s="18"/>
      <c r="AH43" s="18"/>
      <c r="AI43" s="18"/>
      <c r="AJ43" s="18"/>
    </row>
    <row r="44" spans="1:36" ht="15.6" customHeight="1" x14ac:dyDescent="0.25">
      <c r="A44" s="8" t="s">
        <v>52</v>
      </c>
      <c r="B44" s="13">
        <v>60.223999999999997</v>
      </c>
      <c r="C44" s="13">
        <v>-0.01</v>
      </c>
      <c r="D44" s="13">
        <f t="shared" si="15"/>
        <v>-9.9999999999999992E-2</v>
      </c>
      <c r="E44" s="11">
        <f t="shared" si="20"/>
        <v>-1.01</v>
      </c>
      <c r="F44" s="11">
        <f t="shared" si="2"/>
        <v>0.91</v>
      </c>
      <c r="G44" s="13">
        <f t="shared" si="3"/>
        <v>54.803840000000001</v>
      </c>
      <c r="H44" s="13"/>
      <c r="I44" s="13"/>
      <c r="J44" s="20"/>
      <c r="K44" s="20"/>
      <c r="L44" s="20"/>
      <c r="M44" s="20"/>
      <c r="N44" s="20">
        <v>1</v>
      </c>
      <c r="O44" s="13">
        <f t="shared" si="23"/>
        <v>34.247999999999998</v>
      </c>
      <c r="P44" s="13">
        <f t="shared" si="16"/>
        <v>34.247999999999998</v>
      </c>
      <c r="Q44" s="13">
        <f t="shared" si="17"/>
        <v>58.221599999999995</v>
      </c>
      <c r="R44" s="13">
        <f t="shared" si="18"/>
        <v>0.6</v>
      </c>
      <c r="S44" s="13">
        <v>25.975999999999999</v>
      </c>
      <c r="T44" s="13">
        <f t="shared" si="21"/>
        <v>15.585599999999999</v>
      </c>
      <c r="U44" s="20"/>
      <c r="V44" s="20"/>
      <c r="W44" s="20"/>
      <c r="X44" s="20"/>
      <c r="Y44" s="20">
        <v>0.4</v>
      </c>
      <c r="Z44" s="20">
        <f t="shared" si="22"/>
        <v>25.975999999999999</v>
      </c>
      <c r="AA44" s="20">
        <f t="shared" si="19"/>
        <v>10.3904</v>
      </c>
      <c r="AB44" s="20"/>
      <c r="AC44" s="20"/>
      <c r="AD44" s="20"/>
      <c r="AE44" s="18"/>
      <c r="AF44" s="18"/>
      <c r="AG44" s="18"/>
      <c r="AH44" s="18"/>
      <c r="AI44" s="18"/>
      <c r="AJ44" s="18"/>
    </row>
    <row r="45" spans="1:36" ht="15.6" customHeight="1" x14ac:dyDescent="0.25">
      <c r="A45" s="8" t="s">
        <v>53</v>
      </c>
      <c r="B45" s="13">
        <v>88.049000000000007</v>
      </c>
      <c r="C45" s="13">
        <v>-7.0000000000000007E-2</v>
      </c>
      <c r="D45" s="13">
        <f t="shared" si="15"/>
        <v>-0.16</v>
      </c>
      <c r="E45" s="11">
        <f>C45-0.9</f>
        <v>-0.97</v>
      </c>
      <c r="F45" s="11">
        <f t="shared" si="2"/>
        <v>0.80999999999999994</v>
      </c>
      <c r="G45" s="13">
        <f t="shared" si="3"/>
        <v>71.319689999999994</v>
      </c>
      <c r="H45" s="13"/>
      <c r="I45" s="13"/>
      <c r="J45" s="20"/>
      <c r="K45" s="20"/>
      <c r="L45" s="20"/>
      <c r="M45" s="20"/>
      <c r="N45" s="20">
        <v>0.9</v>
      </c>
      <c r="O45" s="13">
        <f t="shared" si="23"/>
        <v>75.749000000000009</v>
      </c>
      <c r="P45" s="13">
        <f t="shared" si="16"/>
        <v>68.17410000000001</v>
      </c>
      <c r="Q45" s="13">
        <f t="shared" si="17"/>
        <v>115.89597000000002</v>
      </c>
      <c r="R45" s="13">
        <f t="shared" si="18"/>
        <v>0.5</v>
      </c>
      <c r="S45" s="13">
        <f>3*4.1</f>
        <v>12.299999999999999</v>
      </c>
      <c r="T45" s="13">
        <f t="shared" si="21"/>
        <v>6.1499999999999995</v>
      </c>
      <c r="U45" s="20"/>
      <c r="V45" s="20"/>
      <c r="W45" s="20"/>
      <c r="X45" s="20"/>
      <c r="Y45" s="20">
        <v>0.4</v>
      </c>
      <c r="Z45" s="20">
        <f t="shared" si="22"/>
        <v>12.299999999999999</v>
      </c>
      <c r="AA45" s="20">
        <f t="shared" si="19"/>
        <v>4.92</v>
      </c>
      <c r="AB45" s="20"/>
      <c r="AC45" s="20"/>
      <c r="AD45" s="20"/>
      <c r="AE45" s="18"/>
      <c r="AF45" s="18"/>
      <c r="AG45" s="18"/>
      <c r="AH45" s="18"/>
      <c r="AI45" s="18"/>
      <c r="AJ45" s="18"/>
    </row>
    <row r="46" spans="1:36" ht="15.6" customHeight="1" x14ac:dyDescent="0.25">
      <c r="A46" s="8" t="s">
        <v>54</v>
      </c>
      <c r="B46" s="13">
        <v>38.514000000000003</v>
      </c>
      <c r="C46" s="13">
        <v>-0.03</v>
      </c>
      <c r="D46" s="13">
        <f t="shared" si="15"/>
        <v>-0.12</v>
      </c>
      <c r="E46" s="11">
        <f>C46-0.85</f>
        <v>-0.88</v>
      </c>
      <c r="F46" s="11">
        <f t="shared" si="2"/>
        <v>0.76</v>
      </c>
      <c r="G46" s="13">
        <f t="shared" si="3"/>
        <v>29.270640000000004</v>
      </c>
      <c r="H46" s="13"/>
      <c r="I46" s="13"/>
      <c r="J46" s="20"/>
      <c r="K46" s="20"/>
      <c r="L46" s="20"/>
      <c r="M46" s="20"/>
      <c r="N46" s="20">
        <v>0.85</v>
      </c>
      <c r="O46" s="13">
        <f t="shared" si="23"/>
        <v>30.314000000000004</v>
      </c>
      <c r="P46" s="13">
        <f t="shared" si="16"/>
        <v>25.766900000000003</v>
      </c>
      <c r="Q46" s="13">
        <f t="shared" si="17"/>
        <v>43.803730000000002</v>
      </c>
      <c r="R46" s="13">
        <f t="shared" si="18"/>
        <v>0.44999999999999996</v>
      </c>
      <c r="S46" s="13">
        <f>2*4.1</f>
        <v>8.1999999999999993</v>
      </c>
      <c r="T46" s="13">
        <f t="shared" si="21"/>
        <v>3.6899999999999995</v>
      </c>
      <c r="U46" s="20"/>
      <c r="V46" s="20"/>
      <c r="W46" s="20"/>
      <c r="X46" s="20"/>
      <c r="Y46" s="20">
        <v>0.4</v>
      </c>
      <c r="Z46" s="20">
        <f t="shared" si="22"/>
        <v>8.1999999999999993</v>
      </c>
      <c r="AA46" s="20">
        <f t="shared" si="19"/>
        <v>3.28</v>
      </c>
      <c r="AB46" s="20"/>
      <c r="AC46" s="20"/>
      <c r="AD46" s="20"/>
      <c r="AE46" s="18"/>
      <c r="AF46" s="18"/>
      <c r="AG46" s="18"/>
      <c r="AH46" s="18"/>
      <c r="AI46" s="18"/>
      <c r="AJ46" s="18"/>
    </row>
    <row r="47" spans="1:36" ht="15.6" customHeight="1" x14ac:dyDescent="0.25">
      <c r="A47" s="8" t="s">
        <v>55</v>
      </c>
      <c r="B47" s="13">
        <v>24.728999999999999</v>
      </c>
      <c r="C47" s="13">
        <v>-0.06</v>
      </c>
      <c r="D47" s="13">
        <f t="shared" si="15"/>
        <v>-0.15</v>
      </c>
      <c r="E47" s="11">
        <f>C47-0.85</f>
        <v>-0.90999999999999992</v>
      </c>
      <c r="F47" s="11">
        <f t="shared" si="2"/>
        <v>0.7599999999999999</v>
      </c>
      <c r="G47" s="13">
        <f t="shared" si="3"/>
        <v>18.794039999999995</v>
      </c>
      <c r="H47" s="13"/>
      <c r="I47" s="13"/>
      <c r="J47" s="20"/>
      <c r="K47" s="20"/>
      <c r="L47" s="20"/>
      <c r="M47" s="20"/>
      <c r="N47" s="20">
        <v>0.85</v>
      </c>
      <c r="O47" s="13">
        <f t="shared" si="23"/>
        <v>20.628999999999998</v>
      </c>
      <c r="P47" s="13">
        <f t="shared" si="16"/>
        <v>17.534649999999999</v>
      </c>
      <c r="Q47" s="13">
        <f t="shared" si="17"/>
        <v>29.808904999999999</v>
      </c>
      <c r="R47" s="13">
        <f t="shared" si="18"/>
        <v>0.44999999999999996</v>
      </c>
      <c r="S47" s="13">
        <v>4.0999999999999996</v>
      </c>
      <c r="T47" s="13">
        <f t="shared" si="21"/>
        <v>1.8449999999999998</v>
      </c>
      <c r="U47" s="20"/>
      <c r="V47" s="20"/>
      <c r="W47" s="20"/>
      <c r="X47" s="20"/>
      <c r="Y47" s="20">
        <v>0.4</v>
      </c>
      <c r="Z47" s="20">
        <f t="shared" si="22"/>
        <v>4.0999999999999996</v>
      </c>
      <c r="AA47" s="20">
        <f t="shared" si="19"/>
        <v>1.64</v>
      </c>
      <c r="AB47" s="20"/>
      <c r="AC47" s="20"/>
      <c r="AD47" s="20"/>
      <c r="AE47" s="18"/>
      <c r="AF47" s="18"/>
      <c r="AG47" s="18"/>
      <c r="AH47" s="18"/>
      <c r="AI47" s="18"/>
      <c r="AJ47" s="18"/>
    </row>
    <row r="48" spans="1:36" ht="15.6" customHeight="1" x14ac:dyDescent="0.25">
      <c r="A48" s="8" t="s">
        <v>56</v>
      </c>
      <c r="B48" s="13">
        <v>37.186999999999998</v>
      </c>
      <c r="C48" s="13">
        <v>-0.18</v>
      </c>
      <c r="D48" s="13">
        <f t="shared" si="15"/>
        <v>-0.27</v>
      </c>
      <c r="E48" s="11">
        <f>C48-0.8</f>
        <v>-0.98</v>
      </c>
      <c r="F48" s="11">
        <f t="shared" si="2"/>
        <v>0.71</v>
      </c>
      <c r="G48" s="13">
        <f t="shared" si="3"/>
        <v>26.402769999999997</v>
      </c>
      <c r="H48" s="13"/>
      <c r="I48" s="13"/>
      <c r="J48" s="20"/>
      <c r="K48" s="20"/>
      <c r="L48" s="20"/>
      <c r="M48" s="20"/>
      <c r="N48" s="20">
        <v>0.8</v>
      </c>
      <c r="O48" s="13">
        <f t="shared" si="23"/>
        <v>28.986999999999998</v>
      </c>
      <c r="P48" s="13">
        <f t="shared" si="16"/>
        <v>23.189599999999999</v>
      </c>
      <c r="Q48" s="13">
        <f t="shared" si="17"/>
        <v>39.422319999999999</v>
      </c>
      <c r="R48" s="13">
        <f t="shared" si="18"/>
        <v>0.4</v>
      </c>
      <c r="S48" s="13">
        <f>2*4.1</f>
        <v>8.1999999999999993</v>
      </c>
      <c r="T48" s="13">
        <f t="shared" si="21"/>
        <v>3.28</v>
      </c>
      <c r="U48" s="20"/>
      <c r="V48" s="20"/>
      <c r="W48" s="20"/>
      <c r="X48" s="20"/>
      <c r="Y48" s="20">
        <v>0.4</v>
      </c>
      <c r="Z48" s="20">
        <f t="shared" ref="Z48:Z50" si="24">S48</f>
        <v>8.1999999999999993</v>
      </c>
      <c r="AA48" s="20">
        <f t="shared" si="19"/>
        <v>3.28</v>
      </c>
      <c r="AB48" s="20"/>
      <c r="AC48" s="20"/>
      <c r="AD48" s="20"/>
      <c r="AE48" s="18"/>
      <c r="AF48" s="18"/>
      <c r="AG48" s="18"/>
      <c r="AH48" s="18"/>
      <c r="AI48" s="18"/>
      <c r="AJ48" s="18"/>
    </row>
    <row r="49" spans="1:36" ht="15.6" customHeight="1" x14ac:dyDescent="0.25">
      <c r="A49" s="8" t="s">
        <v>57</v>
      </c>
      <c r="B49" s="13">
        <f>92.87+25.976+18.279</f>
        <v>137.125</v>
      </c>
      <c r="C49" s="13">
        <v>-0.34</v>
      </c>
      <c r="D49" s="13">
        <f t="shared" si="15"/>
        <v>-0.43000000000000005</v>
      </c>
      <c r="E49" s="11">
        <f>C49-0.4</f>
        <v>-0.74</v>
      </c>
      <c r="F49" s="11">
        <f t="shared" si="2"/>
        <v>0.30999999999999994</v>
      </c>
      <c r="G49" s="13">
        <f t="shared" si="3"/>
        <v>42.508749999999992</v>
      </c>
      <c r="H49" s="13"/>
      <c r="I49" s="13"/>
      <c r="J49" s="20"/>
      <c r="K49" s="20"/>
      <c r="L49" s="20"/>
      <c r="M49" s="20"/>
      <c r="N49" s="20">
        <v>0.4</v>
      </c>
      <c r="O49" s="13">
        <f t="shared" si="23"/>
        <v>137.125</v>
      </c>
      <c r="P49" s="13">
        <f t="shared" si="16"/>
        <v>54.85</v>
      </c>
      <c r="Q49" s="13">
        <f t="shared" si="17"/>
        <v>93.245000000000005</v>
      </c>
      <c r="R49" s="13"/>
      <c r="S49" s="13"/>
      <c r="T49" s="13"/>
      <c r="U49" s="20"/>
      <c r="V49" s="20"/>
      <c r="W49" s="20"/>
      <c r="X49" s="20"/>
      <c r="Y49" s="20">
        <v>0.4</v>
      </c>
      <c r="Z49" s="20">
        <v>34.18</v>
      </c>
      <c r="AA49" s="20">
        <f t="shared" si="19"/>
        <v>13.672000000000001</v>
      </c>
      <c r="AB49" s="20"/>
      <c r="AC49" s="20"/>
      <c r="AD49" s="20"/>
      <c r="AE49" s="18"/>
      <c r="AF49" s="18"/>
      <c r="AG49" s="18"/>
      <c r="AH49" s="18"/>
      <c r="AI49" s="18"/>
      <c r="AJ49" s="18"/>
    </row>
    <row r="50" spans="1:36" ht="15.6" customHeight="1" x14ac:dyDescent="0.25">
      <c r="A50" s="8" t="s">
        <v>58</v>
      </c>
      <c r="B50" s="13">
        <f>108.043+7.614</f>
        <v>115.65700000000001</v>
      </c>
      <c r="C50" s="13">
        <v>-0.34</v>
      </c>
      <c r="D50" s="13">
        <f t="shared" si="15"/>
        <v>-0.43000000000000005</v>
      </c>
      <c r="E50" s="11">
        <f>C50-0.45</f>
        <v>-0.79</v>
      </c>
      <c r="F50" s="11">
        <f t="shared" si="2"/>
        <v>0.36</v>
      </c>
      <c r="G50" s="13">
        <f t="shared" si="3"/>
        <v>41.636520000000004</v>
      </c>
      <c r="H50" s="13"/>
      <c r="I50" s="13"/>
      <c r="J50" s="20"/>
      <c r="K50" s="20"/>
      <c r="L50" s="20"/>
      <c r="M50" s="20"/>
      <c r="N50" s="20">
        <v>0.45</v>
      </c>
      <c r="O50" s="13">
        <f t="shared" si="23"/>
        <v>10.575000000000017</v>
      </c>
      <c r="P50" s="13">
        <f t="shared" si="16"/>
        <v>4.758750000000008</v>
      </c>
      <c r="Q50" s="13">
        <f t="shared" si="17"/>
        <v>8.0898750000000135</v>
      </c>
      <c r="R50" s="13">
        <f>N50-Y50</f>
        <v>4.9999999999999989E-2</v>
      </c>
      <c r="S50" s="13">
        <v>105.08199999999999</v>
      </c>
      <c r="T50" s="13">
        <f t="shared" si="21"/>
        <v>5.2540999999999984</v>
      </c>
      <c r="U50" s="20"/>
      <c r="V50" s="20"/>
      <c r="W50" s="20"/>
      <c r="X50" s="20"/>
      <c r="Y50" s="20">
        <v>0.4</v>
      </c>
      <c r="Z50" s="20">
        <f t="shared" si="24"/>
        <v>105.08199999999999</v>
      </c>
      <c r="AA50" s="20">
        <f t="shared" si="19"/>
        <v>42.032800000000002</v>
      </c>
      <c r="AB50" s="20"/>
      <c r="AC50" s="20"/>
      <c r="AD50" s="20"/>
      <c r="AE50" s="18"/>
      <c r="AF50" s="18"/>
      <c r="AG50" s="18"/>
      <c r="AH50" s="18"/>
      <c r="AI50" s="18"/>
      <c r="AJ50" s="18"/>
    </row>
    <row r="51" spans="1:36" ht="15.6" customHeight="1" x14ac:dyDescent="0.25">
      <c r="A51" s="8" t="s">
        <v>59</v>
      </c>
      <c r="B51" s="13">
        <f>14.556+99.79+72.125</f>
        <v>186.471</v>
      </c>
      <c r="C51" s="13">
        <v>-0.31</v>
      </c>
      <c r="D51" s="13">
        <f t="shared" si="15"/>
        <v>-0.4</v>
      </c>
      <c r="E51" s="11">
        <f>C51-0.45</f>
        <v>-0.76</v>
      </c>
      <c r="F51" s="11">
        <f t="shared" si="2"/>
        <v>0.36</v>
      </c>
      <c r="G51" s="13">
        <f t="shared" si="3"/>
        <v>67.129559999999998</v>
      </c>
      <c r="H51" s="13"/>
      <c r="I51" s="13"/>
      <c r="J51" s="20"/>
      <c r="K51" s="20"/>
      <c r="L51" s="20"/>
      <c r="M51" s="20"/>
      <c r="N51" s="20">
        <v>0.45</v>
      </c>
      <c r="O51" s="13">
        <f>1.755+26.941+1.762+14.556+1.324+3.263+0.528</f>
        <v>50.128999999999991</v>
      </c>
      <c r="P51" s="13">
        <f t="shared" si="16"/>
        <v>22.558049999999998</v>
      </c>
      <c r="Q51" s="13">
        <f t="shared" si="17"/>
        <v>38.348684999999996</v>
      </c>
      <c r="R51" s="13">
        <f t="shared" si="18"/>
        <v>4.9999999999999989E-2</v>
      </c>
      <c r="S51" s="13">
        <f>B51-O51</f>
        <v>136.34200000000001</v>
      </c>
      <c r="T51" s="13">
        <f t="shared" si="21"/>
        <v>6.817099999999999</v>
      </c>
      <c r="U51" s="20"/>
      <c r="V51" s="20"/>
      <c r="W51" s="20"/>
      <c r="X51" s="20"/>
      <c r="Y51" s="20">
        <v>0.4</v>
      </c>
      <c r="Z51" s="20">
        <f>S51</f>
        <v>136.34200000000001</v>
      </c>
      <c r="AA51" s="20">
        <f t="shared" si="19"/>
        <v>54.536800000000007</v>
      </c>
      <c r="AB51" s="20"/>
      <c r="AC51" s="20"/>
      <c r="AD51" s="20"/>
      <c r="AE51" s="18"/>
      <c r="AF51" s="18"/>
      <c r="AG51" s="18"/>
      <c r="AH51" s="18"/>
      <c r="AI51" s="18"/>
      <c r="AJ51" s="18"/>
    </row>
    <row r="52" spans="1:36" ht="15.6" customHeight="1" x14ac:dyDescent="0.25">
      <c r="A52" s="8" t="s">
        <v>60</v>
      </c>
      <c r="B52" s="13">
        <f>110.403</f>
        <v>110.40300000000001</v>
      </c>
      <c r="C52" s="13">
        <v>-0.32500000000000001</v>
      </c>
      <c r="D52" s="13">
        <f t="shared" si="15"/>
        <v>-0.41500000000000004</v>
      </c>
      <c r="E52" s="11">
        <f>C52-0.45</f>
        <v>-0.77500000000000002</v>
      </c>
      <c r="F52" s="11">
        <f t="shared" si="2"/>
        <v>0.36</v>
      </c>
      <c r="G52" s="13">
        <f t="shared" si="3"/>
        <v>39.745080000000002</v>
      </c>
      <c r="H52" s="13"/>
      <c r="I52" s="13"/>
      <c r="J52" s="20"/>
      <c r="K52" s="20"/>
      <c r="L52" s="20"/>
      <c r="M52" s="20"/>
      <c r="N52" s="20">
        <v>0.45</v>
      </c>
      <c r="O52" s="13">
        <f>B52-S52</f>
        <v>90.62700000000001</v>
      </c>
      <c r="P52" s="13">
        <f t="shared" si="16"/>
        <v>40.782150000000009</v>
      </c>
      <c r="Q52" s="13">
        <f t="shared" si="17"/>
        <v>69.329655000000017</v>
      </c>
      <c r="R52" s="13">
        <f t="shared" si="18"/>
        <v>4.9999999999999989E-2</v>
      </c>
      <c r="S52" s="13">
        <f>4.097+4.1+4.1+3.379+4.1</f>
        <v>19.775999999999996</v>
      </c>
      <c r="T52" s="13">
        <f t="shared" si="21"/>
        <v>0.98879999999999957</v>
      </c>
      <c r="U52" s="20"/>
      <c r="V52" s="20"/>
      <c r="W52" s="20"/>
      <c r="X52" s="20"/>
      <c r="Y52" s="20">
        <v>0.4</v>
      </c>
      <c r="Z52" s="20">
        <f>S52</f>
        <v>19.775999999999996</v>
      </c>
      <c r="AA52" s="20">
        <f t="shared" si="19"/>
        <v>7.9103999999999992</v>
      </c>
      <c r="AB52" s="20"/>
      <c r="AC52" s="20"/>
      <c r="AD52" s="20"/>
      <c r="AE52" s="18"/>
      <c r="AF52" s="18"/>
      <c r="AG52" s="18"/>
      <c r="AH52" s="18"/>
      <c r="AI52" s="18"/>
      <c r="AJ52" s="18"/>
    </row>
    <row r="53" spans="1:36" ht="15.6" customHeight="1" x14ac:dyDescent="0.25">
      <c r="A53" s="8" t="s">
        <v>61</v>
      </c>
      <c r="B53" s="13">
        <f>81.662+20.625+14.514+17.193</f>
        <v>133.994</v>
      </c>
      <c r="C53" s="13">
        <v>-0.36</v>
      </c>
      <c r="D53" s="13">
        <f t="shared" si="15"/>
        <v>-0.44999999999999996</v>
      </c>
      <c r="E53" s="11">
        <f>C53-0.4</f>
        <v>-0.76</v>
      </c>
      <c r="F53" s="11">
        <f t="shared" si="2"/>
        <v>0.31000000000000005</v>
      </c>
      <c r="G53" s="13">
        <f t="shared" si="3"/>
        <v>41.538140000000006</v>
      </c>
      <c r="H53" s="13"/>
      <c r="I53" s="13"/>
      <c r="J53" s="20"/>
      <c r="K53" s="20"/>
      <c r="L53" s="20"/>
      <c r="M53" s="20"/>
      <c r="N53" s="20">
        <v>0.4</v>
      </c>
      <c r="O53" s="13">
        <f>B53-S53</f>
        <v>133.994</v>
      </c>
      <c r="P53" s="13">
        <f t="shared" si="16"/>
        <v>53.5976</v>
      </c>
      <c r="Q53" s="13">
        <f t="shared" si="17"/>
        <v>91.115920000000003</v>
      </c>
      <c r="R53" s="13"/>
      <c r="S53" s="13"/>
      <c r="U53" s="20"/>
      <c r="V53" s="20"/>
      <c r="W53" s="20"/>
      <c r="X53" s="20"/>
      <c r="Y53" s="20">
        <v>0.4</v>
      </c>
      <c r="Z53" s="20">
        <v>46.02</v>
      </c>
      <c r="AA53" s="20">
        <f t="shared" si="19"/>
        <v>18.408000000000001</v>
      </c>
      <c r="AB53" s="20"/>
      <c r="AC53" s="20"/>
      <c r="AD53" s="20"/>
      <c r="AE53" s="18"/>
      <c r="AF53" s="18"/>
      <c r="AG53" s="18"/>
      <c r="AH53" s="18"/>
      <c r="AI53" s="18"/>
      <c r="AJ53" s="18"/>
    </row>
    <row r="54" spans="1:36" ht="15.6" customHeight="1" x14ac:dyDescent="0.25">
      <c r="A54" s="8" t="s">
        <v>62</v>
      </c>
      <c r="B54" s="13">
        <v>38.087000000000003</v>
      </c>
      <c r="C54" s="13">
        <v>-0.3</v>
      </c>
      <c r="D54" s="13">
        <f t="shared" si="15"/>
        <v>-0.39</v>
      </c>
      <c r="E54" s="11">
        <f>C54-0.4</f>
        <v>-0.7</v>
      </c>
      <c r="F54" s="11">
        <f t="shared" si="2"/>
        <v>0.30999999999999994</v>
      </c>
      <c r="G54" s="13">
        <f t="shared" si="3"/>
        <v>11.806969999999998</v>
      </c>
      <c r="H54" s="13"/>
      <c r="I54" s="13"/>
      <c r="J54" s="20"/>
      <c r="K54" s="20"/>
      <c r="L54" s="20"/>
      <c r="M54" s="20"/>
      <c r="N54" s="20"/>
      <c r="O54" s="13"/>
      <c r="P54" s="13"/>
      <c r="Q54" s="13"/>
      <c r="R54" s="13"/>
      <c r="S54" s="13"/>
      <c r="T54" s="13"/>
      <c r="U54" s="20"/>
      <c r="V54" s="20"/>
      <c r="W54" s="20"/>
      <c r="X54" s="20"/>
      <c r="Y54" s="20">
        <v>0.4</v>
      </c>
      <c r="Z54" s="20">
        <v>38.090000000000003</v>
      </c>
      <c r="AA54" s="20">
        <f t="shared" si="19"/>
        <v>15.236000000000002</v>
      </c>
      <c r="AB54" s="20"/>
      <c r="AC54" s="20"/>
      <c r="AD54" s="20"/>
      <c r="AE54" s="18"/>
      <c r="AF54" s="18"/>
      <c r="AG54" s="18"/>
      <c r="AH54" s="18"/>
      <c r="AI54" s="18"/>
      <c r="AJ54" s="18"/>
    </row>
    <row r="55" spans="1:36" ht="15.6" customHeight="1" x14ac:dyDescent="0.25">
      <c r="A55" s="8" t="s">
        <v>63</v>
      </c>
      <c r="B55" s="13">
        <v>31.475000000000001</v>
      </c>
      <c r="C55" s="13">
        <v>0.35</v>
      </c>
      <c r="D55" s="13">
        <f t="shared" si="15"/>
        <v>0.26</v>
      </c>
      <c r="E55" s="11">
        <f>C55-0.8</f>
        <v>-0.45000000000000007</v>
      </c>
      <c r="F55" s="11">
        <f t="shared" si="2"/>
        <v>0.71000000000000008</v>
      </c>
      <c r="G55" s="13">
        <f t="shared" si="3"/>
        <v>22.347250000000003</v>
      </c>
      <c r="H55" s="13"/>
      <c r="I55" s="13"/>
      <c r="J55" s="20"/>
      <c r="K55" s="20"/>
      <c r="L55" s="20"/>
      <c r="M55" s="20"/>
      <c r="N55" s="20"/>
      <c r="O55" s="13"/>
      <c r="P55" s="13"/>
      <c r="Q55" s="13"/>
      <c r="R55" s="13">
        <f>0.8-Y55</f>
        <v>0.4</v>
      </c>
      <c r="S55" s="13">
        <v>31.475000000000001</v>
      </c>
      <c r="T55" s="13">
        <f t="shared" si="21"/>
        <v>12.590000000000002</v>
      </c>
      <c r="U55" s="20"/>
      <c r="V55" s="20"/>
      <c r="W55" s="20"/>
      <c r="X55" s="20"/>
      <c r="Y55" s="20">
        <v>0.4</v>
      </c>
      <c r="Z55" s="20">
        <f>S55</f>
        <v>31.475000000000001</v>
      </c>
      <c r="AA55" s="20">
        <f t="shared" si="19"/>
        <v>12.590000000000002</v>
      </c>
      <c r="AB55" s="20"/>
      <c r="AC55" s="20"/>
      <c r="AD55" s="20"/>
      <c r="AE55" s="18"/>
      <c r="AF55" s="18"/>
      <c r="AG55" s="18"/>
      <c r="AH55" s="18"/>
      <c r="AI55" s="18"/>
      <c r="AJ55" s="18"/>
    </row>
    <row r="56" spans="1:36" ht="15.6" customHeight="1" x14ac:dyDescent="0.25">
      <c r="A56" s="8" t="s">
        <v>64</v>
      </c>
      <c r="B56" s="13">
        <v>92.355999999999995</v>
      </c>
      <c r="C56" s="13">
        <v>0.37</v>
      </c>
      <c r="D56" s="13">
        <f t="shared" si="15"/>
        <v>0.28000000000000003</v>
      </c>
      <c r="E56" s="11">
        <f>C56-0.45</f>
        <v>-8.0000000000000016E-2</v>
      </c>
      <c r="F56" s="11">
        <f t="shared" si="2"/>
        <v>0.36000000000000004</v>
      </c>
      <c r="G56" s="13">
        <f t="shared" si="3"/>
        <v>33.248159999999999</v>
      </c>
      <c r="H56" s="13"/>
      <c r="I56" s="13"/>
      <c r="J56" s="20"/>
      <c r="K56" s="20"/>
      <c r="L56" s="20"/>
      <c r="M56" s="20"/>
      <c r="N56" s="20">
        <v>0.45</v>
      </c>
      <c r="O56" s="13">
        <f>B56-S56</f>
        <v>80.055999999999997</v>
      </c>
      <c r="P56" s="13">
        <f t="shared" si="16"/>
        <v>36.025199999999998</v>
      </c>
      <c r="Q56" s="13">
        <f t="shared" si="17"/>
        <v>61.242839999999994</v>
      </c>
      <c r="R56" s="13">
        <f t="shared" si="18"/>
        <v>4.9999999999999989E-2</v>
      </c>
      <c r="S56" s="13">
        <f>3*4.1</f>
        <v>12.299999999999999</v>
      </c>
      <c r="T56" s="13">
        <f t="shared" si="21"/>
        <v>0.61499999999999977</v>
      </c>
      <c r="U56" s="20"/>
      <c r="V56" s="20"/>
      <c r="W56" s="20"/>
      <c r="X56" s="20"/>
      <c r="Y56" s="20">
        <v>0.4</v>
      </c>
      <c r="Z56" s="20">
        <f>S56</f>
        <v>12.299999999999999</v>
      </c>
      <c r="AA56" s="20">
        <f t="shared" si="19"/>
        <v>4.92</v>
      </c>
      <c r="AB56" s="20"/>
      <c r="AC56" s="20"/>
      <c r="AD56" s="20"/>
      <c r="AE56" s="18"/>
      <c r="AF56" s="18"/>
      <c r="AG56" s="18"/>
      <c r="AH56" s="18"/>
      <c r="AI56" s="18"/>
      <c r="AJ56" s="18"/>
    </row>
    <row r="57" spans="1:36" ht="15.6" customHeight="1" x14ac:dyDescent="0.25">
      <c r="A57" s="8" t="s">
        <v>65</v>
      </c>
      <c r="B57" s="13">
        <f>53.872+6.474+25.526+10.589+10.526+26.004+106.438+5.4</f>
        <v>244.82899999999998</v>
      </c>
      <c r="C57" s="13">
        <v>-0.22</v>
      </c>
      <c r="D57" s="13">
        <f t="shared" si="15"/>
        <v>-0.31</v>
      </c>
      <c r="E57" s="11">
        <f>C57-0.45</f>
        <v>-0.67</v>
      </c>
      <c r="F57" s="11">
        <f t="shared" si="2"/>
        <v>0.36000000000000004</v>
      </c>
      <c r="G57" s="13">
        <f t="shared" si="3"/>
        <v>88.138440000000003</v>
      </c>
      <c r="H57" s="13"/>
      <c r="I57" s="13"/>
      <c r="J57" s="20"/>
      <c r="K57" s="20"/>
      <c r="L57" s="20"/>
      <c r="M57" s="20"/>
      <c r="N57" s="20">
        <v>0.45</v>
      </c>
      <c r="O57" s="13">
        <f>25.526+5.4+26.004</f>
        <v>56.930000000000007</v>
      </c>
      <c r="P57" s="13">
        <f t="shared" si="16"/>
        <v>25.618500000000004</v>
      </c>
      <c r="Q57" s="13">
        <f t="shared" si="17"/>
        <v>43.55145000000001</v>
      </c>
      <c r="R57" s="13">
        <f t="shared" si="18"/>
        <v>4.9999999999999989E-2</v>
      </c>
      <c r="S57" s="13">
        <v>53.872</v>
      </c>
      <c r="T57" s="13">
        <f t="shared" si="21"/>
        <v>2.6935999999999996</v>
      </c>
      <c r="U57" s="20"/>
      <c r="V57" s="20"/>
      <c r="W57" s="20"/>
      <c r="X57" s="20"/>
      <c r="Y57" s="20">
        <v>0.4</v>
      </c>
      <c r="Z57" s="20">
        <f>106.438+10.246+10.589+6.474+31.351+53.872</f>
        <v>218.96999999999997</v>
      </c>
      <c r="AA57" s="20">
        <f t="shared" si="19"/>
        <v>87.587999999999994</v>
      </c>
      <c r="AB57" s="20"/>
      <c r="AC57" s="20"/>
      <c r="AD57" s="20"/>
      <c r="AE57" s="18"/>
      <c r="AF57" s="18"/>
      <c r="AG57" s="18"/>
      <c r="AH57" s="18"/>
      <c r="AI57" s="18"/>
      <c r="AJ57" s="18"/>
    </row>
    <row r="58" spans="1:36" ht="15.6" customHeight="1" x14ac:dyDescent="0.25">
      <c r="A58" s="8" t="s">
        <v>66</v>
      </c>
      <c r="B58" s="13">
        <f>71.249+18.699</f>
        <v>89.947999999999993</v>
      </c>
      <c r="C58" s="13">
        <v>-0.33</v>
      </c>
      <c r="D58" s="13">
        <f t="shared" si="15"/>
        <v>-0.42000000000000004</v>
      </c>
      <c r="E58" s="11">
        <f>C58-0.45</f>
        <v>-0.78</v>
      </c>
      <c r="F58" s="11">
        <f t="shared" si="2"/>
        <v>0.36</v>
      </c>
      <c r="G58" s="13">
        <f t="shared" si="3"/>
        <v>32.381279999999997</v>
      </c>
      <c r="H58" s="13"/>
      <c r="I58" s="13"/>
      <c r="J58" s="20"/>
      <c r="K58" s="20"/>
      <c r="L58" s="20"/>
      <c r="M58" s="20"/>
      <c r="N58" s="20">
        <v>0.45</v>
      </c>
      <c r="O58" s="13">
        <f>B58-S58</f>
        <v>71.248999999999995</v>
      </c>
      <c r="P58" s="13">
        <f t="shared" si="16"/>
        <v>32.062049999999999</v>
      </c>
      <c r="Q58" s="13">
        <f t="shared" si="17"/>
        <v>54.505485</v>
      </c>
      <c r="R58" s="13">
        <f t="shared" si="18"/>
        <v>4.9999999999999989E-2</v>
      </c>
      <c r="S58" s="13">
        <f>10.499+4.1+4.1</f>
        <v>18.698999999999998</v>
      </c>
      <c r="T58" s="13">
        <f t="shared" si="21"/>
        <v>0.93494999999999973</v>
      </c>
      <c r="U58" s="20"/>
      <c r="V58" s="20"/>
      <c r="W58" s="20"/>
      <c r="X58" s="20"/>
      <c r="Y58" s="20">
        <v>0.4</v>
      </c>
      <c r="Z58" s="20">
        <f>S58</f>
        <v>18.698999999999998</v>
      </c>
      <c r="AA58" s="20">
        <f t="shared" si="19"/>
        <v>7.4795999999999996</v>
      </c>
      <c r="AB58" s="20"/>
      <c r="AC58" s="20"/>
      <c r="AD58" s="20"/>
      <c r="AE58" s="18"/>
      <c r="AF58" s="18"/>
      <c r="AG58" s="18"/>
      <c r="AH58" s="18"/>
      <c r="AI58" s="18"/>
      <c r="AJ58" s="18"/>
    </row>
    <row r="59" spans="1:36" ht="15.6" customHeight="1" x14ac:dyDescent="0.25">
      <c r="A59" s="8" t="s">
        <v>36</v>
      </c>
      <c r="B59" s="13">
        <v>22.643000000000001</v>
      </c>
      <c r="C59" s="13">
        <v>0.52</v>
      </c>
      <c r="D59" s="13">
        <f>C59-0.09</f>
        <v>0.43000000000000005</v>
      </c>
      <c r="E59" s="11">
        <v>-0.26500000000000001</v>
      </c>
      <c r="F59" s="11">
        <f t="shared" si="2"/>
        <v>0.69500000000000006</v>
      </c>
      <c r="G59" s="13">
        <f t="shared" si="3"/>
        <v>15.736885000000003</v>
      </c>
      <c r="H59" s="13"/>
      <c r="I59" s="13"/>
      <c r="J59" s="20">
        <f>F59</f>
        <v>0.69500000000000006</v>
      </c>
      <c r="K59" s="20">
        <f t="shared" ref="K59:K81" si="25">B59</f>
        <v>22.643000000000001</v>
      </c>
      <c r="L59" s="20">
        <f>K59*J59</f>
        <v>15.736885000000003</v>
      </c>
      <c r="M59" s="13">
        <f>L59*1.9</f>
        <v>29.900081500000002</v>
      </c>
      <c r="N59" s="20"/>
      <c r="O59" s="13"/>
      <c r="P59" s="13"/>
      <c r="Q59" s="13"/>
      <c r="R59" s="13"/>
      <c r="S59" s="13"/>
      <c r="T59" s="13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18"/>
      <c r="AF59" s="18"/>
      <c r="AG59" s="18"/>
      <c r="AH59" s="18"/>
      <c r="AI59" s="18"/>
      <c r="AJ59" s="18"/>
    </row>
    <row r="60" spans="1:36" ht="15.6" customHeight="1" x14ac:dyDescent="0.25">
      <c r="A60" s="8" t="s">
        <v>35</v>
      </c>
      <c r="B60" s="13">
        <v>15.778</v>
      </c>
      <c r="C60" s="13">
        <v>0.35</v>
      </c>
      <c r="D60" s="13">
        <f t="shared" ref="D60:D91" si="26">C60-0.09</f>
        <v>0.26</v>
      </c>
      <c r="E60" s="11">
        <v>-0.39500000000000002</v>
      </c>
      <c r="F60" s="11">
        <f t="shared" ref="F60:F68" si="27">D60-E60</f>
        <v>0.65500000000000003</v>
      </c>
      <c r="G60" s="13">
        <f t="shared" ref="G60:G68" si="28">F60*B60</f>
        <v>10.33459</v>
      </c>
      <c r="H60" s="13"/>
      <c r="I60" s="13"/>
      <c r="J60" s="20">
        <f t="shared" ref="J60:J88" si="29">F60</f>
        <v>0.65500000000000003</v>
      </c>
      <c r="K60" s="20">
        <f t="shared" si="25"/>
        <v>15.778</v>
      </c>
      <c r="L60" s="20">
        <f t="shared" ref="L60:L88" si="30">K60*J60</f>
        <v>10.33459</v>
      </c>
      <c r="M60" s="13">
        <f t="shared" ref="M60:M88" si="31">L60*1.9</f>
        <v>19.635721</v>
      </c>
      <c r="N60" s="20"/>
      <c r="O60" s="13"/>
      <c r="P60" s="13"/>
      <c r="Q60" s="13"/>
      <c r="R60" s="13"/>
      <c r="S60" s="13"/>
      <c r="T60" s="13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18"/>
      <c r="AF60" s="18"/>
      <c r="AG60" s="18"/>
      <c r="AH60" s="18"/>
      <c r="AI60" s="18"/>
      <c r="AJ60" s="18"/>
    </row>
    <row r="61" spans="1:36" ht="15.6" customHeight="1" x14ac:dyDescent="0.25">
      <c r="A61" s="8" t="s">
        <v>37</v>
      </c>
      <c r="B61" s="13">
        <v>17.178999999999998</v>
      </c>
      <c r="C61" s="13">
        <v>0.19</v>
      </c>
      <c r="D61" s="13">
        <f t="shared" si="26"/>
        <v>0.1</v>
      </c>
      <c r="E61" s="11">
        <v>-0.52500000000000002</v>
      </c>
      <c r="F61" s="11">
        <f t="shared" si="27"/>
        <v>0.625</v>
      </c>
      <c r="G61" s="13">
        <f t="shared" si="28"/>
        <v>10.736875</v>
      </c>
      <c r="H61" s="13"/>
      <c r="I61" s="13"/>
      <c r="J61" s="20">
        <f t="shared" si="29"/>
        <v>0.625</v>
      </c>
      <c r="K61" s="20">
        <f t="shared" si="25"/>
        <v>17.178999999999998</v>
      </c>
      <c r="L61" s="20">
        <f t="shared" si="30"/>
        <v>10.736875</v>
      </c>
      <c r="M61" s="13">
        <f t="shared" si="31"/>
        <v>20.400062499999997</v>
      </c>
      <c r="N61" s="20"/>
      <c r="O61" s="13"/>
      <c r="P61" s="13"/>
      <c r="Q61" s="13"/>
      <c r="R61" s="13"/>
      <c r="S61" s="13"/>
      <c r="T61" s="13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18"/>
      <c r="AF61" s="18"/>
      <c r="AG61" s="18"/>
      <c r="AH61" s="18"/>
      <c r="AI61" s="18"/>
      <c r="AJ61" s="18"/>
    </row>
    <row r="62" spans="1:36" ht="15.6" customHeight="1" x14ac:dyDescent="0.25">
      <c r="A62" s="8" t="s">
        <v>38</v>
      </c>
      <c r="B62" s="13">
        <v>19.54</v>
      </c>
      <c r="C62" s="13">
        <v>0.18</v>
      </c>
      <c r="D62" s="13">
        <f t="shared" si="26"/>
        <v>0.09</v>
      </c>
      <c r="E62" s="11">
        <v>-0.52500000000000002</v>
      </c>
      <c r="F62" s="11">
        <f t="shared" si="27"/>
        <v>0.61499999999999999</v>
      </c>
      <c r="G62" s="13">
        <f t="shared" si="28"/>
        <v>12.017099999999999</v>
      </c>
      <c r="H62" s="13"/>
      <c r="I62" s="13"/>
      <c r="J62" s="20">
        <f t="shared" si="29"/>
        <v>0.61499999999999999</v>
      </c>
      <c r="K62" s="20">
        <f t="shared" si="25"/>
        <v>19.54</v>
      </c>
      <c r="L62" s="20">
        <f t="shared" si="30"/>
        <v>12.017099999999999</v>
      </c>
      <c r="M62" s="13">
        <f t="shared" si="31"/>
        <v>22.832489999999996</v>
      </c>
      <c r="N62" s="20"/>
      <c r="O62" s="13"/>
      <c r="P62" s="13"/>
      <c r="Q62" s="13"/>
      <c r="R62" s="13"/>
      <c r="S62" s="13"/>
      <c r="T62" s="13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18"/>
      <c r="AF62" s="18"/>
      <c r="AG62" s="18"/>
      <c r="AH62" s="18"/>
      <c r="AI62" s="18"/>
      <c r="AJ62" s="18"/>
    </row>
    <row r="63" spans="1:36" ht="15.6" customHeight="1" x14ac:dyDescent="0.25">
      <c r="A63" s="8" t="s">
        <v>39</v>
      </c>
      <c r="B63" s="13">
        <f>5.101+3.229</f>
        <v>8.33</v>
      </c>
      <c r="C63" s="13">
        <v>0.15</v>
      </c>
      <c r="D63" s="13">
        <f t="shared" si="26"/>
        <v>0.06</v>
      </c>
      <c r="E63" s="11">
        <v>-0.54</v>
      </c>
      <c r="F63" s="11">
        <f t="shared" si="27"/>
        <v>0.60000000000000009</v>
      </c>
      <c r="G63" s="13">
        <f t="shared" si="28"/>
        <v>4.9980000000000011</v>
      </c>
      <c r="H63" s="13"/>
      <c r="I63" s="13"/>
      <c r="J63" s="20">
        <f t="shared" si="29"/>
        <v>0.60000000000000009</v>
      </c>
      <c r="K63" s="20">
        <f t="shared" si="25"/>
        <v>8.33</v>
      </c>
      <c r="L63" s="20">
        <f t="shared" si="30"/>
        <v>4.9980000000000011</v>
      </c>
      <c r="M63" s="13">
        <f t="shared" si="31"/>
        <v>9.4962000000000018</v>
      </c>
      <c r="N63" s="20"/>
      <c r="O63" s="13"/>
      <c r="P63" s="13"/>
      <c r="Q63" s="13"/>
      <c r="R63" s="13"/>
      <c r="S63" s="13"/>
      <c r="T63" s="13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18"/>
      <c r="AF63" s="18"/>
      <c r="AG63" s="18"/>
      <c r="AH63" s="18"/>
      <c r="AI63" s="18"/>
      <c r="AJ63" s="18"/>
    </row>
    <row r="64" spans="1:36" ht="15.6" customHeight="1" x14ac:dyDescent="0.25">
      <c r="A64" s="8" t="s">
        <v>40</v>
      </c>
      <c r="B64" s="13">
        <f>6.766+4.277</f>
        <v>11.042999999999999</v>
      </c>
      <c r="C64" s="13">
        <v>0.13</v>
      </c>
      <c r="D64" s="13">
        <f t="shared" si="26"/>
        <v>4.0000000000000008E-2</v>
      </c>
      <c r="E64" s="11">
        <v>-0.55000000000000004</v>
      </c>
      <c r="F64" s="11">
        <f t="shared" si="27"/>
        <v>0.59000000000000008</v>
      </c>
      <c r="G64" s="13">
        <f t="shared" si="28"/>
        <v>6.5153700000000008</v>
      </c>
      <c r="H64" s="13"/>
      <c r="I64" s="13"/>
      <c r="J64" s="20">
        <f t="shared" si="29"/>
        <v>0.59000000000000008</v>
      </c>
      <c r="K64" s="20">
        <f t="shared" si="25"/>
        <v>11.042999999999999</v>
      </c>
      <c r="L64" s="20">
        <f t="shared" si="30"/>
        <v>6.5153700000000008</v>
      </c>
      <c r="M64" s="13">
        <f t="shared" si="31"/>
        <v>12.379203</v>
      </c>
      <c r="N64" s="20"/>
      <c r="O64" s="13"/>
      <c r="P64" s="13"/>
      <c r="Q64" s="13"/>
      <c r="R64" s="13"/>
      <c r="S64" s="13"/>
      <c r="T64" s="13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18"/>
      <c r="AF64" s="18"/>
      <c r="AG64" s="18"/>
      <c r="AH64" s="18"/>
      <c r="AI64" s="18"/>
      <c r="AJ64" s="18"/>
    </row>
    <row r="65" spans="1:36" ht="15.6" customHeight="1" x14ac:dyDescent="0.25">
      <c r="A65" s="8" t="s">
        <v>41</v>
      </c>
      <c r="B65" s="13">
        <v>9.7170000000000005</v>
      </c>
      <c r="C65" s="13">
        <v>0.05</v>
      </c>
      <c r="D65" s="13">
        <f t="shared" si="26"/>
        <v>-3.9999999999999994E-2</v>
      </c>
      <c r="E65" s="11">
        <v>-0.625</v>
      </c>
      <c r="F65" s="11">
        <f t="shared" si="27"/>
        <v>0.58499999999999996</v>
      </c>
      <c r="G65" s="13">
        <f t="shared" si="28"/>
        <v>5.6844450000000002</v>
      </c>
      <c r="H65" s="13"/>
      <c r="I65" s="13"/>
      <c r="J65" s="20">
        <f t="shared" si="29"/>
        <v>0.58499999999999996</v>
      </c>
      <c r="K65" s="20">
        <f t="shared" si="25"/>
        <v>9.7170000000000005</v>
      </c>
      <c r="L65" s="20">
        <f t="shared" si="30"/>
        <v>5.6844450000000002</v>
      </c>
      <c r="M65" s="13">
        <f t="shared" si="31"/>
        <v>10.8004455</v>
      </c>
      <c r="N65" s="20"/>
      <c r="O65" s="13"/>
      <c r="P65" s="13"/>
      <c r="Q65" s="13"/>
      <c r="R65" s="13"/>
      <c r="S65" s="13"/>
      <c r="T65" s="13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18"/>
      <c r="AF65" s="18"/>
      <c r="AG65" s="18"/>
      <c r="AH65" s="18"/>
      <c r="AI65" s="18"/>
      <c r="AJ65" s="18"/>
    </row>
    <row r="66" spans="1:36" ht="15.6" customHeight="1" x14ac:dyDescent="0.25">
      <c r="A66" s="8" t="s">
        <v>42</v>
      </c>
      <c r="B66" s="13">
        <v>12.308999999999999</v>
      </c>
      <c r="C66" s="13">
        <v>0.01</v>
      </c>
      <c r="D66" s="13">
        <f>C66-0.09</f>
        <v>-0.08</v>
      </c>
      <c r="E66" s="11">
        <v>-0.73499999999999999</v>
      </c>
      <c r="F66" s="11">
        <f t="shared" si="27"/>
        <v>0.65500000000000003</v>
      </c>
      <c r="G66" s="13">
        <f t="shared" si="28"/>
        <v>8.0623950000000004</v>
      </c>
      <c r="H66" s="13"/>
      <c r="I66" s="13"/>
      <c r="J66" s="20">
        <f t="shared" si="29"/>
        <v>0.65500000000000003</v>
      </c>
      <c r="K66" s="20">
        <f t="shared" si="25"/>
        <v>12.308999999999999</v>
      </c>
      <c r="L66" s="20">
        <f t="shared" si="30"/>
        <v>8.0623950000000004</v>
      </c>
      <c r="M66" s="13">
        <f t="shared" si="31"/>
        <v>15.318550500000001</v>
      </c>
      <c r="N66" s="20"/>
      <c r="O66" s="13"/>
      <c r="P66" s="13"/>
      <c r="Q66" s="13"/>
      <c r="R66" s="13"/>
      <c r="S66" s="13"/>
      <c r="T66" s="13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18"/>
      <c r="AF66" s="18"/>
      <c r="AG66" s="18"/>
      <c r="AH66" s="18"/>
      <c r="AI66" s="18"/>
      <c r="AJ66" s="18"/>
    </row>
    <row r="67" spans="1:36" ht="15.6" customHeight="1" x14ac:dyDescent="0.25">
      <c r="A67" s="8" t="s">
        <v>43</v>
      </c>
      <c r="B67" s="13">
        <v>9.6449999999999996</v>
      </c>
      <c r="C67" s="13">
        <v>-0.06</v>
      </c>
      <c r="D67" s="13">
        <f t="shared" si="26"/>
        <v>-0.15</v>
      </c>
      <c r="E67" s="11">
        <v>-0.995</v>
      </c>
      <c r="F67" s="11">
        <f t="shared" si="27"/>
        <v>0.84499999999999997</v>
      </c>
      <c r="G67" s="13">
        <f t="shared" si="28"/>
        <v>8.1500249999999994</v>
      </c>
      <c r="H67" s="13"/>
      <c r="I67" s="13"/>
      <c r="J67" s="20">
        <f t="shared" si="29"/>
        <v>0.84499999999999997</v>
      </c>
      <c r="K67" s="20">
        <f t="shared" si="25"/>
        <v>9.6449999999999996</v>
      </c>
      <c r="L67" s="20">
        <f t="shared" si="30"/>
        <v>8.1500249999999994</v>
      </c>
      <c r="M67" s="13">
        <f t="shared" si="31"/>
        <v>15.485047499999999</v>
      </c>
      <c r="N67" s="20"/>
      <c r="O67" s="13"/>
      <c r="P67" s="13"/>
      <c r="Q67" s="13"/>
      <c r="R67" s="13"/>
      <c r="S67" s="13"/>
      <c r="T67" s="13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18"/>
      <c r="AF67" s="18"/>
      <c r="AG67" s="18"/>
      <c r="AH67" s="18"/>
      <c r="AI67" s="18"/>
      <c r="AJ67" s="18"/>
    </row>
    <row r="68" spans="1:36" ht="15.6" customHeight="1" x14ac:dyDescent="0.25">
      <c r="A68" s="8" t="s">
        <v>28</v>
      </c>
      <c r="B68" s="13">
        <v>17.52</v>
      </c>
      <c r="C68" s="13">
        <v>-0.11</v>
      </c>
      <c r="D68" s="13">
        <f t="shared" si="26"/>
        <v>-0.2</v>
      </c>
      <c r="E68" s="11">
        <v>-0.97</v>
      </c>
      <c r="F68" s="11">
        <f t="shared" si="27"/>
        <v>0.77</v>
      </c>
      <c r="G68" s="13">
        <f t="shared" si="28"/>
        <v>13.490399999999999</v>
      </c>
      <c r="H68" s="13"/>
      <c r="I68" s="13"/>
      <c r="J68" s="20">
        <f t="shared" si="29"/>
        <v>0.77</v>
      </c>
      <c r="K68" s="20">
        <f t="shared" si="25"/>
        <v>17.52</v>
      </c>
      <c r="L68" s="20">
        <f t="shared" si="30"/>
        <v>13.490399999999999</v>
      </c>
      <c r="M68" s="13">
        <f t="shared" si="31"/>
        <v>25.631759999999996</v>
      </c>
      <c r="N68" s="20"/>
      <c r="O68" s="13"/>
      <c r="P68" s="13"/>
      <c r="Q68" s="13"/>
      <c r="R68" s="13"/>
      <c r="S68" s="13"/>
      <c r="T68" s="13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18"/>
      <c r="AF68" s="18"/>
      <c r="AG68" s="18"/>
      <c r="AH68" s="18"/>
      <c r="AI68" s="18"/>
      <c r="AJ68" s="18"/>
    </row>
    <row r="69" spans="1:36" ht="15.6" customHeight="1" x14ac:dyDescent="0.25">
      <c r="A69" s="8" t="s">
        <v>29</v>
      </c>
      <c r="B69" s="13">
        <v>25.891999999999999</v>
      </c>
      <c r="C69" s="13">
        <v>-0.19</v>
      </c>
      <c r="D69" s="13">
        <f t="shared" si="26"/>
        <v>-0.28000000000000003</v>
      </c>
      <c r="E69" s="11">
        <v>-1.1000000000000001</v>
      </c>
      <c r="F69" s="11">
        <f t="shared" ref="F69:F85" si="32">D69-E69</f>
        <v>0.82000000000000006</v>
      </c>
      <c r="G69" s="13">
        <f t="shared" ref="G69:G85" si="33">F69*B69</f>
        <v>21.231440000000003</v>
      </c>
      <c r="H69" s="13"/>
      <c r="I69" s="13"/>
      <c r="J69" s="20">
        <f t="shared" si="29"/>
        <v>0.82000000000000006</v>
      </c>
      <c r="K69" s="20">
        <f t="shared" si="25"/>
        <v>25.891999999999999</v>
      </c>
      <c r="L69" s="20">
        <f t="shared" si="30"/>
        <v>21.231440000000003</v>
      </c>
      <c r="M69" s="13">
        <f t="shared" si="31"/>
        <v>40.339736000000002</v>
      </c>
      <c r="N69" s="20"/>
      <c r="O69" s="13"/>
      <c r="P69" s="13"/>
      <c r="Q69" s="13"/>
      <c r="R69" s="13"/>
      <c r="S69" s="13"/>
      <c r="T69" s="13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18"/>
      <c r="AF69" s="18"/>
      <c r="AG69" s="18"/>
      <c r="AH69" s="18"/>
      <c r="AI69" s="18"/>
      <c r="AJ69" s="18"/>
    </row>
    <row r="70" spans="1:36" ht="15.6" customHeight="1" x14ac:dyDescent="0.25">
      <c r="A70" s="8" t="s">
        <v>30</v>
      </c>
      <c r="B70" s="13">
        <v>9.0690000000000008</v>
      </c>
      <c r="C70" s="13">
        <v>-0.2</v>
      </c>
      <c r="D70" s="13">
        <f t="shared" si="26"/>
        <v>-0.29000000000000004</v>
      </c>
      <c r="E70" s="11">
        <v>-0.79500000000000004</v>
      </c>
      <c r="F70" s="11">
        <f t="shared" si="32"/>
        <v>0.505</v>
      </c>
      <c r="G70" s="13">
        <f t="shared" si="33"/>
        <v>4.5798450000000006</v>
      </c>
      <c r="H70" s="13"/>
      <c r="I70" s="13"/>
      <c r="J70" s="20">
        <f t="shared" si="29"/>
        <v>0.505</v>
      </c>
      <c r="K70" s="20">
        <f t="shared" si="25"/>
        <v>9.0690000000000008</v>
      </c>
      <c r="L70" s="20">
        <f t="shared" si="30"/>
        <v>4.5798450000000006</v>
      </c>
      <c r="M70" s="13">
        <f t="shared" si="31"/>
        <v>8.701705500000001</v>
      </c>
      <c r="N70" s="20"/>
      <c r="O70" s="13"/>
      <c r="P70" s="13"/>
      <c r="Q70" s="13"/>
      <c r="R70" s="13"/>
      <c r="S70" s="13"/>
      <c r="T70" s="13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18"/>
      <c r="AF70" s="18"/>
      <c r="AG70" s="18"/>
      <c r="AH70" s="18"/>
      <c r="AI70" s="18"/>
      <c r="AJ70" s="18"/>
    </row>
    <row r="71" spans="1:36" ht="15.6" customHeight="1" x14ac:dyDescent="0.25">
      <c r="A71" s="8" t="s">
        <v>31</v>
      </c>
      <c r="B71" s="13">
        <v>25.172999999999998</v>
      </c>
      <c r="C71" s="13">
        <v>-0.15</v>
      </c>
      <c r="D71" s="13">
        <f t="shared" si="26"/>
        <v>-0.24</v>
      </c>
      <c r="E71" s="11">
        <v>-0.9</v>
      </c>
      <c r="F71" s="11">
        <f t="shared" si="32"/>
        <v>0.66</v>
      </c>
      <c r="G71" s="13">
        <f t="shared" si="33"/>
        <v>16.614180000000001</v>
      </c>
      <c r="H71" s="13"/>
      <c r="I71" s="13"/>
      <c r="J71" s="20">
        <f t="shared" si="29"/>
        <v>0.66</v>
      </c>
      <c r="K71" s="20">
        <f t="shared" si="25"/>
        <v>25.172999999999998</v>
      </c>
      <c r="L71" s="20">
        <f t="shared" si="30"/>
        <v>16.614180000000001</v>
      </c>
      <c r="M71" s="13">
        <f t="shared" si="31"/>
        <v>31.566942000000001</v>
      </c>
      <c r="N71" s="20"/>
      <c r="O71" s="13"/>
      <c r="P71" s="13"/>
      <c r="Q71" s="13"/>
      <c r="R71" s="13"/>
      <c r="S71" s="13"/>
      <c r="T71" s="13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18"/>
      <c r="AF71" s="18"/>
      <c r="AG71" s="18"/>
      <c r="AH71" s="18"/>
      <c r="AI71" s="18"/>
      <c r="AJ71" s="18"/>
    </row>
    <row r="72" spans="1:36" ht="15.6" customHeight="1" x14ac:dyDescent="0.25">
      <c r="A72" s="8" t="s">
        <v>32</v>
      </c>
      <c r="B72" s="13">
        <v>14.238</v>
      </c>
      <c r="C72" s="13">
        <v>-0.26</v>
      </c>
      <c r="D72" s="13">
        <f t="shared" si="26"/>
        <v>-0.35</v>
      </c>
      <c r="E72" s="11">
        <v>-0.9</v>
      </c>
      <c r="F72" s="11">
        <f t="shared" si="32"/>
        <v>0.55000000000000004</v>
      </c>
      <c r="G72" s="13">
        <f t="shared" si="33"/>
        <v>7.8309000000000006</v>
      </c>
      <c r="H72" s="13"/>
      <c r="I72" s="13"/>
      <c r="J72" s="20">
        <f t="shared" si="29"/>
        <v>0.55000000000000004</v>
      </c>
      <c r="K72" s="20">
        <f t="shared" si="25"/>
        <v>14.238</v>
      </c>
      <c r="L72" s="20">
        <f t="shared" si="30"/>
        <v>7.8309000000000006</v>
      </c>
      <c r="M72" s="13">
        <f t="shared" si="31"/>
        <v>14.87871</v>
      </c>
      <c r="N72" s="20"/>
      <c r="O72" s="13"/>
      <c r="P72" s="13"/>
      <c r="Q72" s="13"/>
      <c r="R72" s="13"/>
      <c r="S72" s="13"/>
      <c r="T72" s="13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18"/>
      <c r="AF72" s="18"/>
      <c r="AG72" s="18"/>
      <c r="AH72" s="18"/>
      <c r="AI72" s="18"/>
      <c r="AJ72" s="18"/>
    </row>
    <row r="73" spans="1:36" ht="15.6" customHeight="1" x14ac:dyDescent="0.25">
      <c r="A73" s="8" t="s">
        <v>33</v>
      </c>
      <c r="B73" s="13">
        <v>32.847000000000001</v>
      </c>
      <c r="C73" s="13">
        <v>-0.44</v>
      </c>
      <c r="D73" s="13">
        <f t="shared" si="26"/>
        <v>-0.53</v>
      </c>
      <c r="E73" s="11">
        <v>-0.9</v>
      </c>
      <c r="F73" s="11">
        <f t="shared" si="32"/>
        <v>0.37</v>
      </c>
      <c r="G73" s="13">
        <f t="shared" si="33"/>
        <v>12.15339</v>
      </c>
      <c r="H73" s="13"/>
      <c r="I73" s="13"/>
      <c r="J73" s="20">
        <f t="shared" si="29"/>
        <v>0.37</v>
      </c>
      <c r="K73" s="20">
        <f t="shared" si="25"/>
        <v>32.847000000000001</v>
      </c>
      <c r="L73" s="20">
        <f t="shared" si="30"/>
        <v>12.15339</v>
      </c>
      <c r="M73" s="13">
        <f t="shared" si="31"/>
        <v>23.091441</v>
      </c>
      <c r="N73" s="20"/>
      <c r="O73" s="13"/>
      <c r="P73" s="13"/>
      <c r="Q73" s="13"/>
      <c r="R73" s="13"/>
      <c r="S73" s="13"/>
      <c r="T73" s="13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18"/>
      <c r="AF73" s="18"/>
      <c r="AG73" s="18"/>
      <c r="AH73" s="18"/>
      <c r="AI73" s="18"/>
      <c r="AJ73" s="18"/>
    </row>
    <row r="74" spans="1:36" ht="15.6" customHeight="1" x14ac:dyDescent="0.25">
      <c r="A74" s="8" t="s">
        <v>34</v>
      </c>
      <c r="B74" s="13">
        <v>6.2320000000000002</v>
      </c>
      <c r="C74" s="13">
        <v>-0.35</v>
      </c>
      <c r="D74" s="13">
        <f t="shared" si="26"/>
        <v>-0.43999999999999995</v>
      </c>
      <c r="E74" s="11">
        <v>-0.9</v>
      </c>
      <c r="F74" s="11">
        <f t="shared" si="32"/>
        <v>0.46000000000000008</v>
      </c>
      <c r="G74" s="13">
        <f t="shared" si="33"/>
        <v>2.8667200000000004</v>
      </c>
      <c r="H74" s="13"/>
      <c r="I74" s="13"/>
      <c r="J74" s="20">
        <f t="shared" si="29"/>
        <v>0.46000000000000008</v>
      </c>
      <c r="K74" s="20">
        <f t="shared" si="25"/>
        <v>6.2320000000000002</v>
      </c>
      <c r="L74" s="20">
        <f t="shared" si="30"/>
        <v>2.8667200000000004</v>
      </c>
      <c r="M74" s="13">
        <f t="shared" si="31"/>
        <v>5.4467680000000005</v>
      </c>
      <c r="N74" s="20"/>
      <c r="O74" s="13"/>
      <c r="P74" s="13"/>
      <c r="Q74" s="13"/>
      <c r="R74" s="13"/>
      <c r="S74" s="13"/>
      <c r="T74" s="13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18"/>
      <c r="AF74" s="18"/>
      <c r="AG74" s="18"/>
      <c r="AH74" s="18"/>
      <c r="AI74" s="18"/>
      <c r="AJ74" s="18"/>
    </row>
    <row r="75" spans="1:36" ht="15.6" customHeight="1" x14ac:dyDescent="0.25">
      <c r="A75" s="8" t="s">
        <v>267</v>
      </c>
      <c r="B75" s="13">
        <v>13.885</v>
      </c>
      <c r="C75" s="13">
        <v>-0.31</v>
      </c>
      <c r="D75" s="13">
        <f t="shared" si="26"/>
        <v>-0.4</v>
      </c>
      <c r="E75" s="11">
        <v>-0.9</v>
      </c>
      <c r="F75" s="11">
        <f t="shared" si="32"/>
        <v>0.5</v>
      </c>
      <c r="G75" s="13">
        <f t="shared" si="33"/>
        <v>6.9424999999999999</v>
      </c>
      <c r="H75" s="13"/>
      <c r="I75" s="13"/>
      <c r="J75" s="20">
        <f t="shared" si="29"/>
        <v>0.5</v>
      </c>
      <c r="K75" s="20">
        <f t="shared" si="25"/>
        <v>13.885</v>
      </c>
      <c r="L75" s="20">
        <f t="shared" si="30"/>
        <v>6.9424999999999999</v>
      </c>
      <c r="M75" s="13">
        <f t="shared" si="31"/>
        <v>13.19075</v>
      </c>
      <c r="N75" s="20"/>
      <c r="O75" s="13"/>
      <c r="P75" s="13"/>
      <c r="Q75" s="13"/>
      <c r="R75" s="13"/>
      <c r="S75" s="13"/>
      <c r="T75" s="13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18"/>
      <c r="AF75" s="18"/>
      <c r="AG75" s="18"/>
      <c r="AH75" s="18"/>
      <c r="AI75" s="18"/>
      <c r="AJ75" s="18"/>
    </row>
    <row r="76" spans="1:36" ht="15.6" customHeight="1" x14ac:dyDescent="0.25">
      <c r="A76" s="8" t="s">
        <v>268</v>
      </c>
      <c r="B76" s="13">
        <v>9.8510000000000009</v>
      </c>
      <c r="C76" s="13">
        <v>-0.37</v>
      </c>
      <c r="D76" s="13">
        <f t="shared" si="26"/>
        <v>-0.45999999999999996</v>
      </c>
      <c r="E76" s="11">
        <v>-0.9</v>
      </c>
      <c r="F76" s="11">
        <f t="shared" si="32"/>
        <v>0.44000000000000006</v>
      </c>
      <c r="G76" s="13">
        <f t="shared" si="33"/>
        <v>4.3344400000000007</v>
      </c>
      <c r="H76" s="13"/>
      <c r="I76" s="13"/>
      <c r="J76" s="20">
        <f t="shared" si="29"/>
        <v>0.44000000000000006</v>
      </c>
      <c r="K76" s="20">
        <f t="shared" si="25"/>
        <v>9.8510000000000009</v>
      </c>
      <c r="L76" s="20">
        <f t="shared" si="30"/>
        <v>4.3344400000000007</v>
      </c>
      <c r="M76" s="13">
        <f t="shared" si="31"/>
        <v>8.2354360000000018</v>
      </c>
      <c r="N76" s="20"/>
      <c r="O76" s="13"/>
      <c r="P76" s="13"/>
      <c r="Q76" s="13"/>
      <c r="R76" s="13"/>
      <c r="S76" s="13"/>
      <c r="T76" s="13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18"/>
      <c r="AF76" s="18"/>
      <c r="AG76" s="18"/>
      <c r="AH76" s="18"/>
      <c r="AI76" s="18"/>
      <c r="AJ76" s="18"/>
    </row>
    <row r="77" spans="1:36" ht="15.6" customHeight="1" x14ac:dyDescent="0.25">
      <c r="A77" s="8" t="s">
        <v>269</v>
      </c>
      <c r="B77" s="13">
        <v>5.8339999999999996</v>
      </c>
      <c r="C77" s="13">
        <v>-0.3</v>
      </c>
      <c r="D77" s="13">
        <f t="shared" si="26"/>
        <v>-0.39</v>
      </c>
      <c r="E77" s="11">
        <v>-0.76</v>
      </c>
      <c r="F77" s="11">
        <f t="shared" si="32"/>
        <v>0.37</v>
      </c>
      <c r="G77" s="13">
        <f t="shared" si="33"/>
        <v>2.1585799999999997</v>
      </c>
      <c r="H77" s="13"/>
      <c r="I77" s="13"/>
      <c r="J77" s="20">
        <f t="shared" ref="J77" si="34">F77</f>
        <v>0.37</v>
      </c>
      <c r="K77" s="20">
        <f t="shared" ref="K77" si="35">B77</f>
        <v>5.8339999999999996</v>
      </c>
      <c r="L77" s="20">
        <f t="shared" ref="L77" si="36">K77*J77</f>
        <v>2.1585799999999997</v>
      </c>
      <c r="M77" s="13">
        <f t="shared" si="31"/>
        <v>4.1013019999999996</v>
      </c>
      <c r="N77" s="20"/>
      <c r="O77" s="13"/>
      <c r="P77" s="13"/>
      <c r="Q77" s="13"/>
      <c r="R77" s="13"/>
      <c r="S77" s="13"/>
      <c r="T77" s="13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18"/>
      <c r="AF77" s="18"/>
      <c r="AG77" s="18"/>
      <c r="AH77" s="18"/>
      <c r="AI77" s="18"/>
      <c r="AJ77" s="18"/>
    </row>
    <row r="78" spans="1:36" ht="15.6" customHeight="1" x14ac:dyDescent="0.25">
      <c r="A78" s="8" t="s">
        <v>264</v>
      </c>
      <c r="B78" s="13">
        <v>6.3620000000000001</v>
      </c>
      <c r="C78" s="13">
        <v>-0.25</v>
      </c>
      <c r="D78" s="13">
        <f t="shared" si="26"/>
        <v>-0.33999999999999997</v>
      </c>
      <c r="E78" s="11">
        <v>-0.71</v>
      </c>
      <c r="F78" s="11">
        <f t="shared" si="32"/>
        <v>0.37</v>
      </c>
      <c r="G78" s="13">
        <f t="shared" si="33"/>
        <v>2.3539400000000001</v>
      </c>
      <c r="H78" s="13"/>
      <c r="I78" s="13"/>
      <c r="J78" s="20">
        <f t="shared" si="29"/>
        <v>0.37</v>
      </c>
      <c r="K78" s="20">
        <f t="shared" si="25"/>
        <v>6.3620000000000001</v>
      </c>
      <c r="L78" s="20">
        <f t="shared" si="30"/>
        <v>2.3539400000000001</v>
      </c>
      <c r="M78" s="13">
        <f t="shared" si="31"/>
        <v>4.472486</v>
      </c>
      <c r="N78" s="20"/>
      <c r="O78" s="13"/>
      <c r="P78" s="13"/>
      <c r="Q78" s="13"/>
      <c r="R78" s="13"/>
      <c r="S78" s="13"/>
      <c r="T78" s="13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18"/>
      <c r="AF78" s="18"/>
      <c r="AG78" s="18"/>
      <c r="AH78" s="18"/>
      <c r="AI78" s="18"/>
      <c r="AJ78" s="18"/>
    </row>
    <row r="79" spans="1:36" ht="15.6" customHeight="1" x14ac:dyDescent="0.25">
      <c r="A79" s="8" t="s">
        <v>265</v>
      </c>
      <c r="B79" s="13">
        <v>6.5819999999999999</v>
      </c>
      <c r="C79" s="13">
        <v>-0.4</v>
      </c>
      <c r="D79" s="13">
        <f t="shared" si="26"/>
        <v>-0.49</v>
      </c>
      <c r="E79" s="11">
        <v>-0.9</v>
      </c>
      <c r="F79" s="11">
        <f t="shared" si="32"/>
        <v>0.41000000000000003</v>
      </c>
      <c r="G79" s="13">
        <f t="shared" si="33"/>
        <v>2.69862</v>
      </c>
      <c r="H79" s="13"/>
      <c r="I79" s="13"/>
      <c r="J79" s="20">
        <f t="shared" si="29"/>
        <v>0.41000000000000003</v>
      </c>
      <c r="K79" s="20">
        <f t="shared" si="25"/>
        <v>6.5819999999999999</v>
      </c>
      <c r="L79" s="20">
        <f t="shared" si="30"/>
        <v>2.69862</v>
      </c>
      <c r="M79" s="13">
        <f t="shared" si="31"/>
        <v>5.1273780000000002</v>
      </c>
      <c r="N79" s="20"/>
      <c r="O79" s="13"/>
      <c r="P79" s="13"/>
      <c r="Q79" s="13"/>
      <c r="R79" s="13"/>
      <c r="S79" s="13"/>
      <c r="T79" s="13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18"/>
      <c r="AF79" s="18"/>
      <c r="AG79" s="18"/>
      <c r="AH79" s="18"/>
      <c r="AI79" s="18"/>
      <c r="AJ79" s="18"/>
    </row>
    <row r="80" spans="1:36" ht="15.6" customHeight="1" x14ac:dyDescent="0.25">
      <c r="A80" s="8" t="s">
        <v>266</v>
      </c>
      <c r="B80" s="13">
        <v>5.1369999999999996</v>
      </c>
      <c r="C80" s="13">
        <v>-0.37</v>
      </c>
      <c r="D80" s="13">
        <f t="shared" si="26"/>
        <v>-0.45999999999999996</v>
      </c>
      <c r="E80" s="11">
        <v>-0.9</v>
      </c>
      <c r="F80" s="11">
        <f t="shared" si="32"/>
        <v>0.44000000000000006</v>
      </c>
      <c r="G80" s="13">
        <f t="shared" si="33"/>
        <v>2.2602800000000003</v>
      </c>
      <c r="H80" s="13"/>
      <c r="I80" s="13"/>
      <c r="J80" s="20">
        <f t="shared" si="29"/>
        <v>0.44000000000000006</v>
      </c>
      <c r="K80" s="20">
        <f t="shared" si="25"/>
        <v>5.1369999999999996</v>
      </c>
      <c r="L80" s="20">
        <f t="shared" si="30"/>
        <v>2.2602800000000003</v>
      </c>
      <c r="M80" s="13">
        <f t="shared" si="31"/>
        <v>4.2945320000000002</v>
      </c>
      <c r="N80" s="20"/>
      <c r="O80" s="13"/>
      <c r="P80" s="13"/>
      <c r="Q80" s="13"/>
      <c r="R80" s="13"/>
      <c r="S80" s="13"/>
      <c r="T80" s="13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18"/>
      <c r="AF80" s="18"/>
      <c r="AG80" s="18"/>
      <c r="AH80" s="18"/>
      <c r="AI80" s="18"/>
      <c r="AJ80" s="18"/>
    </row>
    <row r="81" spans="1:36" ht="15.6" customHeight="1" x14ac:dyDescent="0.25">
      <c r="A81" s="8" t="s">
        <v>263</v>
      </c>
      <c r="B81" s="13">
        <v>27.896000000000001</v>
      </c>
      <c r="C81" s="13">
        <v>-0.32</v>
      </c>
      <c r="D81" s="13">
        <f t="shared" si="26"/>
        <v>-0.41000000000000003</v>
      </c>
      <c r="E81" s="11">
        <v>-0.9</v>
      </c>
      <c r="F81" s="11">
        <f t="shared" si="32"/>
        <v>0.49</v>
      </c>
      <c r="G81" s="13">
        <f t="shared" si="33"/>
        <v>13.669040000000001</v>
      </c>
      <c r="H81" s="13"/>
      <c r="I81" s="13"/>
      <c r="J81" s="20">
        <f t="shared" si="29"/>
        <v>0.49</v>
      </c>
      <c r="K81" s="20">
        <f t="shared" si="25"/>
        <v>27.896000000000001</v>
      </c>
      <c r="L81" s="20">
        <f t="shared" si="30"/>
        <v>13.669040000000001</v>
      </c>
      <c r="M81" s="13">
        <f t="shared" si="31"/>
        <v>25.971176</v>
      </c>
      <c r="N81" s="20"/>
      <c r="O81" s="13"/>
      <c r="P81" s="13"/>
      <c r="Q81" s="13"/>
      <c r="R81" s="13"/>
      <c r="S81" s="13"/>
      <c r="T81" s="13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18"/>
      <c r="AF81" s="18"/>
      <c r="AG81" s="18"/>
      <c r="AH81" s="18"/>
      <c r="AI81" s="18"/>
      <c r="AJ81" s="18"/>
    </row>
    <row r="82" spans="1:36" ht="15.6" customHeight="1" x14ac:dyDescent="0.25">
      <c r="A82" s="8" t="s">
        <v>67</v>
      </c>
      <c r="B82" s="13">
        <v>25.338999999999999</v>
      </c>
      <c r="C82" s="13">
        <v>-0.23</v>
      </c>
      <c r="D82" s="13">
        <f t="shared" si="26"/>
        <v>-0.32</v>
      </c>
      <c r="E82" s="11">
        <v>-0.9</v>
      </c>
      <c r="F82" s="11">
        <f t="shared" si="32"/>
        <v>0.58000000000000007</v>
      </c>
      <c r="G82" s="13">
        <f t="shared" si="33"/>
        <v>14.696620000000001</v>
      </c>
      <c r="H82" s="13"/>
      <c r="I82" s="13"/>
      <c r="J82" s="20">
        <f t="shared" ref="J82" si="37">F82</f>
        <v>0.58000000000000007</v>
      </c>
      <c r="K82" s="20">
        <f t="shared" ref="K82" si="38">B82</f>
        <v>25.338999999999999</v>
      </c>
      <c r="L82" s="20">
        <f t="shared" ref="L82" si="39">K82*J82</f>
        <v>14.696620000000001</v>
      </c>
      <c r="M82" s="13">
        <f t="shared" si="31"/>
        <v>27.923577999999999</v>
      </c>
      <c r="N82" s="20"/>
      <c r="O82" s="20"/>
      <c r="P82" s="20"/>
      <c r="Q82" s="13"/>
      <c r="R82" s="13"/>
      <c r="S82" s="13"/>
      <c r="T82" s="13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18"/>
      <c r="AF82" s="18"/>
      <c r="AG82" s="18"/>
      <c r="AH82" s="18"/>
      <c r="AI82" s="18"/>
      <c r="AJ82" s="18"/>
    </row>
    <row r="83" spans="1:36" ht="15.6" customHeight="1" x14ac:dyDescent="0.25">
      <c r="A83" s="8" t="s">
        <v>68</v>
      </c>
      <c r="B83" s="13">
        <v>11.884</v>
      </c>
      <c r="C83" s="13">
        <v>-0.33</v>
      </c>
      <c r="D83" s="13">
        <f t="shared" si="26"/>
        <v>-0.42000000000000004</v>
      </c>
      <c r="E83" s="11">
        <v>-0.9</v>
      </c>
      <c r="F83" s="11">
        <f t="shared" si="32"/>
        <v>0.48</v>
      </c>
      <c r="G83" s="13">
        <f t="shared" si="33"/>
        <v>5.7043200000000001</v>
      </c>
      <c r="H83" s="13"/>
      <c r="I83" s="13"/>
      <c r="J83" s="20">
        <f t="shared" si="29"/>
        <v>0.48</v>
      </c>
      <c r="K83" s="20">
        <f t="shared" ref="K83:K88" si="40">B83</f>
        <v>11.884</v>
      </c>
      <c r="L83" s="20">
        <f t="shared" si="30"/>
        <v>5.7043200000000001</v>
      </c>
      <c r="M83" s="13">
        <f t="shared" si="31"/>
        <v>10.838208</v>
      </c>
      <c r="N83" s="20"/>
      <c r="O83" s="13"/>
      <c r="P83" s="13"/>
      <c r="Q83" s="13"/>
      <c r="R83" s="13"/>
      <c r="S83" s="13"/>
      <c r="T83" s="13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18"/>
      <c r="AF83" s="18"/>
      <c r="AG83" s="18"/>
      <c r="AH83" s="18"/>
      <c r="AI83" s="18"/>
      <c r="AJ83" s="18"/>
    </row>
    <row r="84" spans="1:36" ht="15.6" customHeight="1" x14ac:dyDescent="0.25">
      <c r="A84" s="8" t="s">
        <v>69</v>
      </c>
      <c r="B84" s="13">
        <v>37.375999999999998</v>
      </c>
      <c r="C84" s="13">
        <v>-0.27</v>
      </c>
      <c r="D84" s="13">
        <f t="shared" si="26"/>
        <v>-0.36</v>
      </c>
      <c r="E84" s="11">
        <v>-0.9</v>
      </c>
      <c r="F84" s="11">
        <f t="shared" si="32"/>
        <v>0.54</v>
      </c>
      <c r="G84" s="13">
        <f t="shared" si="33"/>
        <v>20.183039999999998</v>
      </c>
      <c r="H84" s="13"/>
      <c r="I84" s="13"/>
      <c r="J84" s="20">
        <f t="shared" si="29"/>
        <v>0.54</v>
      </c>
      <c r="K84" s="20">
        <f t="shared" si="40"/>
        <v>37.375999999999998</v>
      </c>
      <c r="L84" s="20">
        <f t="shared" si="30"/>
        <v>20.183039999999998</v>
      </c>
      <c r="M84" s="13">
        <f t="shared" si="31"/>
        <v>38.347775999999996</v>
      </c>
      <c r="N84" s="20"/>
      <c r="O84" s="13"/>
      <c r="P84" s="13"/>
      <c r="Q84" s="13"/>
      <c r="R84" s="13"/>
      <c r="S84" s="13"/>
      <c r="T84" s="13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18"/>
      <c r="AF84" s="18"/>
      <c r="AG84" s="18"/>
      <c r="AH84" s="18"/>
      <c r="AI84" s="18"/>
      <c r="AJ84" s="18"/>
    </row>
    <row r="85" spans="1:36" ht="15.6" customHeight="1" x14ac:dyDescent="0.25">
      <c r="A85" s="8" t="s">
        <v>70</v>
      </c>
      <c r="B85" s="13">
        <v>6.9909999999999997</v>
      </c>
      <c r="C85" s="13">
        <v>-0.39</v>
      </c>
      <c r="D85" s="13">
        <f t="shared" si="26"/>
        <v>-0.48</v>
      </c>
      <c r="E85" s="11">
        <v>-0.9</v>
      </c>
      <c r="F85" s="11">
        <f t="shared" si="32"/>
        <v>0.42000000000000004</v>
      </c>
      <c r="G85" s="13">
        <f t="shared" si="33"/>
        <v>2.9362200000000001</v>
      </c>
      <c r="H85" s="13"/>
      <c r="I85" s="13"/>
      <c r="J85" s="20">
        <f t="shared" si="29"/>
        <v>0.42000000000000004</v>
      </c>
      <c r="K85" s="20">
        <f t="shared" si="40"/>
        <v>6.9909999999999997</v>
      </c>
      <c r="L85" s="20">
        <f t="shared" si="30"/>
        <v>2.9362200000000001</v>
      </c>
      <c r="M85" s="13">
        <f t="shared" si="31"/>
        <v>5.5788180000000001</v>
      </c>
      <c r="N85" s="20"/>
      <c r="O85" s="13"/>
      <c r="P85" s="13"/>
      <c r="Q85" s="13"/>
      <c r="R85" s="13"/>
      <c r="S85" s="13"/>
      <c r="T85" s="13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18"/>
      <c r="AF85" s="18"/>
      <c r="AG85" s="18"/>
      <c r="AH85" s="18"/>
      <c r="AI85" s="18"/>
      <c r="AJ85" s="18"/>
    </row>
    <row r="86" spans="1:36" ht="15.6" customHeight="1" x14ac:dyDescent="0.25">
      <c r="A86" s="8" t="s">
        <v>71</v>
      </c>
      <c r="B86" s="13">
        <v>13.266999999999999</v>
      </c>
      <c r="C86" s="13">
        <v>-0.35</v>
      </c>
      <c r="D86" s="13">
        <f t="shared" si="26"/>
        <v>-0.43999999999999995</v>
      </c>
      <c r="E86" s="11">
        <v>-1.1499999999999999</v>
      </c>
      <c r="F86" s="11">
        <f t="shared" ref="F86:F87" si="41">D86-E86</f>
        <v>0.71</v>
      </c>
      <c r="G86" s="13">
        <f t="shared" ref="G86:G87" si="42">F86*B86</f>
        <v>9.4195699999999984</v>
      </c>
      <c r="H86" s="13"/>
      <c r="I86" s="13"/>
      <c r="J86" s="20">
        <f t="shared" si="29"/>
        <v>0.71</v>
      </c>
      <c r="K86" s="20">
        <f t="shared" si="40"/>
        <v>13.266999999999999</v>
      </c>
      <c r="L86" s="20">
        <f t="shared" si="30"/>
        <v>9.4195699999999984</v>
      </c>
      <c r="M86" s="13">
        <f t="shared" si="31"/>
        <v>17.897182999999995</v>
      </c>
      <c r="N86" s="20"/>
      <c r="O86" s="13"/>
      <c r="P86" s="13"/>
      <c r="Q86" s="13"/>
      <c r="R86" s="13"/>
      <c r="S86" s="13"/>
      <c r="T86" s="13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18"/>
      <c r="AF86" s="18"/>
      <c r="AG86" s="18"/>
      <c r="AH86" s="18"/>
      <c r="AI86" s="18"/>
      <c r="AJ86" s="18"/>
    </row>
    <row r="87" spans="1:36" ht="15.6" customHeight="1" x14ac:dyDescent="0.25">
      <c r="A87" s="8" t="s">
        <v>72</v>
      </c>
      <c r="B87" s="13">
        <v>19.626000000000001</v>
      </c>
      <c r="C87" s="13">
        <v>-0.38</v>
      </c>
      <c r="D87" s="13">
        <f t="shared" si="26"/>
        <v>-0.47</v>
      </c>
      <c r="E87" s="11">
        <v>-1.1499999999999999</v>
      </c>
      <c r="F87" s="11">
        <f t="shared" si="41"/>
        <v>0.67999999999999994</v>
      </c>
      <c r="G87" s="13">
        <f t="shared" si="42"/>
        <v>13.34568</v>
      </c>
      <c r="H87" s="13"/>
      <c r="I87" s="13"/>
      <c r="J87" s="20">
        <f t="shared" si="29"/>
        <v>0.67999999999999994</v>
      </c>
      <c r="K87" s="20">
        <f t="shared" si="40"/>
        <v>19.626000000000001</v>
      </c>
      <c r="L87" s="20">
        <f t="shared" si="30"/>
        <v>13.34568</v>
      </c>
      <c r="M87" s="13">
        <f t="shared" si="31"/>
        <v>25.356791999999999</v>
      </c>
      <c r="N87" s="20"/>
      <c r="O87" s="13"/>
      <c r="P87" s="13"/>
      <c r="Q87" s="13"/>
      <c r="R87" s="13"/>
      <c r="S87" s="13"/>
      <c r="T87" s="13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18"/>
      <c r="AF87" s="18"/>
      <c r="AG87" s="18"/>
      <c r="AH87" s="18"/>
      <c r="AI87" s="18"/>
      <c r="AJ87" s="18"/>
    </row>
    <row r="88" spans="1:36" ht="15.6" customHeight="1" x14ac:dyDescent="0.25">
      <c r="A88" s="8" t="s">
        <v>73</v>
      </c>
      <c r="B88" s="13">
        <v>17.302</v>
      </c>
      <c r="C88" s="13">
        <v>-0.38</v>
      </c>
      <c r="D88" s="13">
        <f t="shared" ref="D88" si="43">C88-0.09</f>
        <v>-0.47</v>
      </c>
      <c r="E88" s="11">
        <v>-1.1499999999999999</v>
      </c>
      <c r="F88" s="11">
        <f t="shared" ref="F88" si="44">D88-E88</f>
        <v>0.67999999999999994</v>
      </c>
      <c r="G88" s="13">
        <f>F88*B88</f>
        <v>11.765359999999999</v>
      </c>
      <c r="H88" s="13"/>
      <c r="I88" s="13"/>
      <c r="J88" s="20">
        <f t="shared" si="29"/>
        <v>0.67999999999999994</v>
      </c>
      <c r="K88" s="20">
        <f t="shared" si="40"/>
        <v>17.302</v>
      </c>
      <c r="L88" s="20">
        <f t="shared" si="30"/>
        <v>11.765359999999999</v>
      </c>
      <c r="M88" s="13">
        <f t="shared" si="31"/>
        <v>22.354183999999997</v>
      </c>
      <c r="N88" s="20"/>
      <c r="O88" s="13"/>
      <c r="P88" s="13"/>
      <c r="Q88" s="13"/>
      <c r="R88" s="13"/>
      <c r="S88" s="13"/>
      <c r="T88" s="13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18"/>
      <c r="AF88" s="18"/>
      <c r="AG88" s="18"/>
      <c r="AH88" s="18"/>
      <c r="AI88" s="18"/>
      <c r="AJ88" s="18"/>
    </row>
    <row r="89" spans="1:36" ht="15.6" customHeight="1" x14ac:dyDescent="0.25">
      <c r="A89" s="8" t="s">
        <v>74</v>
      </c>
      <c r="B89" s="13">
        <v>23.914000000000001</v>
      </c>
      <c r="C89" s="13">
        <v>0.54</v>
      </c>
      <c r="D89" s="13">
        <f t="shared" si="26"/>
        <v>0.45000000000000007</v>
      </c>
      <c r="E89" s="11">
        <f>D89-0.28</f>
        <v>0.17000000000000004</v>
      </c>
      <c r="F89" s="11">
        <f t="shared" ref="F89:F90" si="45">D89-E89</f>
        <v>0.28000000000000003</v>
      </c>
      <c r="G89" s="13">
        <f>F89*B89</f>
        <v>6.695920000000001</v>
      </c>
      <c r="H89" s="13"/>
      <c r="I89" s="13"/>
      <c r="J89" s="20"/>
      <c r="K89" s="20"/>
      <c r="L89" s="20"/>
      <c r="M89" s="20"/>
      <c r="N89" s="20">
        <f>F89</f>
        <v>0.28000000000000003</v>
      </c>
      <c r="O89" s="13">
        <f t="shared" ref="O89:O99" si="46">B89</f>
        <v>23.914000000000001</v>
      </c>
      <c r="P89" s="13">
        <f>O89*N89</f>
        <v>6.695920000000001</v>
      </c>
      <c r="Q89" s="13">
        <f>P89*1.7</f>
        <v>11.383064000000001</v>
      </c>
      <c r="R89" s="13"/>
      <c r="S89" s="13"/>
      <c r="T89" s="13"/>
      <c r="U89" s="20"/>
      <c r="V89" s="20"/>
      <c r="W89" s="20"/>
      <c r="X89" s="20"/>
      <c r="Y89" s="20"/>
      <c r="Z89" s="20"/>
      <c r="AA89" s="20"/>
      <c r="AB89" s="20">
        <v>0.05</v>
      </c>
      <c r="AC89" s="20">
        <f>B89</f>
        <v>23.914000000000001</v>
      </c>
      <c r="AD89" s="20">
        <f>AB89*AC89</f>
        <v>1.1957000000000002</v>
      </c>
      <c r="AE89" s="18"/>
      <c r="AF89" s="18"/>
      <c r="AG89" s="18"/>
      <c r="AH89" s="18"/>
      <c r="AI89" s="18"/>
      <c r="AJ89" s="18"/>
    </row>
    <row r="90" spans="1:36" ht="15.6" customHeight="1" x14ac:dyDescent="0.25">
      <c r="A90" s="8" t="s">
        <v>75</v>
      </c>
      <c r="B90" s="13">
        <f>19.154-4.1</f>
        <v>15.054</v>
      </c>
      <c r="C90" s="13">
        <v>0.39</v>
      </c>
      <c r="D90" s="13">
        <f t="shared" si="26"/>
        <v>0.30000000000000004</v>
      </c>
      <c r="E90" s="11">
        <f>D90-0.28</f>
        <v>2.0000000000000018E-2</v>
      </c>
      <c r="F90" s="11">
        <f t="shared" si="45"/>
        <v>0.28000000000000003</v>
      </c>
      <c r="G90" s="13">
        <f>F90*B90</f>
        <v>4.2151200000000006</v>
      </c>
      <c r="H90" s="13"/>
      <c r="I90" s="13"/>
      <c r="J90" s="20"/>
      <c r="K90" s="20"/>
      <c r="L90" s="20"/>
      <c r="M90" s="20"/>
      <c r="N90" s="20">
        <f t="shared" ref="N90:N135" si="47">F90</f>
        <v>0.28000000000000003</v>
      </c>
      <c r="O90" s="13">
        <f t="shared" si="46"/>
        <v>15.054</v>
      </c>
      <c r="P90" s="13">
        <f t="shared" ref="P90:P135" si="48">O90*N90</f>
        <v>4.2151200000000006</v>
      </c>
      <c r="Q90" s="13">
        <f t="shared" ref="Q90:Q154" si="49">P90*1.7</f>
        <v>7.1657040000000007</v>
      </c>
      <c r="R90" s="13"/>
      <c r="S90" s="13"/>
      <c r="T90" s="13"/>
      <c r="U90" s="20"/>
      <c r="V90" s="20"/>
      <c r="W90" s="20"/>
      <c r="X90" s="20"/>
      <c r="Y90" s="20"/>
      <c r="Z90" s="20"/>
      <c r="AA90" s="20"/>
      <c r="AB90" s="20">
        <v>0.05</v>
      </c>
      <c r="AC90" s="20">
        <f>B90</f>
        <v>15.054</v>
      </c>
      <c r="AD90" s="20">
        <f>AB90*AC90</f>
        <v>0.75270000000000004</v>
      </c>
      <c r="AE90" s="18"/>
      <c r="AF90" s="18"/>
      <c r="AG90" s="18"/>
      <c r="AH90" s="18"/>
      <c r="AI90" s="18"/>
      <c r="AJ90" s="18"/>
    </row>
    <row r="91" spans="1:36" ht="15.6" customHeight="1" x14ac:dyDescent="0.25">
      <c r="A91" s="8" t="s">
        <v>76</v>
      </c>
      <c r="B91" s="13">
        <v>33.241</v>
      </c>
      <c r="C91" s="13">
        <v>0.51</v>
      </c>
      <c r="D91" s="13">
        <f t="shared" si="26"/>
        <v>0.42000000000000004</v>
      </c>
      <c r="E91" s="11">
        <f>D91-0.24</f>
        <v>0.18000000000000005</v>
      </c>
      <c r="F91" s="11">
        <f t="shared" ref="F91" si="50">D91-E91</f>
        <v>0.24</v>
      </c>
      <c r="G91" s="13">
        <f>F91*B91</f>
        <v>7.9778399999999996</v>
      </c>
      <c r="H91" s="13"/>
      <c r="I91" s="13"/>
      <c r="J91" s="20"/>
      <c r="K91" s="20"/>
      <c r="L91" s="20"/>
      <c r="M91" s="20"/>
      <c r="N91" s="20">
        <f t="shared" si="47"/>
        <v>0.24</v>
      </c>
      <c r="O91" s="13">
        <f t="shared" si="46"/>
        <v>33.241</v>
      </c>
      <c r="P91" s="13">
        <f t="shared" si="48"/>
        <v>7.9778399999999996</v>
      </c>
      <c r="Q91" s="13">
        <f t="shared" si="49"/>
        <v>13.562327999999999</v>
      </c>
      <c r="R91" s="13"/>
      <c r="S91" s="13"/>
      <c r="T91" s="13"/>
      <c r="U91" s="20"/>
      <c r="V91" s="20"/>
      <c r="W91" s="20"/>
      <c r="X91" s="20"/>
      <c r="Y91" s="20"/>
      <c r="Z91" s="20"/>
      <c r="AA91" s="20"/>
      <c r="AB91" s="20">
        <v>0.05</v>
      </c>
      <c r="AC91" s="20">
        <f>B91</f>
        <v>33.241</v>
      </c>
      <c r="AD91" s="20">
        <f>AB91*AC91</f>
        <v>1.66205</v>
      </c>
      <c r="AE91" s="18"/>
      <c r="AF91" s="18"/>
      <c r="AG91" s="18"/>
      <c r="AH91" s="18"/>
      <c r="AI91" s="18"/>
      <c r="AJ91" s="18"/>
    </row>
    <row r="92" spans="1:36" ht="15.6" customHeight="1" x14ac:dyDescent="0.25">
      <c r="A92" s="8" t="s">
        <v>77</v>
      </c>
      <c r="B92" s="13">
        <v>72.399000000000001</v>
      </c>
      <c r="C92" s="13">
        <v>0.375</v>
      </c>
      <c r="D92" s="13">
        <f t="shared" ref="D92:D123" si="51">C92-0.09</f>
        <v>0.28500000000000003</v>
      </c>
      <c r="E92" s="11">
        <f>D92-0.28</f>
        <v>5.0000000000000044E-3</v>
      </c>
      <c r="F92" s="11">
        <f t="shared" ref="F92:F123" si="52">D92-E92</f>
        <v>0.28000000000000003</v>
      </c>
      <c r="G92" s="13">
        <f t="shared" ref="G92:G123" si="53">F92*B92</f>
        <v>20.271720000000002</v>
      </c>
      <c r="H92" s="13"/>
      <c r="I92" s="13"/>
      <c r="J92" s="20"/>
      <c r="K92" s="20"/>
      <c r="L92" s="20"/>
      <c r="M92" s="20"/>
      <c r="N92" s="20">
        <f t="shared" si="47"/>
        <v>0.28000000000000003</v>
      </c>
      <c r="O92" s="13">
        <f t="shared" si="46"/>
        <v>72.399000000000001</v>
      </c>
      <c r="P92" s="13">
        <f t="shared" si="48"/>
        <v>20.271720000000002</v>
      </c>
      <c r="Q92" s="13">
        <f t="shared" si="49"/>
        <v>34.461924000000003</v>
      </c>
      <c r="R92" s="13"/>
      <c r="S92" s="13"/>
      <c r="T92" s="13"/>
      <c r="U92" s="20"/>
      <c r="V92" s="20"/>
      <c r="W92" s="20"/>
      <c r="X92" s="20"/>
      <c r="Y92" s="20"/>
      <c r="Z92" s="20"/>
      <c r="AA92" s="20"/>
      <c r="AB92" s="20">
        <v>0.05</v>
      </c>
      <c r="AC92" s="20">
        <f t="shared" ref="AC92:AC99" si="54">B92</f>
        <v>72.399000000000001</v>
      </c>
      <c r="AD92" s="20">
        <f t="shared" ref="AD92:AD99" si="55">AB92*AC92</f>
        <v>3.6199500000000002</v>
      </c>
      <c r="AE92" s="18"/>
      <c r="AF92" s="18"/>
      <c r="AG92" s="18"/>
      <c r="AH92" s="18"/>
      <c r="AI92" s="18"/>
      <c r="AJ92" s="18"/>
    </row>
    <row r="93" spans="1:36" ht="15.6" customHeight="1" x14ac:dyDescent="0.25">
      <c r="A93" s="8" t="s">
        <v>78</v>
      </c>
      <c r="B93" s="13">
        <f>18.751-4.1</f>
        <v>14.651000000000002</v>
      </c>
      <c r="C93" s="13">
        <v>0.4</v>
      </c>
      <c r="D93" s="13">
        <f t="shared" si="51"/>
        <v>0.31000000000000005</v>
      </c>
      <c r="E93" s="11">
        <f t="shared" ref="E93:E117" si="56">D93-0.28</f>
        <v>3.0000000000000027E-2</v>
      </c>
      <c r="F93" s="11">
        <f t="shared" si="52"/>
        <v>0.28000000000000003</v>
      </c>
      <c r="G93" s="13">
        <f t="shared" si="53"/>
        <v>4.1022800000000013</v>
      </c>
      <c r="H93" s="13"/>
      <c r="I93" s="13"/>
      <c r="J93" s="20"/>
      <c r="K93" s="20"/>
      <c r="L93" s="20"/>
      <c r="M93" s="20"/>
      <c r="N93" s="20">
        <f t="shared" si="47"/>
        <v>0.28000000000000003</v>
      </c>
      <c r="O93" s="13">
        <f t="shared" si="46"/>
        <v>14.651000000000002</v>
      </c>
      <c r="P93" s="13">
        <f t="shared" si="48"/>
        <v>4.1022800000000013</v>
      </c>
      <c r="Q93" s="13">
        <f t="shared" si="49"/>
        <v>6.9738760000000015</v>
      </c>
      <c r="R93" s="13"/>
      <c r="S93" s="13"/>
      <c r="T93" s="13"/>
      <c r="U93" s="20"/>
      <c r="V93" s="20"/>
      <c r="W93" s="20"/>
      <c r="X93" s="20"/>
      <c r="Y93" s="20"/>
      <c r="Z93" s="20"/>
      <c r="AA93" s="20"/>
      <c r="AB93" s="20">
        <v>0.05</v>
      </c>
      <c r="AC93" s="20">
        <f t="shared" si="54"/>
        <v>14.651000000000002</v>
      </c>
      <c r="AD93" s="20">
        <f t="shared" si="55"/>
        <v>0.73255000000000015</v>
      </c>
      <c r="AE93" s="18"/>
      <c r="AF93" s="18"/>
      <c r="AG93" s="18"/>
      <c r="AH93" s="18"/>
      <c r="AI93" s="18"/>
      <c r="AJ93" s="18"/>
    </row>
    <row r="94" spans="1:36" ht="15.6" customHeight="1" x14ac:dyDescent="0.25">
      <c r="A94" s="8" t="s">
        <v>79</v>
      </c>
      <c r="B94" s="13">
        <v>27.07</v>
      </c>
      <c r="C94" s="13">
        <v>0.34</v>
      </c>
      <c r="D94" s="13">
        <f t="shared" si="51"/>
        <v>0.25</v>
      </c>
      <c r="E94" s="11">
        <f t="shared" si="56"/>
        <v>-3.0000000000000027E-2</v>
      </c>
      <c r="F94" s="11">
        <f t="shared" si="52"/>
        <v>0.28000000000000003</v>
      </c>
      <c r="G94" s="13">
        <f t="shared" si="53"/>
        <v>7.579600000000001</v>
      </c>
      <c r="H94" s="13"/>
      <c r="I94" s="13"/>
      <c r="J94" s="20"/>
      <c r="K94" s="20"/>
      <c r="L94" s="20"/>
      <c r="M94" s="20"/>
      <c r="N94" s="20">
        <f t="shared" si="47"/>
        <v>0.28000000000000003</v>
      </c>
      <c r="O94" s="13">
        <f t="shared" si="46"/>
        <v>27.07</v>
      </c>
      <c r="P94" s="13">
        <f t="shared" si="48"/>
        <v>7.579600000000001</v>
      </c>
      <c r="Q94" s="13">
        <f t="shared" si="49"/>
        <v>12.885320000000002</v>
      </c>
      <c r="R94" s="13"/>
      <c r="S94" s="13"/>
      <c r="T94" s="13"/>
      <c r="U94" s="20"/>
      <c r="V94" s="20"/>
      <c r="W94" s="20"/>
      <c r="X94" s="20"/>
      <c r="Y94" s="20"/>
      <c r="Z94" s="20"/>
      <c r="AA94" s="20"/>
      <c r="AB94" s="20">
        <v>0.05</v>
      </c>
      <c r="AC94" s="20">
        <f t="shared" si="54"/>
        <v>27.07</v>
      </c>
      <c r="AD94" s="20">
        <f t="shared" si="55"/>
        <v>1.3535000000000001</v>
      </c>
      <c r="AE94" s="18"/>
      <c r="AF94" s="18"/>
      <c r="AG94" s="18"/>
      <c r="AH94" s="18"/>
      <c r="AI94" s="18"/>
      <c r="AJ94" s="18"/>
    </row>
    <row r="95" spans="1:36" ht="15.6" customHeight="1" x14ac:dyDescent="0.25">
      <c r="A95" s="8" t="s">
        <v>80</v>
      </c>
      <c r="B95" s="13">
        <v>26.122</v>
      </c>
      <c r="C95" s="13">
        <v>0.26</v>
      </c>
      <c r="D95" s="13">
        <f t="shared" si="51"/>
        <v>0.17</v>
      </c>
      <c r="E95" s="11">
        <f t="shared" si="56"/>
        <v>-0.11000000000000001</v>
      </c>
      <c r="F95" s="11">
        <f t="shared" si="52"/>
        <v>0.28000000000000003</v>
      </c>
      <c r="G95" s="13">
        <f t="shared" si="53"/>
        <v>7.3141600000000011</v>
      </c>
      <c r="H95" s="13"/>
      <c r="I95" s="13"/>
      <c r="J95" s="20"/>
      <c r="K95" s="20"/>
      <c r="L95" s="20"/>
      <c r="M95" s="20"/>
      <c r="N95" s="20">
        <f t="shared" si="47"/>
        <v>0.28000000000000003</v>
      </c>
      <c r="O95" s="13">
        <f t="shared" si="46"/>
        <v>26.122</v>
      </c>
      <c r="P95" s="13">
        <f t="shared" si="48"/>
        <v>7.3141600000000011</v>
      </c>
      <c r="Q95" s="13">
        <f t="shared" si="49"/>
        <v>12.434072000000002</v>
      </c>
      <c r="R95" s="13"/>
      <c r="S95" s="13"/>
      <c r="T95" s="13"/>
      <c r="U95" s="20"/>
      <c r="V95" s="20"/>
      <c r="W95" s="20"/>
      <c r="X95" s="20"/>
      <c r="Y95" s="20"/>
      <c r="Z95" s="20"/>
      <c r="AA95" s="20"/>
      <c r="AB95" s="20">
        <v>0.05</v>
      </c>
      <c r="AC95" s="20">
        <f t="shared" si="54"/>
        <v>26.122</v>
      </c>
      <c r="AD95" s="20">
        <f t="shared" si="55"/>
        <v>1.3061</v>
      </c>
      <c r="AE95" s="18"/>
      <c r="AF95" s="18"/>
      <c r="AG95" s="18"/>
      <c r="AH95" s="18"/>
      <c r="AI95" s="18"/>
      <c r="AJ95" s="18"/>
    </row>
    <row r="96" spans="1:36" ht="15.6" customHeight="1" x14ac:dyDescent="0.25">
      <c r="A96" s="8" t="s">
        <v>81</v>
      </c>
      <c r="B96" s="13">
        <v>10.263999999999999</v>
      </c>
      <c r="C96" s="13">
        <v>0.25</v>
      </c>
      <c r="D96" s="13">
        <f t="shared" si="51"/>
        <v>0.16</v>
      </c>
      <c r="E96" s="11">
        <f>D96-0.28</f>
        <v>-0.12000000000000002</v>
      </c>
      <c r="F96" s="11">
        <f t="shared" si="52"/>
        <v>0.28000000000000003</v>
      </c>
      <c r="G96" s="13">
        <f t="shared" si="53"/>
        <v>2.87392</v>
      </c>
      <c r="H96" s="13"/>
      <c r="I96" s="13"/>
      <c r="J96" s="20"/>
      <c r="K96" s="20"/>
      <c r="L96" s="20"/>
      <c r="M96" s="20"/>
      <c r="N96" s="20">
        <f t="shared" si="47"/>
        <v>0.28000000000000003</v>
      </c>
      <c r="O96" s="13">
        <f t="shared" si="46"/>
        <v>10.263999999999999</v>
      </c>
      <c r="P96" s="13">
        <f>O96*N96</f>
        <v>2.87392</v>
      </c>
      <c r="Q96" s="13">
        <f t="shared" si="49"/>
        <v>4.8856640000000002</v>
      </c>
      <c r="R96" s="13"/>
      <c r="S96" s="13"/>
      <c r="T96" s="13"/>
      <c r="U96" s="20"/>
      <c r="V96" s="20"/>
      <c r="W96" s="20"/>
      <c r="X96" s="20"/>
      <c r="Y96" s="20"/>
      <c r="Z96" s="20"/>
      <c r="AA96" s="20"/>
      <c r="AB96" s="20">
        <v>0.05</v>
      </c>
      <c r="AC96" s="20">
        <f t="shared" si="54"/>
        <v>10.263999999999999</v>
      </c>
      <c r="AD96" s="20">
        <f t="shared" si="55"/>
        <v>0.51319999999999999</v>
      </c>
      <c r="AE96" s="18"/>
      <c r="AF96" s="18"/>
      <c r="AG96" s="18"/>
      <c r="AH96" s="18"/>
      <c r="AI96" s="18"/>
      <c r="AJ96" s="18"/>
    </row>
    <row r="97" spans="1:36" ht="15.6" customHeight="1" x14ac:dyDescent="0.25">
      <c r="A97" s="8" t="s">
        <v>275</v>
      </c>
      <c r="B97" s="13">
        <v>15.545</v>
      </c>
      <c r="C97" s="13">
        <v>0.18</v>
      </c>
      <c r="D97" s="13">
        <f t="shared" si="51"/>
        <v>0.09</v>
      </c>
      <c r="E97" s="11">
        <f>D97-0.28</f>
        <v>-0.19000000000000003</v>
      </c>
      <c r="F97" s="11">
        <f t="shared" si="52"/>
        <v>0.28000000000000003</v>
      </c>
      <c r="G97" s="13">
        <f t="shared" si="53"/>
        <v>4.3526000000000007</v>
      </c>
      <c r="H97" s="13"/>
      <c r="I97" s="13"/>
      <c r="J97" s="20"/>
      <c r="K97" s="20"/>
      <c r="L97" s="20"/>
      <c r="M97" s="20"/>
      <c r="N97" s="20">
        <f t="shared" si="47"/>
        <v>0.28000000000000003</v>
      </c>
      <c r="O97" s="13">
        <f t="shared" si="46"/>
        <v>15.545</v>
      </c>
      <c r="P97" s="13">
        <f>O97*N97</f>
        <v>4.3526000000000007</v>
      </c>
      <c r="Q97" s="13">
        <f t="shared" si="49"/>
        <v>7.399420000000001</v>
      </c>
      <c r="R97" s="13"/>
      <c r="S97" s="13"/>
      <c r="T97" s="13"/>
      <c r="U97" s="20"/>
      <c r="V97" s="20"/>
      <c r="W97" s="20"/>
      <c r="X97" s="20"/>
      <c r="Y97" s="20"/>
      <c r="Z97" s="20"/>
      <c r="AA97" s="20"/>
      <c r="AB97" s="20">
        <v>0.05</v>
      </c>
      <c r="AC97" s="20">
        <f t="shared" si="54"/>
        <v>15.545</v>
      </c>
      <c r="AD97" s="20">
        <f t="shared" si="55"/>
        <v>0.77725</v>
      </c>
      <c r="AE97" s="18"/>
      <c r="AF97" s="18"/>
      <c r="AG97" s="18"/>
      <c r="AH97" s="18"/>
      <c r="AI97" s="18"/>
      <c r="AJ97" s="18"/>
    </row>
    <row r="98" spans="1:36" ht="15.6" customHeight="1" x14ac:dyDescent="0.25">
      <c r="A98" s="8" t="s">
        <v>276</v>
      </c>
      <c r="B98" s="13">
        <v>9.0760000000000005</v>
      </c>
      <c r="C98" s="13">
        <v>0.26</v>
      </c>
      <c r="D98" s="13">
        <f t="shared" si="51"/>
        <v>0.17</v>
      </c>
      <c r="E98" s="11">
        <f>D98-0.24</f>
        <v>-6.9999999999999979E-2</v>
      </c>
      <c r="F98" s="11">
        <f t="shared" si="52"/>
        <v>0.24</v>
      </c>
      <c r="G98" s="13">
        <f t="shared" si="53"/>
        <v>2.1782400000000002</v>
      </c>
      <c r="H98" s="13"/>
      <c r="I98" s="13"/>
      <c r="J98" s="20"/>
      <c r="K98" s="20"/>
      <c r="L98" s="20"/>
      <c r="M98" s="20"/>
      <c r="N98" s="20">
        <f t="shared" si="47"/>
        <v>0.24</v>
      </c>
      <c r="O98" s="13">
        <f t="shared" si="46"/>
        <v>9.0760000000000005</v>
      </c>
      <c r="P98" s="13">
        <f>O98*N98</f>
        <v>2.1782400000000002</v>
      </c>
      <c r="Q98" s="13">
        <f t="shared" si="49"/>
        <v>3.7030080000000001</v>
      </c>
      <c r="R98" s="13"/>
      <c r="S98" s="13"/>
      <c r="T98" s="13"/>
      <c r="U98" s="20"/>
      <c r="V98" s="20"/>
      <c r="W98" s="20"/>
      <c r="X98" s="20"/>
      <c r="Y98" s="20"/>
      <c r="Z98" s="20"/>
      <c r="AA98" s="20"/>
      <c r="AB98" s="20">
        <v>0.05</v>
      </c>
      <c r="AC98" s="20">
        <f t="shared" si="54"/>
        <v>9.0760000000000005</v>
      </c>
      <c r="AD98" s="20">
        <f t="shared" si="55"/>
        <v>0.45380000000000004</v>
      </c>
      <c r="AE98" s="18"/>
      <c r="AF98" s="18"/>
      <c r="AG98" s="18"/>
      <c r="AH98" s="18"/>
      <c r="AI98" s="18"/>
      <c r="AJ98" s="18"/>
    </row>
    <row r="99" spans="1:36" ht="15.6" customHeight="1" x14ac:dyDescent="0.25">
      <c r="A99" s="8" t="s">
        <v>82</v>
      </c>
      <c r="B99" s="13">
        <v>15.622999999999999</v>
      </c>
      <c r="C99" s="13">
        <v>0.18</v>
      </c>
      <c r="D99" s="13">
        <f t="shared" si="51"/>
        <v>0.09</v>
      </c>
      <c r="E99" s="11">
        <f>D99-0.24</f>
        <v>-0.15</v>
      </c>
      <c r="F99" s="11">
        <f t="shared" si="52"/>
        <v>0.24</v>
      </c>
      <c r="G99" s="13">
        <f t="shared" si="53"/>
        <v>3.7495199999999995</v>
      </c>
      <c r="H99" s="13"/>
      <c r="I99" s="13"/>
      <c r="J99" s="20"/>
      <c r="K99" s="20"/>
      <c r="L99" s="20"/>
      <c r="M99" s="20"/>
      <c r="N99" s="20">
        <f t="shared" si="47"/>
        <v>0.24</v>
      </c>
      <c r="O99" s="13">
        <f t="shared" si="46"/>
        <v>15.622999999999999</v>
      </c>
      <c r="P99" s="13">
        <f>O99*N99</f>
        <v>3.7495199999999995</v>
      </c>
      <c r="Q99" s="13">
        <f t="shared" si="49"/>
        <v>6.3741839999999987</v>
      </c>
      <c r="R99" s="13"/>
      <c r="S99" s="13"/>
      <c r="T99" s="13"/>
      <c r="U99" s="20"/>
      <c r="V99" s="20"/>
      <c r="W99" s="20"/>
      <c r="X99" s="20"/>
      <c r="Y99" s="20"/>
      <c r="Z99" s="20"/>
      <c r="AA99" s="20"/>
      <c r="AB99" s="20">
        <v>0.05</v>
      </c>
      <c r="AC99" s="20">
        <f t="shared" si="54"/>
        <v>15.622999999999999</v>
      </c>
      <c r="AD99" s="20">
        <f t="shared" si="55"/>
        <v>0.78115000000000001</v>
      </c>
      <c r="AE99" s="18"/>
      <c r="AF99" s="18"/>
      <c r="AG99" s="18"/>
      <c r="AH99" s="18"/>
      <c r="AI99" s="18"/>
      <c r="AJ99" s="18"/>
    </row>
    <row r="100" spans="1:36" ht="15.6" customHeight="1" x14ac:dyDescent="0.25">
      <c r="A100" s="8" t="s">
        <v>83</v>
      </c>
      <c r="B100" s="13">
        <v>9.1479999999999997</v>
      </c>
      <c r="C100" s="13">
        <v>0.15</v>
      </c>
      <c r="D100" s="13">
        <f t="shared" si="51"/>
        <v>0.06</v>
      </c>
      <c r="E100" s="11">
        <f>D100-0.28</f>
        <v>-0.22000000000000003</v>
      </c>
      <c r="F100" s="11">
        <f t="shared" si="52"/>
        <v>0.28000000000000003</v>
      </c>
      <c r="G100" s="13">
        <f t="shared" si="53"/>
        <v>2.5614400000000002</v>
      </c>
      <c r="H100" s="13"/>
      <c r="I100" s="13"/>
      <c r="J100" s="20"/>
      <c r="K100" s="20"/>
      <c r="L100" s="20"/>
      <c r="M100" s="20"/>
      <c r="N100" s="20">
        <f t="shared" si="47"/>
        <v>0.28000000000000003</v>
      </c>
      <c r="O100" s="13">
        <f>B100</f>
        <v>9.1479999999999997</v>
      </c>
      <c r="P100" s="13">
        <f t="shared" si="48"/>
        <v>2.5614400000000002</v>
      </c>
      <c r="Q100" s="13">
        <f t="shared" si="49"/>
        <v>4.3544480000000005</v>
      </c>
      <c r="R100" s="13"/>
      <c r="S100" s="13"/>
      <c r="T100" s="13"/>
      <c r="U100" s="20"/>
      <c r="V100" s="20"/>
      <c r="W100" s="20"/>
      <c r="X100" s="20"/>
      <c r="Y100" s="20"/>
      <c r="Z100" s="20"/>
      <c r="AA100" s="20"/>
      <c r="AB100" s="20">
        <v>0.05</v>
      </c>
      <c r="AC100" s="20">
        <f t="shared" ref="AC100" si="57">B100</f>
        <v>9.1479999999999997</v>
      </c>
      <c r="AD100" s="20">
        <f t="shared" ref="AD100" si="58">AB100*AC100</f>
        <v>0.45740000000000003</v>
      </c>
      <c r="AE100" s="18"/>
      <c r="AF100" s="18"/>
      <c r="AG100" s="18"/>
      <c r="AH100" s="18"/>
      <c r="AI100" s="18"/>
      <c r="AJ100" s="18"/>
    </row>
    <row r="101" spans="1:36" ht="15.6" customHeight="1" x14ac:dyDescent="0.25">
      <c r="A101" s="8" t="s">
        <v>84</v>
      </c>
      <c r="B101" s="13">
        <v>4.76</v>
      </c>
      <c r="C101" s="13">
        <v>0.19</v>
      </c>
      <c r="D101" s="13">
        <f t="shared" si="51"/>
        <v>0.1</v>
      </c>
      <c r="E101" s="11">
        <v>-0.55000000000000004</v>
      </c>
      <c r="F101" s="11">
        <f t="shared" si="52"/>
        <v>0.65</v>
      </c>
      <c r="G101" s="13">
        <f t="shared" si="53"/>
        <v>3.0939999999999999</v>
      </c>
      <c r="H101" s="13"/>
      <c r="I101" s="13"/>
      <c r="J101" s="20">
        <f>F101</f>
        <v>0.65</v>
      </c>
      <c r="K101" s="20">
        <f>B101</f>
        <v>4.76</v>
      </c>
      <c r="L101" s="20">
        <f>K101*J101</f>
        <v>3.0939999999999999</v>
      </c>
      <c r="M101" s="13">
        <f>L101*1.9</f>
        <v>5.8785999999999996</v>
      </c>
      <c r="N101" s="20"/>
      <c r="O101" s="13"/>
      <c r="P101" s="13"/>
      <c r="Q101" s="13"/>
      <c r="R101" s="13"/>
      <c r="S101" s="13"/>
      <c r="T101" s="13"/>
      <c r="U101" s="20"/>
      <c r="V101" s="20"/>
      <c r="W101" s="20"/>
      <c r="X101" s="20"/>
      <c r="Y101" s="20"/>
      <c r="Z101" s="20"/>
      <c r="AA101" s="20"/>
      <c r="AB101" s="20">
        <v>0.05</v>
      </c>
      <c r="AC101" s="20">
        <f>B101</f>
        <v>4.76</v>
      </c>
      <c r="AD101" s="20">
        <f>AB101*AC101</f>
        <v>0.23799999999999999</v>
      </c>
      <c r="AE101" s="18"/>
      <c r="AF101" s="18"/>
      <c r="AG101" s="18"/>
      <c r="AH101" s="18"/>
      <c r="AI101" s="18"/>
      <c r="AJ101" s="18"/>
    </row>
    <row r="102" spans="1:36" ht="15.6" customHeight="1" x14ac:dyDescent="0.25">
      <c r="A102" s="8" t="s">
        <v>85</v>
      </c>
      <c r="B102" s="13">
        <v>135.54</v>
      </c>
      <c r="C102" s="13">
        <v>0.21</v>
      </c>
      <c r="D102" s="13">
        <f t="shared" si="51"/>
        <v>0.12</v>
      </c>
      <c r="E102" s="11">
        <f t="shared" si="56"/>
        <v>-0.16000000000000003</v>
      </c>
      <c r="F102" s="11">
        <f t="shared" si="52"/>
        <v>0.28000000000000003</v>
      </c>
      <c r="G102" s="13">
        <f t="shared" si="53"/>
        <v>37.9512</v>
      </c>
      <c r="H102" s="13"/>
      <c r="I102" s="13"/>
      <c r="J102" s="20"/>
      <c r="K102" s="20"/>
      <c r="L102" s="20"/>
      <c r="M102" s="20"/>
      <c r="N102" s="20">
        <f t="shared" si="47"/>
        <v>0.28000000000000003</v>
      </c>
      <c r="O102" s="13">
        <f>B102</f>
        <v>135.54</v>
      </c>
      <c r="P102" s="13">
        <f t="shared" si="48"/>
        <v>37.9512</v>
      </c>
      <c r="Q102" s="13">
        <f t="shared" si="49"/>
        <v>64.517039999999994</v>
      </c>
      <c r="R102" s="13"/>
      <c r="S102" s="13"/>
      <c r="T102" s="13"/>
      <c r="U102" s="20"/>
      <c r="V102" s="20"/>
      <c r="W102" s="20"/>
      <c r="X102" s="20"/>
      <c r="Y102" s="20"/>
      <c r="Z102" s="20"/>
      <c r="AA102" s="20"/>
      <c r="AB102" s="20">
        <v>0.05</v>
      </c>
      <c r="AC102" s="20">
        <f>B102</f>
        <v>135.54</v>
      </c>
      <c r="AD102" s="20">
        <f>AB102*AC102</f>
        <v>6.7770000000000001</v>
      </c>
      <c r="AE102" s="18"/>
      <c r="AF102" s="18"/>
      <c r="AG102" s="18"/>
      <c r="AH102" s="18"/>
      <c r="AI102" s="18"/>
      <c r="AJ102" s="18"/>
    </row>
    <row r="103" spans="1:36" ht="15.6" customHeight="1" x14ac:dyDescent="0.25">
      <c r="A103" s="8" t="s">
        <v>86</v>
      </c>
      <c r="B103" s="13">
        <v>66.733999999999995</v>
      </c>
      <c r="C103" s="13">
        <v>0.12</v>
      </c>
      <c r="D103" s="13">
        <f t="shared" si="51"/>
        <v>0.03</v>
      </c>
      <c r="E103" s="11">
        <f t="shared" si="56"/>
        <v>-0.25</v>
      </c>
      <c r="F103" s="11">
        <f t="shared" si="52"/>
        <v>0.28000000000000003</v>
      </c>
      <c r="G103" s="13">
        <f t="shared" si="53"/>
        <v>18.68552</v>
      </c>
      <c r="H103" s="13"/>
      <c r="I103" s="13"/>
      <c r="J103" s="20"/>
      <c r="K103" s="20"/>
      <c r="L103" s="20"/>
      <c r="M103" s="20"/>
      <c r="N103" s="20">
        <f t="shared" si="47"/>
        <v>0.28000000000000003</v>
      </c>
      <c r="O103" s="13">
        <f t="shared" ref="O103:O117" si="59">B103</f>
        <v>66.733999999999995</v>
      </c>
      <c r="P103" s="13">
        <f t="shared" si="48"/>
        <v>18.68552</v>
      </c>
      <c r="Q103" s="13">
        <f t="shared" si="49"/>
        <v>31.765384000000001</v>
      </c>
      <c r="R103" s="13"/>
      <c r="S103" s="13"/>
      <c r="T103" s="13"/>
      <c r="U103" s="20"/>
      <c r="V103" s="20"/>
      <c r="W103" s="20"/>
      <c r="X103" s="20"/>
      <c r="Y103" s="20"/>
      <c r="Z103" s="20"/>
      <c r="AA103" s="20"/>
      <c r="AB103" s="20">
        <v>0.05</v>
      </c>
      <c r="AC103" s="20">
        <f t="shared" ref="AC103:AC106" si="60">B103</f>
        <v>66.733999999999995</v>
      </c>
      <c r="AD103" s="20">
        <f t="shared" ref="AD103:AD106" si="61">AB103*AC103</f>
        <v>3.3367</v>
      </c>
      <c r="AE103" s="18"/>
      <c r="AF103" s="18"/>
      <c r="AG103" s="18"/>
      <c r="AH103" s="18"/>
      <c r="AI103" s="18"/>
      <c r="AJ103" s="18"/>
    </row>
    <row r="104" spans="1:36" ht="15.6" customHeight="1" x14ac:dyDescent="0.25">
      <c r="A104" s="8" t="s">
        <v>87</v>
      </c>
      <c r="B104" s="13">
        <v>135.55099999999999</v>
      </c>
      <c r="C104" s="13">
        <v>0.16</v>
      </c>
      <c r="D104" s="13">
        <f t="shared" si="51"/>
        <v>7.0000000000000007E-2</v>
      </c>
      <c r="E104" s="11">
        <f t="shared" si="56"/>
        <v>-0.21000000000000002</v>
      </c>
      <c r="F104" s="11">
        <f t="shared" si="52"/>
        <v>0.28000000000000003</v>
      </c>
      <c r="G104" s="13">
        <f t="shared" si="53"/>
        <v>37.954279999999997</v>
      </c>
      <c r="H104" s="13"/>
      <c r="I104" s="13"/>
      <c r="J104" s="20"/>
      <c r="K104" s="20"/>
      <c r="L104" s="20"/>
      <c r="M104" s="20"/>
      <c r="N104" s="20">
        <f t="shared" si="47"/>
        <v>0.28000000000000003</v>
      </c>
      <c r="O104" s="13">
        <f t="shared" si="59"/>
        <v>135.55099999999999</v>
      </c>
      <c r="P104" s="13">
        <f t="shared" si="48"/>
        <v>37.954279999999997</v>
      </c>
      <c r="Q104" s="13">
        <f t="shared" si="49"/>
        <v>64.522275999999991</v>
      </c>
      <c r="R104" s="13"/>
      <c r="S104" s="13"/>
      <c r="T104" s="13"/>
      <c r="U104" s="20"/>
      <c r="V104" s="20"/>
      <c r="W104" s="20"/>
      <c r="X104" s="20"/>
      <c r="Y104" s="20"/>
      <c r="Z104" s="20"/>
      <c r="AA104" s="20"/>
      <c r="AB104" s="20">
        <v>0.05</v>
      </c>
      <c r="AC104" s="20">
        <f t="shared" si="60"/>
        <v>135.55099999999999</v>
      </c>
      <c r="AD104" s="20">
        <f t="shared" si="61"/>
        <v>6.7775499999999997</v>
      </c>
      <c r="AE104" s="18"/>
      <c r="AF104" s="18"/>
      <c r="AG104" s="18"/>
      <c r="AH104" s="18"/>
      <c r="AI104" s="18"/>
      <c r="AJ104" s="18"/>
    </row>
    <row r="105" spans="1:36" ht="15.6" customHeight="1" x14ac:dyDescent="0.25">
      <c r="A105" s="8" t="s">
        <v>88</v>
      </c>
      <c r="B105" s="13">
        <v>18.277000000000001</v>
      </c>
      <c r="C105" s="13">
        <v>0.37</v>
      </c>
      <c r="D105" s="13">
        <f t="shared" si="51"/>
        <v>0.28000000000000003</v>
      </c>
      <c r="E105" s="11">
        <f t="shared" si="56"/>
        <v>0</v>
      </c>
      <c r="F105" s="11">
        <f t="shared" si="52"/>
        <v>0.28000000000000003</v>
      </c>
      <c r="G105" s="13">
        <f t="shared" si="53"/>
        <v>5.117560000000001</v>
      </c>
      <c r="H105" s="13"/>
      <c r="I105" s="13"/>
      <c r="J105" s="20"/>
      <c r="K105" s="20"/>
      <c r="L105" s="20"/>
      <c r="M105" s="20"/>
      <c r="N105" s="20">
        <f t="shared" si="47"/>
        <v>0.28000000000000003</v>
      </c>
      <c r="O105" s="13">
        <f t="shared" si="59"/>
        <v>18.277000000000001</v>
      </c>
      <c r="P105" s="13">
        <f t="shared" si="48"/>
        <v>5.117560000000001</v>
      </c>
      <c r="Q105" s="13">
        <f t="shared" si="49"/>
        <v>8.6998520000000017</v>
      </c>
      <c r="R105" s="13"/>
      <c r="S105" s="13"/>
      <c r="T105" s="13"/>
      <c r="U105" s="20"/>
      <c r="V105" s="20"/>
      <c r="W105" s="20"/>
      <c r="X105" s="20"/>
      <c r="Y105" s="20"/>
      <c r="Z105" s="20"/>
      <c r="AA105" s="20"/>
      <c r="AB105" s="20">
        <v>0.05</v>
      </c>
      <c r="AC105" s="20">
        <f t="shared" si="60"/>
        <v>18.277000000000001</v>
      </c>
      <c r="AD105" s="20">
        <f t="shared" si="61"/>
        <v>0.91385000000000005</v>
      </c>
      <c r="AE105" s="18"/>
      <c r="AF105" s="18"/>
      <c r="AG105" s="18"/>
      <c r="AH105" s="18"/>
      <c r="AI105" s="18"/>
      <c r="AJ105" s="18"/>
    </row>
    <row r="106" spans="1:36" ht="15.6" customHeight="1" x14ac:dyDescent="0.25">
      <c r="A106" s="8" t="s">
        <v>89</v>
      </c>
      <c r="B106" s="13">
        <v>18.3</v>
      </c>
      <c r="C106" s="13">
        <v>0.36</v>
      </c>
      <c r="D106" s="13">
        <f t="shared" si="51"/>
        <v>0.27</v>
      </c>
      <c r="E106" s="11">
        <f t="shared" si="56"/>
        <v>-1.0000000000000009E-2</v>
      </c>
      <c r="F106" s="11">
        <f t="shared" si="52"/>
        <v>0.28000000000000003</v>
      </c>
      <c r="G106" s="13">
        <f t="shared" si="53"/>
        <v>5.1240000000000006</v>
      </c>
      <c r="H106" s="13"/>
      <c r="I106" s="13"/>
      <c r="J106" s="20"/>
      <c r="K106" s="20"/>
      <c r="L106" s="20"/>
      <c r="M106" s="20"/>
      <c r="N106" s="20">
        <f t="shared" si="47"/>
        <v>0.28000000000000003</v>
      </c>
      <c r="O106" s="13">
        <f t="shared" si="59"/>
        <v>18.3</v>
      </c>
      <c r="P106" s="13">
        <f t="shared" si="48"/>
        <v>5.1240000000000006</v>
      </c>
      <c r="Q106" s="13">
        <f t="shared" si="49"/>
        <v>8.7108000000000008</v>
      </c>
      <c r="R106" s="13"/>
      <c r="S106" s="13"/>
      <c r="T106" s="13"/>
      <c r="U106" s="20"/>
      <c r="V106" s="20"/>
      <c r="W106" s="20"/>
      <c r="X106" s="20"/>
      <c r="Y106" s="20"/>
      <c r="Z106" s="20"/>
      <c r="AA106" s="20"/>
      <c r="AB106" s="20">
        <v>0.05</v>
      </c>
      <c r="AC106" s="20">
        <f t="shared" si="60"/>
        <v>18.3</v>
      </c>
      <c r="AD106" s="20">
        <f t="shared" si="61"/>
        <v>0.91500000000000004</v>
      </c>
      <c r="AE106" s="18"/>
      <c r="AF106" s="18"/>
      <c r="AG106" s="18"/>
      <c r="AH106" s="18"/>
      <c r="AI106" s="18"/>
      <c r="AJ106" s="18"/>
    </row>
    <row r="107" spans="1:36" ht="15.6" customHeight="1" x14ac:dyDescent="0.25">
      <c r="A107" s="8" t="s">
        <v>90</v>
      </c>
      <c r="B107" s="13">
        <v>17.808</v>
      </c>
      <c r="C107" s="13">
        <v>0.32</v>
      </c>
      <c r="D107" s="13">
        <f t="shared" si="51"/>
        <v>0.23</v>
      </c>
      <c r="E107" s="11">
        <f t="shared" si="56"/>
        <v>-5.0000000000000017E-2</v>
      </c>
      <c r="F107" s="11">
        <f t="shared" si="52"/>
        <v>0.28000000000000003</v>
      </c>
      <c r="G107" s="13">
        <f t="shared" si="53"/>
        <v>4.9862400000000004</v>
      </c>
      <c r="H107" s="13"/>
      <c r="I107" s="13"/>
      <c r="J107" s="20"/>
      <c r="K107" s="20"/>
      <c r="L107" s="20"/>
      <c r="M107" s="20"/>
      <c r="N107" s="20">
        <f t="shared" si="47"/>
        <v>0.28000000000000003</v>
      </c>
      <c r="O107" s="13">
        <f t="shared" si="59"/>
        <v>17.808</v>
      </c>
      <c r="P107" s="13">
        <f t="shared" si="48"/>
        <v>4.9862400000000004</v>
      </c>
      <c r="Q107" s="13">
        <f t="shared" si="49"/>
        <v>8.4766080000000006</v>
      </c>
      <c r="R107" s="13"/>
      <c r="S107" s="13"/>
      <c r="T107" s="13"/>
      <c r="U107" s="20"/>
      <c r="V107" s="20"/>
      <c r="W107" s="20"/>
      <c r="X107" s="20"/>
      <c r="Y107" s="20"/>
      <c r="Z107" s="20"/>
      <c r="AA107" s="20"/>
      <c r="AB107" s="20">
        <v>0.05</v>
      </c>
      <c r="AC107" s="20">
        <f t="shared" ref="AC107:AC114" si="62">B107</f>
        <v>17.808</v>
      </c>
      <c r="AD107" s="20">
        <f t="shared" ref="AD107:AD114" si="63">AB107*AC107</f>
        <v>0.89040000000000008</v>
      </c>
      <c r="AE107" s="18"/>
      <c r="AF107" s="18"/>
      <c r="AG107" s="18"/>
      <c r="AH107" s="18"/>
      <c r="AI107" s="18"/>
      <c r="AJ107" s="18"/>
    </row>
    <row r="108" spans="1:36" ht="15.6" customHeight="1" x14ac:dyDescent="0.25">
      <c r="A108" s="8" t="s">
        <v>91</v>
      </c>
      <c r="B108" s="13">
        <v>18.224</v>
      </c>
      <c r="C108" s="13">
        <v>0.32</v>
      </c>
      <c r="D108" s="13">
        <f t="shared" si="51"/>
        <v>0.23</v>
      </c>
      <c r="E108" s="11">
        <f t="shared" si="56"/>
        <v>-5.0000000000000017E-2</v>
      </c>
      <c r="F108" s="11">
        <f t="shared" si="52"/>
        <v>0.28000000000000003</v>
      </c>
      <c r="G108" s="13">
        <f t="shared" si="53"/>
        <v>5.1027200000000006</v>
      </c>
      <c r="H108" s="13"/>
      <c r="I108" s="13"/>
      <c r="J108" s="20"/>
      <c r="K108" s="20"/>
      <c r="L108" s="20"/>
      <c r="M108" s="20"/>
      <c r="N108" s="20">
        <f t="shared" si="47"/>
        <v>0.28000000000000003</v>
      </c>
      <c r="O108" s="13">
        <f t="shared" si="59"/>
        <v>18.224</v>
      </c>
      <c r="P108" s="13">
        <f t="shared" si="48"/>
        <v>5.1027200000000006</v>
      </c>
      <c r="Q108" s="13">
        <f t="shared" si="49"/>
        <v>8.6746240000000014</v>
      </c>
      <c r="R108" s="13"/>
      <c r="S108" s="13"/>
      <c r="T108" s="13"/>
      <c r="U108" s="20"/>
      <c r="V108" s="20"/>
      <c r="W108" s="20"/>
      <c r="X108" s="20"/>
      <c r="Y108" s="20"/>
      <c r="Z108" s="20"/>
      <c r="AA108" s="20"/>
      <c r="AB108" s="20">
        <v>0.05</v>
      </c>
      <c r="AC108" s="20">
        <f t="shared" si="62"/>
        <v>18.224</v>
      </c>
      <c r="AD108" s="20">
        <f t="shared" si="63"/>
        <v>0.91120000000000001</v>
      </c>
      <c r="AE108" s="18"/>
      <c r="AF108" s="18"/>
      <c r="AG108" s="18"/>
      <c r="AH108" s="18"/>
      <c r="AI108" s="18"/>
      <c r="AJ108" s="18"/>
    </row>
    <row r="109" spans="1:36" ht="15.6" customHeight="1" x14ac:dyDescent="0.25">
      <c r="A109" s="8" t="s">
        <v>92</v>
      </c>
      <c r="B109" s="13">
        <v>18.706</v>
      </c>
      <c r="C109" s="13">
        <v>0.2</v>
      </c>
      <c r="D109" s="13">
        <f t="shared" si="51"/>
        <v>0.11000000000000001</v>
      </c>
      <c r="E109" s="11">
        <f t="shared" si="56"/>
        <v>-0.17</v>
      </c>
      <c r="F109" s="11">
        <f t="shared" si="52"/>
        <v>0.28000000000000003</v>
      </c>
      <c r="G109" s="13">
        <f t="shared" si="53"/>
        <v>5.2376800000000001</v>
      </c>
      <c r="H109" s="13"/>
      <c r="I109" s="13"/>
      <c r="J109" s="20"/>
      <c r="K109" s="20"/>
      <c r="L109" s="20"/>
      <c r="M109" s="20"/>
      <c r="N109" s="20">
        <f t="shared" si="47"/>
        <v>0.28000000000000003</v>
      </c>
      <c r="O109" s="13">
        <f t="shared" si="59"/>
        <v>18.706</v>
      </c>
      <c r="P109" s="13">
        <f t="shared" si="48"/>
        <v>5.2376800000000001</v>
      </c>
      <c r="Q109" s="13">
        <f t="shared" si="49"/>
        <v>8.9040560000000006</v>
      </c>
      <c r="R109" s="13"/>
      <c r="S109" s="13"/>
      <c r="T109" s="13"/>
      <c r="U109" s="20"/>
      <c r="V109" s="20"/>
      <c r="W109" s="20"/>
      <c r="X109" s="20"/>
      <c r="Y109" s="20"/>
      <c r="Z109" s="20"/>
      <c r="AA109" s="20"/>
      <c r="AB109" s="20">
        <v>0.05</v>
      </c>
      <c r="AC109" s="20">
        <f t="shared" si="62"/>
        <v>18.706</v>
      </c>
      <c r="AD109" s="20">
        <f t="shared" si="63"/>
        <v>0.93530000000000002</v>
      </c>
      <c r="AE109" s="18"/>
      <c r="AF109" s="18"/>
      <c r="AG109" s="18"/>
      <c r="AH109" s="18"/>
      <c r="AI109" s="18"/>
      <c r="AJ109" s="18"/>
    </row>
    <row r="110" spans="1:36" ht="15.6" customHeight="1" x14ac:dyDescent="0.25">
      <c r="A110" s="8" t="s">
        <v>93</v>
      </c>
      <c r="B110" s="13">
        <v>18.247</v>
      </c>
      <c r="C110" s="13">
        <v>0.16</v>
      </c>
      <c r="D110" s="13">
        <f t="shared" si="51"/>
        <v>7.0000000000000007E-2</v>
      </c>
      <c r="E110" s="11">
        <f t="shared" si="56"/>
        <v>-0.21000000000000002</v>
      </c>
      <c r="F110" s="11">
        <f t="shared" si="52"/>
        <v>0.28000000000000003</v>
      </c>
      <c r="G110" s="13">
        <f t="shared" si="53"/>
        <v>5.1091600000000001</v>
      </c>
      <c r="H110" s="13"/>
      <c r="I110" s="13"/>
      <c r="J110" s="20"/>
      <c r="K110" s="20"/>
      <c r="L110" s="20"/>
      <c r="M110" s="20"/>
      <c r="N110" s="20">
        <f t="shared" si="47"/>
        <v>0.28000000000000003</v>
      </c>
      <c r="O110" s="13">
        <f t="shared" si="59"/>
        <v>18.247</v>
      </c>
      <c r="P110" s="13">
        <f t="shared" si="48"/>
        <v>5.1091600000000001</v>
      </c>
      <c r="Q110" s="13">
        <f t="shared" si="49"/>
        <v>8.6855720000000005</v>
      </c>
      <c r="R110" s="13"/>
      <c r="S110" s="13"/>
      <c r="T110" s="13"/>
      <c r="U110" s="20"/>
      <c r="V110" s="20"/>
      <c r="W110" s="20"/>
      <c r="X110" s="20"/>
      <c r="Y110" s="20"/>
      <c r="Z110" s="20"/>
      <c r="AA110" s="20"/>
      <c r="AB110" s="20">
        <v>0.05</v>
      </c>
      <c r="AC110" s="20">
        <f t="shared" si="62"/>
        <v>18.247</v>
      </c>
      <c r="AD110" s="20">
        <f t="shared" si="63"/>
        <v>0.91234999999999999</v>
      </c>
      <c r="AE110" s="18"/>
      <c r="AF110" s="18"/>
      <c r="AG110" s="18"/>
      <c r="AH110" s="18"/>
      <c r="AI110" s="18"/>
      <c r="AJ110" s="18"/>
    </row>
    <row r="111" spans="1:36" ht="15.6" customHeight="1" x14ac:dyDescent="0.25">
      <c r="A111" s="8" t="s">
        <v>94</v>
      </c>
      <c r="B111" s="13">
        <v>18.228000000000002</v>
      </c>
      <c r="C111" s="13">
        <v>0.06</v>
      </c>
      <c r="D111" s="13">
        <f t="shared" si="51"/>
        <v>-0.03</v>
      </c>
      <c r="E111" s="11">
        <f t="shared" si="56"/>
        <v>-0.31000000000000005</v>
      </c>
      <c r="F111" s="11">
        <f t="shared" si="52"/>
        <v>0.28000000000000003</v>
      </c>
      <c r="G111" s="13">
        <f>F111*B111</f>
        <v>5.1038400000000008</v>
      </c>
      <c r="H111" s="13"/>
      <c r="I111" s="13"/>
      <c r="J111" s="20"/>
      <c r="K111" s="20"/>
      <c r="L111" s="20"/>
      <c r="M111" s="20"/>
      <c r="N111" s="20">
        <f t="shared" si="47"/>
        <v>0.28000000000000003</v>
      </c>
      <c r="O111" s="13">
        <f t="shared" si="59"/>
        <v>18.228000000000002</v>
      </c>
      <c r="P111" s="13">
        <f t="shared" si="48"/>
        <v>5.1038400000000008</v>
      </c>
      <c r="Q111" s="13">
        <f t="shared" si="49"/>
        <v>8.6765280000000011</v>
      </c>
      <c r="R111" s="13"/>
      <c r="S111" s="13"/>
      <c r="T111" s="13"/>
      <c r="U111" s="20"/>
      <c r="V111" s="20"/>
      <c r="W111" s="20"/>
      <c r="X111" s="20"/>
      <c r="Y111" s="20"/>
      <c r="Z111" s="20"/>
      <c r="AA111" s="20"/>
      <c r="AB111" s="20">
        <v>0.05</v>
      </c>
      <c r="AC111" s="20">
        <f t="shared" si="62"/>
        <v>18.228000000000002</v>
      </c>
      <c r="AD111" s="20">
        <f t="shared" si="63"/>
        <v>0.9114000000000001</v>
      </c>
      <c r="AE111" s="18"/>
      <c r="AF111" s="18"/>
      <c r="AG111" s="18"/>
      <c r="AH111" s="18"/>
      <c r="AI111" s="18"/>
      <c r="AJ111" s="18"/>
    </row>
    <row r="112" spans="1:36" ht="15.6" customHeight="1" x14ac:dyDescent="0.25">
      <c r="A112" s="8" t="s">
        <v>95</v>
      </c>
      <c r="B112" s="13">
        <f>(3.374+6.502)-2.976</f>
        <v>6.8999999999999995</v>
      </c>
      <c r="C112" s="13">
        <v>0.05</v>
      </c>
      <c r="D112" s="13">
        <f t="shared" si="51"/>
        <v>-3.9999999999999994E-2</v>
      </c>
      <c r="E112" s="11">
        <f t="shared" si="56"/>
        <v>-0.32</v>
      </c>
      <c r="F112" s="11">
        <f t="shared" si="52"/>
        <v>0.28000000000000003</v>
      </c>
      <c r="G112" s="13">
        <f>F112*B112</f>
        <v>1.9319999999999999</v>
      </c>
      <c r="H112" s="13"/>
      <c r="I112" s="13"/>
      <c r="J112" s="20"/>
      <c r="K112" s="20"/>
      <c r="L112" s="20"/>
      <c r="M112" s="20"/>
      <c r="N112" s="20">
        <f t="shared" si="47"/>
        <v>0.28000000000000003</v>
      </c>
      <c r="O112" s="13">
        <f t="shared" si="59"/>
        <v>6.8999999999999995</v>
      </c>
      <c r="P112" s="13">
        <f t="shared" si="48"/>
        <v>1.9319999999999999</v>
      </c>
      <c r="Q112" s="13">
        <f t="shared" si="49"/>
        <v>3.2843999999999998</v>
      </c>
      <c r="R112" s="13"/>
      <c r="S112" s="13"/>
      <c r="T112" s="13"/>
      <c r="U112" s="20"/>
      <c r="V112" s="20"/>
      <c r="W112" s="20"/>
      <c r="X112" s="20"/>
      <c r="Y112" s="20"/>
      <c r="Z112" s="20"/>
      <c r="AA112" s="20"/>
      <c r="AB112" s="20">
        <v>0.05</v>
      </c>
      <c r="AC112" s="20">
        <f t="shared" si="62"/>
        <v>6.8999999999999995</v>
      </c>
      <c r="AD112" s="20">
        <f t="shared" si="63"/>
        <v>0.34499999999999997</v>
      </c>
      <c r="AE112" s="18"/>
      <c r="AF112" s="18"/>
      <c r="AG112" s="18"/>
      <c r="AH112" s="18"/>
      <c r="AI112" s="18"/>
      <c r="AJ112" s="18"/>
    </row>
    <row r="113" spans="1:36" ht="15.6" customHeight="1" x14ac:dyDescent="0.25">
      <c r="A113" s="8" t="s">
        <v>96</v>
      </c>
      <c r="B113" s="13">
        <v>76.14</v>
      </c>
      <c r="C113" s="13">
        <v>-0.01</v>
      </c>
      <c r="D113" s="13">
        <f t="shared" si="51"/>
        <v>-9.9999999999999992E-2</v>
      </c>
      <c r="E113" s="11">
        <f t="shared" si="56"/>
        <v>-0.38</v>
      </c>
      <c r="F113" s="11">
        <f t="shared" si="52"/>
        <v>0.28000000000000003</v>
      </c>
      <c r="G113" s="13">
        <f t="shared" si="53"/>
        <v>21.319200000000002</v>
      </c>
      <c r="H113" s="13"/>
      <c r="I113" s="13"/>
      <c r="J113" s="20"/>
      <c r="K113" s="20"/>
      <c r="L113" s="20"/>
      <c r="M113" s="20"/>
      <c r="N113" s="20">
        <f t="shared" si="47"/>
        <v>0.28000000000000003</v>
      </c>
      <c r="O113" s="13">
        <f t="shared" si="59"/>
        <v>76.14</v>
      </c>
      <c r="P113" s="13">
        <f t="shared" si="48"/>
        <v>21.319200000000002</v>
      </c>
      <c r="Q113" s="13">
        <f t="shared" si="49"/>
        <v>36.242640000000002</v>
      </c>
      <c r="R113" s="13"/>
      <c r="S113" s="13"/>
      <c r="T113" s="13"/>
      <c r="U113" s="20"/>
      <c r="V113" s="20"/>
      <c r="W113" s="20"/>
      <c r="X113" s="20"/>
      <c r="Y113" s="20"/>
      <c r="Z113" s="20"/>
      <c r="AA113" s="20"/>
      <c r="AB113" s="20">
        <v>0.05</v>
      </c>
      <c r="AC113" s="20">
        <f t="shared" si="62"/>
        <v>76.14</v>
      </c>
      <c r="AD113" s="20">
        <f t="shared" si="63"/>
        <v>3.8070000000000004</v>
      </c>
      <c r="AE113" s="18"/>
      <c r="AF113" s="18"/>
      <c r="AG113" s="18"/>
      <c r="AH113" s="18"/>
      <c r="AI113" s="18"/>
      <c r="AJ113" s="18"/>
    </row>
    <row r="114" spans="1:36" ht="15.6" customHeight="1" x14ac:dyDescent="0.25">
      <c r="A114" s="8" t="s">
        <v>97</v>
      </c>
      <c r="B114" s="13">
        <v>26.183</v>
      </c>
      <c r="C114" s="13">
        <v>-0.03</v>
      </c>
      <c r="D114" s="13">
        <f t="shared" si="51"/>
        <v>-0.12</v>
      </c>
      <c r="E114" s="11">
        <f t="shared" si="56"/>
        <v>-0.4</v>
      </c>
      <c r="F114" s="11">
        <f t="shared" si="52"/>
        <v>0.28000000000000003</v>
      </c>
      <c r="G114" s="13">
        <f t="shared" si="53"/>
        <v>7.3312400000000011</v>
      </c>
      <c r="H114" s="13"/>
      <c r="I114" s="13"/>
      <c r="J114" s="20"/>
      <c r="K114" s="20"/>
      <c r="L114" s="20"/>
      <c r="M114" s="20"/>
      <c r="N114" s="20">
        <f t="shared" si="47"/>
        <v>0.28000000000000003</v>
      </c>
      <c r="O114" s="13">
        <f t="shared" si="59"/>
        <v>26.183</v>
      </c>
      <c r="P114" s="13">
        <f t="shared" si="48"/>
        <v>7.3312400000000011</v>
      </c>
      <c r="Q114" s="13">
        <f t="shared" si="49"/>
        <v>12.463108000000002</v>
      </c>
      <c r="R114" s="13"/>
      <c r="S114" s="13"/>
      <c r="T114" s="13"/>
      <c r="U114" s="20"/>
      <c r="V114" s="20"/>
      <c r="W114" s="20"/>
      <c r="X114" s="20"/>
      <c r="Y114" s="20"/>
      <c r="Z114" s="20"/>
      <c r="AA114" s="20"/>
      <c r="AB114" s="20">
        <v>0.05</v>
      </c>
      <c r="AC114" s="20">
        <f t="shared" si="62"/>
        <v>26.183</v>
      </c>
      <c r="AD114" s="20">
        <f t="shared" si="63"/>
        <v>1.30915</v>
      </c>
      <c r="AE114" s="18"/>
      <c r="AF114" s="18"/>
      <c r="AG114" s="18"/>
      <c r="AH114" s="18"/>
      <c r="AI114" s="18"/>
      <c r="AJ114" s="18"/>
    </row>
    <row r="115" spans="1:36" ht="15.6" customHeight="1" x14ac:dyDescent="0.25">
      <c r="A115" s="8" t="s">
        <v>98</v>
      </c>
      <c r="B115" s="13">
        <v>19.34</v>
      </c>
      <c r="C115" s="13">
        <v>-0.11</v>
      </c>
      <c r="D115" s="13">
        <f t="shared" si="51"/>
        <v>-0.2</v>
      </c>
      <c r="E115" s="11">
        <f t="shared" si="56"/>
        <v>-0.48000000000000004</v>
      </c>
      <c r="F115" s="11">
        <f t="shared" si="52"/>
        <v>0.28000000000000003</v>
      </c>
      <c r="G115" s="13">
        <f t="shared" si="53"/>
        <v>5.4152000000000005</v>
      </c>
      <c r="H115" s="13"/>
      <c r="I115" s="13"/>
      <c r="J115" s="20"/>
      <c r="K115" s="20"/>
      <c r="L115" s="20"/>
      <c r="M115" s="20"/>
      <c r="N115" s="20">
        <f t="shared" si="47"/>
        <v>0.28000000000000003</v>
      </c>
      <c r="O115" s="13">
        <f t="shared" si="59"/>
        <v>19.34</v>
      </c>
      <c r="P115" s="13">
        <f t="shared" si="48"/>
        <v>5.4152000000000005</v>
      </c>
      <c r="Q115" s="13">
        <f t="shared" si="49"/>
        <v>9.2058400000000002</v>
      </c>
      <c r="R115" s="13"/>
      <c r="S115" s="13"/>
      <c r="T115" s="13"/>
      <c r="U115" s="20"/>
      <c r="V115" s="20"/>
      <c r="W115" s="20"/>
      <c r="X115" s="20"/>
      <c r="Y115" s="20"/>
      <c r="Z115" s="20"/>
      <c r="AA115" s="20"/>
      <c r="AB115" s="20">
        <v>0.05</v>
      </c>
      <c r="AC115" s="20">
        <f t="shared" ref="AC115:AC116" si="64">B115</f>
        <v>19.34</v>
      </c>
      <c r="AD115" s="20">
        <f t="shared" ref="AD115:AD116" si="65">AB115*AC115</f>
        <v>0.96700000000000008</v>
      </c>
      <c r="AE115" s="18"/>
      <c r="AF115" s="18"/>
      <c r="AG115" s="18"/>
      <c r="AH115" s="18"/>
      <c r="AI115" s="18"/>
      <c r="AJ115" s="18"/>
    </row>
    <row r="116" spans="1:36" ht="15.6" customHeight="1" x14ac:dyDescent="0.25">
      <c r="A116" s="8" t="s">
        <v>99</v>
      </c>
      <c r="B116" s="13">
        <v>19.440999999999999</v>
      </c>
      <c r="C116" s="13">
        <v>-0.15</v>
      </c>
      <c r="D116" s="13">
        <f t="shared" si="51"/>
        <v>-0.24</v>
      </c>
      <c r="E116" s="11">
        <f t="shared" si="56"/>
        <v>-0.52</v>
      </c>
      <c r="F116" s="11">
        <f t="shared" si="52"/>
        <v>0.28000000000000003</v>
      </c>
      <c r="G116" s="13">
        <f t="shared" si="53"/>
        <v>5.4434800000000001</v>
      </c>
      <c r="H116" s="13"/>
      <c r="I116" s="13"/>
      <c r="J116" s="20"/>
      <c r="K116" s="20"/>
      <c r="L116" s="20"/>
      <c r="M116" s="20"/>
      <c r="N116" s="20">
        <f t="shared" si="47"/>
        <v>0.28000000000000003</v>
      </c>
      <c r="O116" s="13">
        <f t="shared" si="59"/>
        <v>19.440999999999999</v>
      </c>
      <c r="P116" s="13">
        <f t="shared" si="48"/>
        <v>5.4434800000000001</v>
      </c>
      <c r="Q116" s="13">
        <f t="shared" si="49"/>
        <v>9.2539160000000003</v>
      </c>
      <c r="R116" s="13"/>
      <c r="S116" s="13"/>
      <c r="T116" s="13"/>
      <c r="U116" s="20"/>
      <c r="V116" s="20"/>
      <c r="W116" s="20"/>
      <c r="X116" s="20"/>
      <c r="Y116" s="20"/>
      <c r="Z116" s="20"/>
      <c r="AA116" s="20"/>
      <c r="AB116" s="20">
        <v>0.05</v>
      </c>
      <c r="AC116" s="20">
        <f t="shared" si="64"/>
        <v>19.440999999999999</v>
      </c>
      <c r="AD116" s="20">
        <f t="shared" si="65"/>
        <v>0.97204999999999997</v>
      </c>
      <c r="AE116" s="18"/>
      <c r="AF116" s="18"/>
      <c r="AG116" s="18"/>
      <c r="AH116" s="18"/>
      <c r="AI116" s="18"/>
      <c r="AJ116" s="18"/>
    </row>
    <row r="117" spans="1:36" ht="15.6" customHeight="1" x14ac:dyDescent="0.25">
      <c r="A117" s="8" t="s">
        <v>100</v>
      </c>
      <c r="B117" s="13">
        <v>19.370999999999999</v>
      </c>
      <c r="C117" s="13">
        <v>-0.19</v>
      </c>
      <c r="D117" s="13">
        <f t="shared" si="51"/>
        <v>-0.28000000000000003</v>
      </c>
      <c r="E117" s="11">
        <f t="shared" si="56"/>
        <v>-0.56000000000000005</v>
      </c>
      <c r="F117" s="11">
        <f t="shared" si="52"/>
        <v>0.28000000000000003</v>
      </c>
      <c r="G117" s="13">
        <f t="shared" si="53"/>
        <v>5.4238800000000005</v>
      </c>
      <c r="H117" s="13"/>
      <c r="I117" s="13"/>
      <c r="J117" s="20"/>
      <c r="K117" s="20"/>
      <c r="L117" s="20"/>
      <c r="M117" s="20"/>
      <c r="N117" s="20">
        <f t="shared" si="47"/>
        <v>0.28000000000000003</v>
      </c>
      <c r="O117" s="13">
        <f t="shared" si="59"/>
        <v>19.370999999999999</v>
      </c>
      <c r="P117" s="13">
        <f t="shared" si="48"/>
        <v>5.4238800000000005</v>
      </c>
      <c r="Q117" s="13">
        <f t="shared" si="49"/>
        <v>9.2205960000000005</v>
      </c>
      <c r="R117" s="13"/>
      <c r="S117" s="13"/>
      <c r="T117" s="13"/>
      <c r="U117" s="20"/>
      <c r="V117" s="20"/>
      <c r="W117" s="20"/>
      <c r="X117" s="20"/>
      <c r="Y117" s="20"/>
      <c r="Z117" s="20"/>
      <c r="AA117" s="20"/>
      <c r="AB117" s="20">
        <v>0.05</v>
      </c>
      <c r="AC117" s="20">
        <f t="shared" ref="AC117:AC123" si="66">B117</f>
        <v>19.370999999999999</v>
      </c>
      <c r="AD117" s="20">
        <f t="shared" ref="AD117:AD123" si="67">AB117*AC117</f>
        <v>0.96855000000000002</v>
      </c>
      <c r="AE117" s="18"/>
      <c r="AF117" s="18"/>
      <c r="AG117" s="18"/>
      <c r="AH117" s="18"/>
      <c r="AI117" s="18"/>
      <c r="AJ117" s="18"/>
    </row>
    <row r="118" spans="1:36" ht="15.6" customHeight="1" x14ac:dyDescent="0.25">
      <c r="A118" s="8" t="s">
        <v>101</v>
      </c>
      <c r="B118" s="13">
        <v>3.7719999999999998</v>
      </c>
      <c r="C118" s="13">
        <v>-0.21</v>
      </c>
      <c r="D118" s="13">
        <f t="shared" si="51"/>
        <v>-0.3</v>
      </c>
      <c r="E118" s="11">
        <v>-1.1000000000000001</v>
      </c>
      <c r="F118" s="11">
        <f t="shared" si="52"/>
        <v>0.8</v>
      </c>
      <c r="G118" s="13">
        <f t="shared" si="53"/>
        <v>3.0175999999999998</v>
      </c>
      <c r="H118" s="13"/>
      <c r="I118" s="13"/>
      <c r="J118" s="20">
        <f>F118</f>
        <v>0.8</v>
      </c>
      <c r="K118" s="20">
        <f>B118</f>
        <v>3.7719999999999998</v>
      </c>
      <c r="L118" s="20">
        <f>K118*J118</f>
        <v>3.0175999999999998</v>
      </c>
      <c r="M118" s="13">
        <f>L118*1.9</f>
        <v>5.733439999999999</v>
      </c>
      <c r="N118" s="20"/>
      <c r="O118" s="13"/>
      <c r="P118" s="13"/>
      <c r="Q118" s="13"/>
      <c r="R118" s="13"/>
      <c r="S118" s="13"/>
      <c r="T118" s="13"/>
      <c r="U118" s="20"/>
      <c r="V118" s="20"/>
      <c r="W118" s="20"/>
      <c r="X118" s="20"/>
      <c r="Y118" s="20"/>
      <c r="Z118" s="20"/>
      <c r="AA118" s="20"/>
      <c r="AB118" s="20">
        <v>0.05</v>
      </c>
      <c r="AC118" s="20">
        <f t="shared" si="66"/>
        <v>3.7719999999999998</v>
      </c>
      <c r="AD118" s="20">
        <f t="shared" si="67"/>
        <v>0.18859999999999999</v>
      </c>
      <c r="AE118" s="18"/>
      <c r="AF118" s="18"/>
      <c r="AG118" s="18"/>
      <c r="AH118" s="18"/>
      <c r="AI118" s="18"/>
      <c r="AJ118" s="18"/>
    </row>
    <row r="119" spans="1:36" ht="15.6" customHeight="1" x14ac:dyDescent="0.25">
      <c r="A119" s="8" t="s">
        <v>102</v>
      </c>
      <c r="B119" s="13">
        <v>51.164000000000001</v>
      </c>
      <c r="C119" s="13">
        <v>-0.01</v>
      </c>
      <c r="D119" s="13">
        <f t="shared" si="51"/>
        <v>-9.9999999999999992E-2</v>
      </c>
      <c r="E119" s="11">
        <f>D119-0.28</f>
        <v>-0.38</v>
      </c>
      <c r="F119" s="11">
        <f t="shared" si="52"/>
        <v>0.28000000000000003</v>
      </c>
      <c r="G119" s="13">
        <f t="shared" si="53"/>
        <v>14.325920000000002</v>
      </c>
      <c r="H119" s="13"/>
      <c r="I119" s="13"/>
      <c r="J119" s="20"/>
      <c r="K119" s="20"/>
      <c r="L119" s="20"/>
      <c r="M119" s="20"/>
      <c r="N119" s="20">
        <f t="shared" si="47"/>
        <v>0.28000000000000003</v>
      </c>
      <c r="O119" s="13">
        <f>B119</f>
        <v>51.164000000000001</v>
      </c>
      <c r="P119" s="13">
        <f t="shared" si="48"/>
        <v>14.325920000000002</v>
      </c>
      <c r="Q119" s="13">
        <f t="shared" si="49"/>
        <v>24.354064000000001</v>
      </c>
      <c r="R119" s="13"/>
      <c r="S119" s="13"/>
      <c r="T119" s="13"/>
      <c r="U119" s="20"/>
      <c r="V119" s="20"/>
      <c r="W119" s="20"/>
      <c r="X119" s="20"/>
      <c r="Y119" s="20"/>
      <c r="Z119" s="20"/>
      <c r="AA119" s="20"/>
      <c r="AB119" s="20">
        <v>0.05</v>
      </c>
      <c r="AC119" s="20">
        <f t="shared" si="66"/>
        <v>51.164000000000001</v>
      </c>
      <c r="AD119" s="20">
        <f t="shared" si="67"/>
        <v>2.5582000000000003</v>
      </c>
      <c r="AE119" s="18"/>
      <c r="AF119" s="18"/>
      <c r="AG119" s="18"/>
      <c r="AH119" s="18"/>
      <c r="AI119" s="18"/>
      <c r="AJ119" s="18"/>
    </row>
    <row r="120" spans="1:36" ht="15.6" customHeight="1" x14ac:dyDescent="0.25">
      <c r="A120" s="8" t="s">
        <v>103</v>
      </c>
      <c r="B120" s="13">
        <v>19.568999999999999</v>
      </c>
      <c r="C120" s="13">
        <v>0.01</v>
      </c>
      <c r="D120" s="13">
        <f t="shared" si="51"/>
        <v>-0.08</v>
      </c>
      <c r="E120" s="11">
        <f>D120-0.24</f>
        <v>-0.32</v>
      </c>
      <c r="F120" s="11">
        <f t="shared" si="52"/>
        <v>0.24</v>
      </c>
      <c r="G120" s="13">
        <f t="shared" si="53"/>
        <v>4.6965599999999998</v>
      </c>
      <c r="H120" s="13"/>
      <c r="I120" s="13"/>
      <c r="J120" s="20"/>
      <c r="K120" s="20"/>
      <c r="L120" s="20"/>
      <c r="M120" s="20"/>
      <c r="N120" s="20">
        <f t="shared" si="47"/>
        <v>0.24</v>
      </c>
      <c r="O120" s="13">
        <f>B120</f>
        <v>19.568999999999999</v>
      </c>
      <c r="P120" s="13">
        <f t="shared" si="48"/>
        <v>4.6965599999999998</v>
      </c>
      <c r="Q120" s="13">
        <f t="shared" si="49"/>
        <v>7.9841519999999999</v>
      </c>
      <c r="R120" s="13"/>
      <c r="S120" s="13"/>
      <c r="T120" s="13"/>
      <c r="U120" s="20"/>
      <c r="V120" s="20"/>
      <c r="W120" s="20"/>
      <c r="X120" s="20"/>
      <c r="Y120" s="20"/>
      <c r="Z120" s="20"/>
      <c r="AA120" s="20"/>
      <c r="AB120" s="20">
        <v>0.05</v>
      </c>
      <c r="AC120" s="20">
        <f t="shared" si="66"/>
        <v>19.568999999999999</v>
      </c>
      <c r="AD120" s="20">
        <f t="shared" si="67"/>
        <v>0.97845000000000004</v>
      </c>
      <c r="AE120" s="18"/>
      <c r="AF120" s="18"/>
      <c r="AG120" s="18"/>
      <c r="AH120" s="18"/>
      <c r="AI120" s="18"/>
      <c r="AJ120" s="18"/>
    </row>
    <row r="121" spans="1:36" ht="15.6" customHeight="1" x14ac:dyDescent="0.25">
      <c r="A121" s="8" t="s">
        <v>104</v>
      </c>
      <c r="B121" s="13">
        <v>131.38399999999999</v>
      </c>
      <c r="C121" s="13">
        <v>0.01</v>
      </c>
      <c r="D121" s="13">
        <f t="shared" si="51"/>
        <v>-0.08</v>
      </c>
      <c r="E121" s="11">
        <f t="shared" ref="E121" si="68">D121-0.28</f>
        <v>-0.36000000000000004</v>
      </c>
      <c r="F121" s="11">
        <f t="shared" si="52"/>
        <v>0.28000000000000003</v>
      </c>
      <c r="G121" s="13">
        <f t="shared" si="53"/>
        <v>36.787520000000001</v>
      </c>
      <c r="H121" s="13"/>
      <c r="I121" s="13"/>
      <c r="J121" s="20"/>
      <c r="K121" s="20"/>
      <c r="L121" s="20"/>
      <c r="M121" s="20"/>
      <c r="N121" s="20">
        <f t="shared" si="47"/>
        <v>0.28000000000000003</v>
      </c>
      <c r="O121" s="13">
        <f>B121</f>
        <v>131.38399999999999</v>
      </c>
      <c r="P121" s="13">
        <f t="shared" si="48"/>
        <v>36.787520000000001</v>
      </c>
      <c r="Q121" s="13">
        <f t="shared" si="49"/>
        <v>62.538784</v>
      </c>
      <c r="R121" s="13"/>
      <c r="S121" s="13"/>
      <c r="T121" s="13"/>
      <c r="U121" s="20"/>
      <c r="V121" s="20"/>
      <c r="W121" s="20"/>
      <c r="X121" s="20"/>
      <c r="Y121" s="20"/>
      <c r="Z121" s="20"/>
      <c r="AA121" s="20"/>
      <c r="AB121" s="20">
        <v>0.05</v>
      </c>
      <c r="AC121" s="20">
        <f t="shared" si="66"/>
        <v>131.38399999999999</v>
      </c>
      <c r="AD121" s="20">
        <f t="shared" si="67"/>
        <v>6.5691999999999995</v>
      </c>
      <c r="AE121" s="18"/>
      <c r="AF121" s="18"/>
      <c r="AG121" s="18"/>
      <c r="AH121" s="18"/>
      <c r="AI121" s="18"/>
      <c r="AJ121" s="18"/>
    </row>
    <row r="122" spans="1:36" ht="15.6" customHeight="1" x14ac:dyDescent="0.25">
      <c r="A122" s="8" t="s">
        <v>105</v>
      </c>
      <c r="B122" s="13">
        <v>9.6959999999999997</v>
      </c>
      <c r="C122" s="13">
        <v>0.04</v>
      </c>
      <c r="D122" s="13">
        <f t="shared" si="51"/>
        <v>-4.9999999999999996E-2</v>
      </c>
      <c r="E122" s="11">
        <f>D122-0.24</f>
        <v>-0.28999999999999998</v>
      </c>
      <c r="F122" s="11">
        <f t="shared" si="52"/>
        <v>0.24</v>
      </c>
      <c r="G122" s="13">
        <f t="shared" si="53"/>
        <v>2.3270399999999998</v>
      </c>
      <c r="H122" s="13"/>
      <c r="I122" s="13"/>
      <c r="J122" s="20"/>
      <c r="K122" s="20"/>
      <c r="L122" s="20"/>
      <c r="M122" s="20"/>
      <c r="N122" s="20">
        <f t="shared" si="47"/>
        <v>0.24</v>
      </c>
      <c r="O122" s="13">
        <f t="shared" ref="O122:O123" si="69">B122</f>
        <v>9.6959999999999997</v>
      </c>
      <c r="P122" s="13">
        <f t="shared" si="48"/>
        <v>2.3270399999999998</v>
      </c>
      <c r="Q122" s="13">
        <f t="shared" si="49"/>
        <v>3.9559679999999995</v>
      </c>
      <c r="R122" s="13"/>
      <c r="S122" s="13"/>
      <c r="T122" s="13"/>
      <c r="U122" s="20"/>
      <c r="V122" s="20"/>
      <c r="W122" s="20"/>
      <c r="X122" s="20"/>
      <c r="Y122" s="20"/>
      <c r="Z122" s="20"/>
      <c r="AA122" s="20"/>
      <c r="AB122" s="20">
        <v>0.05</v>
      </c>
      <c r="AC122" s="20">
        <f t="shared" si="66"/>
        <v>9.6959999999999997</v>
      </c>
      <c r="AD122" s="20">
        <f t="shared" si="67"/>
        <v>0.48480000000000001</v>
      </c>
      <c r="AE122" s="18"/>
      <c r="AF122" s="18"/>
      <c r="AG122" s="18"/>
      <c r="AH122" s="18"/>
      <c r="AI122" s="18"/>
      <c r="AJ122" s="18"/>
    </row>
    <row r="123" spans="1:36" ht="15.6" customHeight="1" x14ac:dyDescent="0.25">
      <c r="A123" s="8" t="s">
        <v>106</v>
      </c>
      <c r="B123" s="13">
        <v>147.68299999999999</v>
      </c>
      <c r="C123" s="13">
        <v>-7.0000000000000007E-2</v>
      </c>
      <c r="D123" s="13">
        <f t="shared" si="51"/>
        <v>-0.16</v>
      </c>
      <c r="E123" s="11">
        <f>D123-0.28</f>
        <v>-0.44000000000000006</v>
      </c>
      <c r="F123" s="11">
        <f t="shared" si="52"/>
        <v>0.28000000000000003</v>
      </c>
      <c r="G123" s="13">
        <f t="shared" si="53"/>
        <v>41.351240000000004</v>
      </c>
      <c r="H123" s="13"/>
      <c r="I123" s="13"/>
      <c r="J123" s="20"/>
      <c r="K123" s="20"/>
      <c r="L123" s="20"/>
      <c r="M123" s="20"/>
      <c r="N123" s="20">
        <f t="shared" si="47"/>
        <v>0.28000000000000003</v>
      </c>
      <c r="O123" s="13">
        <f t="shared" si="69"/>
        <v>147.68299999999999</v>
      </c>
      <c r="P123" s="13">
        <f t="shared" si="48"/>
        <v>41.351240000000004</v>
      </c>
      <c r="Q123" s="13">
        <f t="shared" si="49"/>
        <v>70.297108000000009</v>
      </c>
      <c r="R123" s="13"/>
      <c r="S123" s="13"/>
      <c r="T123" s="13"/>
      <c r="U123" s="20"/>
      <c r="V123" s="20"/>
      <c r="W123" s="20"/>
      <c r="X123" s="20"/>
      <c r="Y123" s="20"/>
      <c r="Z123" s="20"/>
      <c r="AA123" s="20"/>
      <c r="AB123" s="20">
        <v>0.05</v>
      </c>
      <c r="AC123" s="20">
        <f t="shared" si="66"/>
        <v>147.68299999999999</v>
      </c>
      <c r="AD123" s="20">
        <f t="shared" si="67"/>
        <v>7.38415</v>
      </c>
      <c r="AE123" s="18"/>
      <c r="AF123" s="18"/>
      <c r="AG123" s="18"/>
      <c r="AH123" s="18"/>
      <c r="AI123" s="18"/>
      <c r="AJ123" s="18"/>
    </row>
    <row r="124" spans="1:36" ht="15.6" customHeight="1" x14ac:dyDescent="0.25">
      <c r="A124" s="8" t="s">
        <v>107</v>
      </c>
      <c r="B124" s="13">
        <v>10.891</v>
      </c>
      <c r="C124" s="13">
        <v>-0.16</v>
      </c>
      <c r="D124" s="13">
        <f t="shared" ref="D124:D131" si="70">C124-0.09</f>
        <v>-0.25</v>
      </c>
      <c r="E124" s="11">
        <f>D124-0.28</f>
        <v>-0.53</v>
      </c>
      <c r="F124" s="11">
        <f t="shared" ref="F124:F132" si="71">D124-E124</f>
        <v>0.28000000000000003</v>
      </c>
      <c r="G124" s="13">
        <f t="shared" ref="G124:G132" si="72">F124*B124</f>
        <v>3.0494800000000004</v>
      </c>
      <c r="H124" s="13"/>
      <c r="I124" s="13"/>
      <c r="J124" s="20"/>
      <c r="K124" s="20"/>
      <c r="L124" s="20"/>
      <c r="M124" s="20"/>
      <c r="N124" s="20">
        <f t="shared" si="47"/>
        <v>0.28000000000000003</v>
      </c>
      <c r="O124" s="13">
        <f>B124</f>
        <v>10.891</v>
      </c>
      <c r="P124" s="13">
        <f t="shared" si="48"/>
        <v>3.0494800000000004</v>
      </c>
      <c r="Q124" s="13">
        <f t="shared" si="49"/>
        <v>5.1841160000000004</v>
      </c>
      <c r="R124" s="13"/>
      <c r="S124" s="13"/>
      <c r="T124" s="13"/>
      <c r="U124" s="20"/>
      <c r="V124" s="20"/>
      <c r="W124" s="20"/>
      <c r="X124" s="20"/>
      <c r="Y124" s="20"/>
      <c r="Z124" s="20"/>
      <c r="AA124" s="20"/>
      <c r="AB124" s="20">
        <v>0.05</v>
      </c>
      <c r="AC124" s="20">
        <f t="shared" ref="AC124:AC131" si="73">B124</f>
        <v>10.891</v>
      </c>
      <c r="AD124" s="20">
        <f t="shared" ref="AD124:AD131" si="74">AB124*AC124</f>
        <v>0.54454999999999998</v>
      </c>
      <c r="AE124" s="18"/>
      <c r="AF124" s="18"/>
      <c r="AG124" s="18"/>
      <c r="AH124" s="18"/>
      <c r="AI124" s="18"/>
      <c r="AJ124" s="18"/>
    </row>
    <row r="125" spans="1:36" ht="15.6" customHeight="1" x14ac:dyDescent="0.25">
      <c r="A125" s="8" t="s">
        <v>108</v>
      </c>
      <c r="B125" s="13">
        <v>5.1100000000000003</v>
      </c>
      <c r="C125" s="13">
        <v>-0.35</v>
      </c>
      <c r="D125" s="13">
        <f t="shared" si="70"/>
        <v>-0.43999999999999995</v>
      </c>
      <c r="E125" s="11">
        <f>D125-0.28</f>
        <v>-0.72</v>
      </c>
      <c r="F125" s="11">
        <f t="shared" si="71"/>
        <v>0.28000000000000003</v>
      </c>
      <c r="G125" s="13">
        <f t="shared" si="72"/>
        <v>1.4308000000000003</v>
      </c>
      <c r="H125" s="13"/>
      <c r="I125" s="13"/>
      <c r="J125" s="20"/>
      <c r="K125" s="20"/>
      <c r="L125" s="20"/>
      <c r="M125" s="20"/>
      <c r="N125" s="20">
        <f t="shared" si="47"/>
        <v>0.28000000000000003</v>
      </c>
      <c r="O125" s="13">
        <f>B125</f>
        <v>5.1100000000000003</v>
      </c>
      <c r="P125" s="13">
        <f t="shared" si="48"/>
        <v>1.4308000000000003</v>
      </c>
      <c r="Q125" s="13">
        <f t="shared" si="49"/>
        <v>2.4323600000000005</v>
      </c>
      <c r="R125" s="13"/>
      <c r="S125" s="13"/>
      <c r="T125" s="13"/>
      <c r="U125" s="20"/>
      <c r="V125" s="20"/>
      <c r="W125" s="20"/>
      <c r="X125" s="20"/>
      <c r="Y125" s="20"/>
      <c r="Z125" s="20"/>
      <c r="AA125" s="20"/>
      <c r="AB125" s="20">
        <v>0.05</v>
      </c>
      <c r="AC125" s="20">
        <f t="shared" si="73"/>
        <v>5.1100000000000003</v>
      </c>
      <c r="AD125" s="20">
        <f t="shared" si="74"/>
        <v>0.2555</v>
      </c>
      <c r="AE125" s="18"/>
      <c r="AF125" s="18"/>
      <c r="AG125" s="18"/>
      <c r="AH125" s="18"/>
      <c r="AI125" s="18"/>
      <c r="AJ125" s="18"/>
    </row>
    <row r="126" spans="1:36" ht="15.6" customHeight="1" x14ac:dyDescent="0.25">
      <c r="A126" s="8" t="s">
        <v>109</v>
      </c>
      <c r="B126" s="13">
        <v>26.567</v>
      </c>
      <c r="C126" s="13">
        <v>-0.09</v>
      </c>
      <c r="D126" s="13">
        <f t="shared" si="70"/>
        <v>-0.18</v>
      </c>
      <c r="E126" s="11">
        <f>D126-0.28</f>
        <v>-0.46</v>
      </c>
      <c r="F126" s="11">
        <f t="shared" si="71"/>
        <v>0.28000000000000003</v>
      </c>
      <c r="G126" s="13">
        <f t="shared" si="72"/>
        <v>7.4387600000000011</v>
      </c>
      <c r="H126" s="13"/>
      <c r="I126" s="13"/>
      <c r="J126" s="20"/>
      <c r="K126" s="20"/>
      <c r="L126" s="20"/>
      <c r="M126" s="20"/>
      <c r="N126" s="20">
        <f t="shared" si="47"/>
        <v>0.28000000000000003</v>
      </c>
      <c r="O126" s="13">
        <f>B126</f>
        <v>26.567</v>
      </c>
      <c r="P126" s="13">
        <f t="shared" si="48"/>
        <v>7.4387600000000011</v>
      </c>
      <c r="Q126" s="13">
        <f t="shared" si="49"/>
        <v>12.645892000000002</v>
      </c>
      <c r="R126" s="13"/>
      <c r="S126" s="13"/>
      <c r="T126" s="13"/>
      <c r="U126" s="20"/>
      <c r="V126" s="20"/>
      <c r="W126" s="20"/>
      <c r="X126" s="20"/>
      <c r="Y126" s="20"/>
      <c r="Z126" s="20"/>
      <c r="AA126" s="20"/>
      <c r="AB126" s="20">
        <v>0.05</v>
      </c>
      <c r="AC126" s="20">
        <f t="shared" si="73"/>
        <v>26.567</v>
      </c>
      <c r="AD126" s="20">
        <f t="shared" si="74"/>
        <v>1.3283500000000001</v>
      </c>
      <c r="AE126" s="18"/>
      <c r="AF126" s="18"/>
      <c r="AG126" s="18"/>
      <c r="AH126" s="18"/>
      <c r="AI126" s="18"/>
      <c r="AJ126" s="18"/>
    </row>
    <row r="127" spans="1:36" ht="15.6" customHeight="1" x14ac:dyDescent="0.25">
      <c r="A127" s="8" t="s">
        <v>110</v>
      </c>
      <c r="B127" s="13">
        <v>14.034000000000001</v>
      </c>
      <c r="C127" s="13">
        <v>-0.15</v>
      </c>
      <c r="D127" s="13">
        <f t="shared" si="70"/>
        <v>-0.24</v>
      </c>
      <c r="E127" s="11">
        <f>D127-0.28</f>
        <v>-0.52</v>
      </c>
      <c r="F127" s="11">
        <f t="shared" si="71"/>
        <v>0.28000000000000003</v>
      </c>
      <c r="G127" s="13">
        <f t="shared" si="72"/>
        <v>3.9295200000000006</v>
      </c>
      <c r="H127" s="13"/>
      <c r="I127" s="13"/>
      <c r="J127" s="20"/>
      <c r="K127" s="20"/>
      <c r="L127" s="20"/>
      <c r="M127" s="20"/>
      <c r="N127" s="20">
        <f t="shared" si="47"/>
        <v>0.28000000000000003</v>
      </c>
      <c r="O127" s="13">
        <f>B127</f>
        <v>14.034000000000001</v>
      </c>
      <c r="P127" s="13">
        <f t="shared" si="48"/>
        <v>3.9295200000000006</v>
      </c>
      <c r="Q127" s="13">
        <f t="shared" si="49"/>
        <v>6.6801840000000006</v>
      </c>
      <c r="R127" s="13"/>
      <c r="S127" s="13"/>
      <c r="T127" s="13"/>
      <c r="U127" s="20"/>
      <c r="V127" s="20"/>
      <c r="W127" s="20"/>
      <c r="X127" s="20"/>
      <c r="Y127" s="20"/>
      <c r="Z127" s="20"/>
      <c r="AA127" s="20"/>
      <c r="AB127" s="20">
        <v>0.05</v>
      </c>
      <c r="AC127" s="20">
        <f t="shared" si="73"/>
        <v>14.034000000000001</v>
      </c>
      <c r="AD127" s="20">
        <f t="shared" si="74"/>
        <v>0.7017000000000001</v>
      </c>
      <c r="AE127" s="18"/>
      <c r="AF127" s="18"/>
      <c r="AG127" s="18"/>
      <c r="AH127" s="18"/>
      <c r="AI127" s="18"/>
      <c r="AJ127" s="18"/>
    </row>
    <row r="128" spans="1:36" ht="15.6" customHeight="1" x14ac:dyDescent="0.25">
      <c r="A128" s="8" t="s">
        <v>614</v>
      </c>
      <c r="B128" s="13">
        <v>16.760000000000002</v>
      </c>
      <c r="C128" s="13">
        <v>-0.32500000000000001</v>
      </c>
      <c r="D128" s="13">
        <f t="shared" si="70"/>
        <v>-0.41500000000000004</v>
      </c>
      <c r="E128" s="11">
        <f>C128-0.45</f>
        <v>-0.77500000000000002</v>
      </c>
      <c r="F128" s="11">
        <f t="shared" si="71"/>
        <v>0.36</v>
      </c>
      <c r="G128" s="13">
        <f t="shared" si="72"/>
        <v>6.0336000000000007</v>
      </c>
      <c r="H128" s="13"/>
      <c r="I128" s="13"/>
      <c r="J128" s="20"/>
      <c r="K128" s="13"/>
      <c r="L128" s="13"/>
      <c r="M128" s="13"/>
      <c r="N128" s="20">
        <f t="shared" ref="N128" si="75">F128</f>
        <v>0.36</v>
      </c>
      <c r="O128" s="13">
        <f>B128</f>
        <v>16.760000000000002</v>
      </c>
      <c r="P128" s="13">
        <f t="shared" ref="P128" si="76">O128*N128</f>
        <v>6.0336000000000007</v>
      </c>
      <c r="Q128" s="13">
        <f t="shared" ref="Q128" si="77">P128*1.7</f>
        <v>10.25712</v>
      </c>
      <c r="R128" s="13"/>
      <c r="S128" s="13"/>
      <c r="T128" s="13"/>
      <c r="U128" s="20"/>
      <c r="V128" s="20"/>
      <c r="W128" s="20"/>
      <c r="X128" s="20"/>
      <c r="Y128" s="20"/>
      <c r="Z128" s="20"/>
      <c r="AA128" s="20"/>
      <c r="AB128" s="20">
        <v>0.05</v>
      </c>
      <c r="AC128" s="20">
        <f t="shared" si="73"/>
        <v>16.760000000000002</v>
      </c>
      <c r="AD128" s="20">
        <f t="shared" si="74"/>
        <v>0.83800000000000008</v>
      </c>
      <c r="AE128" s="18"/>
      <c r="AF128" s="18"/>
      <c r="AG128" s="18"/>
      <c r="AH128" s="18"/>
      <c r="AI128" s="18"/>
      <c r="AJ128" s="18"/>
    </row>
    <row r="129" spans="1:36" ht="15.6" customHeight="1" x14ac:dyDescent="0.25">
      <c r="A129" s="8" t="s">
        <v>111</v>
      </c>
      <c r="B129" s="13">
        <v>4.1760000000000002</v>
      </c>
      <c r="C129" s="13">
        <v>-0.34</v>
      </c>
      <c r="D129" s="13">
        <f t="shared" si="70"/>
        <v>-0.43000000000000005</v>
      </c>
      <c r="E129" s="11">
        <f>D129-0.4</f>
        <v>-0.83000000000000007</v>
      </c>
      <c r="F129" s="11">
        <f t="shared" si="71"/>
        <v>0.4</v>
      </c>
      <c r="G129" s="13">
        <f t="shared" si="72"/>
        <v>1.6704000000000001</v>
      </c>
      <c r="H129" s="13"/>
      <c r="I129" s="13"/>
      <c r="J129" s="20">
        <f>F129</f>
        <v>0.4</v>
      </c>
      <c r="K129" s="13">
        <f>B129</f>
        <v>4.1760000000000002</v>
      </c>
      <c r="L129" s="13">
        <f t="shared" ref="L129" si="78">K129*J129</f>
        <v>1.6704000000000001</v>
      </c>
      <c r="M129" s="13">
        <f>L129*1.9</f>
        <v>3.1737600000000001</v>
      </c>
      <c r="N129" s="20"/>
      <c r="O129" s="13"/>
      <c r="P129" s="13"/>
      <c r="Q129" s="13"/>
      <c r="R129" s="13"/>
      <c r="S129" s="13"/>
      <c r="T129" s="13"/>
      <c r="U129" s="20"/>
      <c r="V129" s="20"/>
      <c r="W129" s="20"/>
      <c r="X129" s="20"/>
      <c r="Y129" s="20"/>
      <c r="Z129" s="20"/>
      <c r="AA129" s="20"/>
      <c r="AB129" s="20">
        <v>0.05</v>
      </c>
      <c r="AC129" s="20">
        <f t="shared" si="73"/>
        <v>4.1760000000000002</v>
      </c>
      <c r="AD129" s="20">
        <f t="shared" si="74"/>
        <v>0.20880000000000001</v>
      </c>
      <c r="AE129" s="18"/>
      <c r="AF129" s="18"/>
      <c r="AG129" s="18"/>
      <c r="AH129" s="18"/>
      <c r="AI129" s="18"/>
      <c r="AJ129" s="18"/>
    </row>
    <row r="130" spans="1:36" ht="15.6" customHeight="1" x14ac:dyDescent="0.25">
      <c r="A130" s="8" t="s">
        <v>112</v>
      </c>
      <c r="B130" s="13">
        <v>426.50200000000001</v>
      </c>
      <c r="C130" s="13">
        <v>-0.27</v>
      </c>
      <c r="D130" s="13">
        <f t="shared" si="70"/>
        <v>-0.36</v>
      </c>
      <c r="E130" s="11">
        <f>D130-0.28</f>
        <v>-0.64</v>
      </c>
      <c r="F130" s="11">
        <f t="shared" si="71"/>
        <v>0.28000000000000003</v>
      </c>
      <c r="G130" s="13">
        <f t="shared" si="72"/>
        <v>119.42056000000001</v>
      </c>
      <c r="H130" s="13"/>
      <c r="I130" s="13"/>
      <c r="J130" s="20"/>
      <c r="K130" s="20"/>
      <c r="L130" s="20"/>
      <c r="M130" s="20"/>
      <c r="N130" s="20">
        <f t="shared" si="47"/>
        <v>0.28000000000000003</v>
      </c>
      <c r="O130" s="13">
        <f>B130</f>
        <v>426.50200000000001</v>
      </c>
      <c r="P130" s="13">
        <f t="shared" si="48"/>
        <v>119.42056000000001</v>
      </c>
      <c r="Q130" s="13">
        <f t="shared" si="49"/>
        <v>203.01495200000002</v>
      </c>
      <c r="R130" s="13"/>
      <c r="S130" s="13"/>
      <c r="T130" s="13"/>
      <c r="U130" s="20"/>
      <c r="V130" s="20"/>
      <c r="W130" s="20"/>
      <c r="X130" s="20"/>
      <c r="Y130" s="20"/>
      <c r="Z130" s="20"/>
      <c r="AA130" s="20"/>
      <c r="AB130" s="20">
        <v>0.05</v>
      </c>
      <c r="AC130" s="20">
        <f t="shared" si="73"/>
        <v>426.50200000000001</v>
      </c>
      <c r="AD130" s="20">
        <f t="shared" si="74"/>
        <v>21.325100000000003</v>
      </c>
      <c r="AE130" s="18"/>
      <c r="AF130" s="18"/>
      <c r="AG130" s="18"/>
      <c r="AH130" s="18"/>
      <c r="AI130" s="18"/>
      <c r="AJ130" s="18"/>
    </row>
    <row r="131" spans="1:36" ht="15.6" customHeight="1" x14ac:dyDescent="0.25">
      <c r="A131" s="8" t="s">
        <v>113</v>
      </c>
      <c r="B131" s="13">
        <v>11.131</v>
      </c>
      <c r="C131" s="13">
        <v>-0.4</v>
      </c>
      <c r="D131" s="13">
        <f t="shared" si="70"/>
        <v>-0.49</v>
      </c>
      <c r="E131" s="11">
        <v>-0.9</v>
      </c>
      <c r="F131" s="11">
        <f t="shared" ref="F131" si="79">D131-E131</f>
        <v>0.41000000000000003</v>
      </c>
      <c r="G131" s="13">
        <f t="shared" ref="G131" si="80">F131*B131</f>
        <v>4.5637100000000004</v>
      </c>
      <c r="H131" s="13"/>
      <c r="I131" s="13"/>
      <c r="J131" s="20">
        <f>F131</f>
        <v>0.41000000000000003</v>
      </c>
      <c r="K131" s="20">
        <f>B131</f>
        <v>11.131</v>
      </c>
      <c r="L131" s="20">
        <f>K131*J131</f>
        <v>4.5637100000000004</v>
      </c>
      <c r="M131" s="13">
        <f>L131*1.9</f>
        <v>8.671049</v>
      </c>
      <c r="N131" s="20"/>
      <c r="O131" s="13"/>
      <c r="P131" s="13"/>
      <c r="Q131" s="13"/>
      <c r="R131" s="13"/>
      <c r="S131" s="13"/>
      <c r="T131" s="13"/>
      <c r="U131" s="20"/>
      <c r="V131" s="20"/>
      <c r="W131" s="20"/>
      <c r="X131" s="20"/>
      <c r="Y131" s="20"/>
      <c r="Z131" s="20"/>
      <c r="AA131" s="20"/>
      <c r="AB131" s="20">
        <v>0.05</v>
      </c>
      <c r="AC131" s="20">
        <f t="shared" si="73"/>
        <v>11.131</v>
      </c>
      <c r="AD131" s="20">
        <f t="shared" si="74"/>
        <v>0.55654999999999999</v>
      </c>
      <c r="AE131" s="18"/>
      <c r="AF131" s="18"/>
      <c r="AG131" s="18"/>
      <c r="AH131" s="18"/>
      <c r="AI131" s="18"/>
      <c r="AJ131" s="18"/>
    </row>
    <row r="132" spans="1:36" ht="15.6" customHeight="1" x14ac:dyDescent="0.25">
      <c r="A132" s="8" t="s">
        <v>114</v>
      </c>
      <c r="B132" s="13">
        <v>19.855</v>
      </c>
      <c r="C132" s="13">
        <v>-0.31</v>
      </c>
      <c r="D132" s="13">
        <f>C132-0.09</f>
        <v>-0.4</v>
      </c>
      <c r="E132" s="11">
        <f>D132-0.24</f>
        <v>-0.64</v>
      </c>
      <c r="F132" s="11">
        <f t="shared" si="71"/>
        <v>0.24</v>
      </c>
      <c r="G132" s="13">
        <f t="shared" si="72"/>
        <v>4.7652000000000001</v>
      </c>
      <c r="H132" s="13"/>
      <c r="I132" s="13"/>
      <c r="J132" s="20"/>
      <c r="K132" s="20"/>
      <c r="L132" s="20"/>
      <c r="M132" s="20"/>
      <c r="N132" s="20">
        <f t="shared" si="47"/>
        <v>0.24</v>
      </c>
      <c r="O132" s="13">
        <f>B132</f>
        <v>19.855</v>
      </c>
      <c r="P132" s="13">
        <f t="shared" si="48"/>
        <v>4.7652000000000001</v>
      </c>
      <c r="Q132" s="13">
        <f t="shared" si="49"/>
        <v>8.1008399999999998</v>
      </c>
      <c r="R132" s="13"/>
      <c r="S132" s="13"/>
      <c r="T132" s="13"/>
      <c r="U132" s="20"/>
      <c r="V132" s="20"/>
      <c r="W132" s="20"/>
      <c r="X132" s="20"/>
      <c r="Y132" s="20"/>
      <c r="Z132" s="20"/>
      <c r="AA132" s="20"/>
      <c r="AB132" s="20">
        <v>0.05</v>
      </c>
      <c r="AC132" s="20">
        <f t="shared" ref="AC132:AC136" si="81">B132</f>
        <v>19.855</v>
      </c>
      <c r="AD132" s="20">
        <f t="shared" ref="AD132:AD136" si="82">AB132*AC132</f>
        <v>0.99275000000000002</v>
      </c>
      <c r="AE132" s="18"/>
      <c r="AF132" s="18"/>
      <c r="AG132" s="18"/>
      <c r="AH132" s="18"/>
      <c r="AI132" s="18"/>
      <c r="AJ132" s="18"/>
    </row>
    <row r="133" spans="1:36" ht="15.6" customHeight="1" x14ac:dyDescent="0.25">
      <c r="A133" s="8" t="s">
        <v>115</v>
      </c>
      <c r="B133" s="13">
        <v>2.2229999999999999</v>
      </c>
      <c r="C133" s="13">
        <v>-0.32</v>
      </c>
      <c r="D133" s="13">
        <f t="shared" ref="D133:D199" si="83">C133-0.09</f>
        <v>-0.41000000000000003</v>
      </c>
      <c r="E133" s="11">
        <v>-0.9</v>
      </c>
      <c r="F133" s="11">
        <f t="shared" ref="F133:F135" si="84">D133-E133</f>
        <v>0.49</v>
      </c>
      <c r="G133" s="13">
        <f t="shared" ref="G133:G135" si="85">F133*B133</f>
        <v>1.08927</v>
      </c>
      <c r="H133" s="13"/>
      <c r="I133" s="13"/>
      <c r="J133" s="20"/>
      <c r="K133" s="20"/>
      <c r="L133" s="20"/>
      <c r="M133" s="20"/>
      <c r="N133" s="20">
        <f t="shared" si="47"/>
        <v>0.49</v>
      </c>
      <c r="O133" s="13">
        <f>B133</f>
        <v>2.2229999999999999</v>
      </c>
      <c r="P133" s="13">
        <f t="shared" si="48"/>
        <v>1.08927</v>
      </c>
      <c r="Q133" s="13">
        <f t="shared" si="49"/>
        <v>1.8517589999999999</v>
      </c>
      <c r="R133" s="13"/>
      <c r="S133" s="13"/>
      <c r="T133" s="13"/>
      <c r="U133" s="20"/>
      <c r="V133" s="20"/>
      <c r="W133" s="20"/>
      <c r="X133" s="20"/>
      <c r="Y133" s="20"/>
      <c r="Z133" s="20"/>
      <c r="AA133" s="20"/>
      <c r="AB133" s="20">
        <v>0.05</v>
      </c>
      <c r="AC133" s="20">
        <f t="shared" si="81"/>
        <v>2.2229999999999999</v>
      </c>
      <c r="AD133" s="20">
        <f t="shared" si="82"/>
        <v>0.11115</v>
      </c>
      <c r="AE133" s="18"/>
      <c r="AF133" s="18"/>
      <c r="AG133" s="18"/>
      <c r="AH133" s="18"/>
      <c r="AI133" s="18"/>
      <c r="AJ133" s="18"/>
    </row>
    <row r="134" spans="1:36" ht="15.6" customHeight="1" x14ac:dyDescent="0.25">
      <c r="A134" s="8" t="s">
        <v>116</v>
      </c>
      <c r="B134" s="13">
        <f>4.976+3.543</f>
        <v>8.5190000000000001</v>
      </c>
      <c r="C134" s="13">
        <v>-0.42</v>
      </c>
      <c r="D134" s="13">
        <f t="shared" si="83"/>
        <v>-0.51</v>
      </c>
      <c r="E134" s="11">
        <f>D134-0.24</f>
        <v>-0.75</v>
      </c>
      <c r="F134" s="11">
        <f t="shared" si="84"/>
        <v>0.24</v>
      </c>
      <c r="G134" s="13">
        <f t="shared" si="85"/>
        <v>2.0445600000000002</v>
      </c>
      <c r="H134" s="13"/>
      <c r="I134" s="13"/>
      <c r="J134" s="20"/>
      <c r="K134" s="20"/>
      <c r="L134" s="20"/>
      <c r="M134" s="20"/>
      <c r="N134" s="20">
        <f t="shared" si="47"/>
        <v>0.24</v>
      </c>
      <c r="O134" s="13">
        <f>B134-Z134</f>
        <v>4.976</v>
      </c>
      <c r="P134" s="13">
        <f t="shared" si="48"/>
        <v>1.19424</v>
      </c>
      <c r="Q134" s="13">
        <f t="shared" si="49"/>
        <v>2.030208</v>
      </c>
      <c r="R134" s="13"/>
      <c r="S134" s="13"/>
      <c r="T134" s="13"/>
      <c r="U134" s="20"/>
      <c r="V134" s="20"/>
      <c r="W134" s="20"/>
      <c r="X134" s="20"/>
      <c r="Y134" s="20">
        <f>F134</f>
        <v>0.24</v>
      </c>
      <c r="Z134" s="20">
        <v>3.5430000000000001</v>
      </c>
      <c r="AA134" s="20">
        <f>Z134*Y134</f>
        <v>0.85031999999999996</v>
      </c>
      <c r="AB134" s="20">
        <v>0.05</v>
      </c>
      <c r="AC134" s="20">
        <f t="shared" si="81"/>
        <v>8.5190000000000001</v>
      </c>
      <c r="AD134" s="20">
        <f t="shared" si="82"/>
        <v>0.42595000000000005</v>
      </c>
      <c r="AE134" s="18"/>
      <c r="AF134" s="18"/>
      <c r="AG134" s="18"/>
      <c r="AH134" s="18"/>
      <c r="AI134" s="18"/>
      <c r="AJ134" s="18"/>
    </row>
    <row r="135" spans="1:36" ht="15.6" customHeight="1" x14ac:dyDescent="0.25">
      <c r="A135" s="8" t="s">
        <v>117</v>
      </c>
      <c r="B135" s="13">
        <f>2.554+2.13</f>
        <v>4.6839999999999993</v>
      </c>
      <c r="C135" s="13">
        <v>-0.42</v>
      </c>
      <c r="D135" s="13">
        <f t="shared" si="83"/>
        <v>-0.51</v>
      </c>
      <c r="E135" s="11">
        <f t="shared" ref="E135:E136" si="86">D135-0.24</f>
        <v>-0.75</v>
      </c>
      <c r="F135" s="11">
        <f t="shared" si="84"/>
        <v>0.24</v>
      </c>
      <c r="G135" s="13">
        <f t="shared" si="85"/>
        <v>1.1241599999999998</v>
      </c>
      <c r="H135" s="13"/>
      <c r="I135" s="13"/>
      <c r="J135" s="20"/>
      <c r="K135" s="20"/>
      <c r="L135" s="20"/>
      <c r="M135" s="20"/>
      <c r="N135" s="20">
        <f t="shared" si="47"/>
        <v>0.24</v>
      </c>
      <c r="O135" s="13">
        <f>B135-Z135</f>
        <v>2.5539999999999994</v>
      </c>
      <c r="P135" s="13">
        <f t="shared" si="48"/>
        <v>0.61295999999999984</v>
      </c>
      <c r="Q135" s="13">
        <f t="shared" si="49"/>
        <v>1.0420319999999996</v>
      </c>
      <c r="R135" s="13"/>
      <c r="S135" s="13"/>
      <c r="T135" s="13"/>
      <c r="U135" s="20"/>
      <c r="V135" s="20"/>
      <c r="W135" s="20"/>
      <c r="X135" s="20"/>
      <c r="Y135" s="20">
        <f>F135</f>
        <v>0.24</v>
      </c>
      <c r="Z135" s="20">
        <v>2.13</v>
      </c>
      <c r="AA135" s="20">
        <f>Z135*Y135</f>
        <v>0.51119999999999999</v>
      </c>
      <c r="AB135" s="20">
        <v>0.05</v>
      </c>
      <c r="AC135" s="20">
        <f t="shared" si="81"/>
        <v>4.6839999999999993</v>
      </c>
      <c r="AD135" s="20">
        <f t="shared" si="82"/>
        <v>0.23419999999999996</v>
      </c>
      <c r="AE135" s="18"/>
      <c r="AF135" s="18"/>
      <c r="AG135" s="18"/>
      <c r="AH135" s="18"/>
      <c r="AI135" s="18"/>
      <c r="AJ135" s="18"/>
    </row>
    <row r="136" spans="1:36" ht="15.6" customHeight="1" x14ac:dyDescent="0.25">
      <c r="A136" s="8" t="s">
        <v>118</v>
      </c>
      <c r="B136" s="13">
        <f>7.268+4.943</f>
        <v>12.210999999999999</v>
      </c>
      <c r="C136" s="13">
        <v>-0.47</v>
      </c>
      <c r="D136" s="13">
        <f t="shared" si="83"/>
        <v>-0.55999999999999994</v>
      </c>
      <c r="E136" s="11">
        <f t="shared" si="86"/>
        <v>-0.79999999999999993</v>
      </c>
      <c r="F136" s="11">
        <f t="shared" ref="F136:F137" si="87">D136-E136</f>
        <v>0.24</v>
      </c>
      <c r="G136" s="13">
        <f t="shared" ref="G136:G137" si="88">F136*B136</f>
        <v>2.9306399999999995</v>
      </c>
      <c r="H136" s="13"/>
      <c r="I136" s="13"/>
      <c r="J136" s="20"/>
      <c r="K136" s="20"/>
      <c r="L136" s="20"/>
      <c r="M136" s="20"/>
      <c r="N136" s="20">
        <f t="shared" ref="N136" si="89">F136</f>
        <v>0.24</v>
      </c>
      <c r="O136" s="13">
        <v>7.2679999999999998</v>
      </c>
      <c r="P136" s="13">
        <f t="shared" ref="P136" si="90">O136*N136</f>
        <v>1.7443199999999999</v>
      </c>
      <c r="Q136" s="13">
        <f t="shared" si="49"/>
        <v>2.9653439999999995</v>
      </c>
      <c r="R136" s="13"/>
      <c r="S136" s="13"/>
      <c r="T136" s="13"/>
      <c r="U136" s="20"/>
      <c r="V136" s="20"/>
      <c r="W136" s="20"/>
      <c r="X136" s="20"/>
      <c r="Y136" s="20">
        <f>F136</f>
        <v>0.24</v>
      </c>
      <c r="Z136" s="20">
        <v>4.9429999999999996</v>
      </c>
      <c r="AA136" s="20">
        <f>Z136*Y136</f>
        <v>1.1863199999999998</v>
      </c>
      <c r="AB136" s="20">
        <v>0.05</v>
      </c>
      <c r="AC136" s="20">
        <f t="shared" si="81"/>
        <v>12.210999999999999</v>
      </c>
      <c r="AD136" s="20">
        <f t="shared" si="82"/>
        <v>0.61054999999999993</v>
      </c>
      <c r="AE136" s="18"/>
      <c r="AF136" s="18"/>
      <c r="AG136" s="18"/>
      <c r="AH136" s="18"/>
      <c r="AI136" s="18"/>
      <c r="AJ136" s="18"/>
    </row>
    <row r="137" spans="1:36" ht="15.6" customHeight="1" x14ac:dyDescent="0.25">
      <c r="A137" s="8" t="s">
        <v>123</v>
      </c>
      <c r="B137" s="13">
        <v>2.496</v>
      </c>
      <c r="C137" s="13">
        <v>0.47</v>
      </c>
      <c r="D137" s="13">
        <f t="shared" si="83"/>
        <v>0.38</v>
      </c>
      <c r="E137" s="11">
        <f>D137-0.15</f>
        <v>0.23</v>
      </c>
      <c r="F137" s="11">
        <f t="shared" si="87"/>
        <v>0.15</v>
      </c>
      <c r="G137" s="13">
        <f t="shared" si="88"/>
        <v>0.37440000000000001</v>
      </c>
      <c r="H137" s="13"/>
      <c r="I137" s="13"/>
      <c r="J137" s="20"/>
      <c r="K137" s="20"/>
      <c r="L137" s="20"/>
      <c r="M137" s="20"/>
      <c r="N137" s="20">
        <f t="shared" ref="N137" si="91">F137</f>
        <v>0.15</v>
      </c>
      <c r="O137" s="13">
        <f t="shared" ref="O137:O142" si="92">B137</f>
        <v>2.496</v>
      </c>
      <c r="P137" s="13">
        <f t="shared" ref="P137" si="93">O137*N137</f>
        <v>0.37440000000000001</v>
      </c>
      <c r="Q137" s="13">
        <f t="shared" si="49"/>
        <v>0.63648000000000005</v>
      </c>
      <c r="R137" s="13"/>
      <c r="S137" s="13"/>
      <c r="T137" s="13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18"/>
      <c r="AF137" s="18"/>
      <c r="AG137" s="18"/>
      <c r="AH137" s="18"/>
      <c r="AI137" s="18"/>
      <c r="AJ137" s="18"/>
    </row>
    <row r="138" spans="1:36" ht="15.6" customHeight="1" x14ac:dyDescent="0.25">
      <c r="A138" s="8" t="s">
        <v>124</v>
      </c>
      <c r="B138" s="13">
        <v>15.304</v>
      </c>
      <c r="C138" s="13">
        <v>0.4</v>
      </c>
      <c r="D138" s="13">
        <f t="shared" si="83"/>
        <v>0.31000000000000005</v>
      </c>
      <c r="E138" s="11">
        <f t="shared" ref="E138:E205" si="94">D138-0.15</f>
        <v>0.16000000000000006</v>
      </c>
      <c r="F138" s="11">
        <f t="shared" ref="F138:F177" si="95">D138-E138</f>
        <v>0.15</v>
      </c>
      <c r="G138" s="13">
        <f t="shared" ref="G138:G177" si="96">F138*B138</f>
        <v>2.2955999999999999</v>
      </c>
      <c r="H138" s="13"/>
      <c r="I138" s="13"/>
      <c r="J138" s="20"/>
      <c r="K138" s="20"/>
      <c r="L138" s="20"/>
      <c r="M138" s="20"/>
      <c r="N138" s="20">
        <f t="shared" ref="N138" si="97">F138</f>
        <v>0.15</v>
      </c>
      <c r="O138" s="13">
        <f t="shared" si="92"/>
        <v>15.304</v>
      </c>
      <c r="P138" s="13">
        <f t="shared" ref="P138" si="98">O138*N138</f>
        <v>2.2955999999999999</v>
      </c>
      <c r="Q138" s="13">
        <f t="shared" si="49"/>
        <v>3.9025199999999995</v>
      </c>
      <c r="R138" s="13"/>
      <c r="S138" s="13"/>
      <c r="T138" s="13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18"/>
      <c r="AF138" s="18"/>
      <c r="AG138" s="18"/>
      <c r="AH138" s="18"/>
      <c r="AI138" s="18"/>
      <c r="AJ138" s="18"/>
    </row>
    <row r="139" spans="1:36" ht="15.6" customHeight="1" x14ac:dyDescent="0.25">
      <c r="A139" s="8" t="s">
        <v>125</v>
      </c>
      <c r="B139" s="13">
        <v>16.494</v>
      </c>
      <c r="C139" s="13">
        <v>0.55000000000000004</v>
      </c>
      <c r="D139" s="13">
        <f t="shared" si="83"/>
        <v>0.46000000000000008</v>
      </c>
      <c r="E139" s="11">
        <f t="shared" si="94"/>
        <v>0.31000000000000005</v>
      </c>
      <c r="F139" s="11">
        <f t="shared" si="95"/>
        <v>0.15000000000000002</v>
      </c>
      <c r="G139" s="13">
        <f t="shared" si="96"/>
        <v>2.4741000000000004</v>
      </c>
      <c r="H139" s="13"/>
      <c r="I139" s="13"/>
      <c r="J139" s="20"/>
      <c r="K139" s="20"/>
      <c r="L139" s="20"/>
      <c r="M139" s="20"/>
      <c r="N139" s="20">
        <f t="shared" ref="N139" si="99">F139</f>
        <v>0.15000000000000002</v>
      </c>
      <c r="O139" s="13">
        <f t="shared" si="92"/>
        <v>16.494</v>
      </c>
      <c r="P139" s="13">
        <f t="shared" ref="P139" si="100">O139*N139</f>
        <v>2.4741000000000004</v>
      </c>
      <c r="Q139" s="13">
        <f t="shared" si="49"/>
        <v>4.2059700000000007</v>
      </c>
      <c r="R139" s="13"/>
      <c r="S139" s="13"/>
      <c r="T139" s="13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18"/>
      <c r="AF139" s="18"/>
      <c r="AG139" s="18"/>
      <c r="AH139" s="18"/>
      <c r="AI139" s="18"/>
      <c r="AJ139" s="18"/>
    </row>
    <row r="140" spans="1:36" ht="15.6" customHeight="1" x14ac:dyDescent="0.25">
      <c r="A140" s="8" t="s">
        <v>126</v>
      </c>
      <c r="B140" s="13">
        <v>12.994999999999999</v>
      </c>
      <c r="C140" s="13">
        <v>0.14000000000000001</v>
      </c>
      <c r="D140" s="13">
        <f t="shared" si="83"/>
        <v>5.0000000000000017E-2</v>
      </c>
      <c r="E140" s="11">
        <f t="shared" si="94"/>
        <v>-9.9999999999999978E-2</v>
      </c>
      <c r="F140" s="11">
        <f t="shared" si="95"/>
        <v>0.15</v>
      </c>
      <c r="G140" s="13">
        <f t="shared" si="96"/>
        <v>1.9492499999999997</v>
      </c>
      <c r="H140" s="13"/>
      <c r="I140" s="13"/>
      <c r="J140" s="20"/>
      <c r="K140" s="20"/>
      <c r="L140" s="20"/>
      <c r="M140" s="20"/>
      <c r="N140" s="20">
        <f t="shared" ref="N140" si="101">F140</f>
        <v>0.15</v>
      </c>
      <c r="O140" s="13">
        <f t="shared" si="92"/>
        <v>12.994999999999999</v>
      </c>
      <c r="P140" s="13">
        <f t="shared" ref="P140" si="102">O140*N140</f>
        <v>1.9492499999999997</v>
      </c>
      <c r="Q140" s="13">
        <f t="shared" si="49"/>
        <v>3.3137249999999994</v>
      </c>
      <c r="R140" s="13"/>
      <c r="S140" s="13"/>
      <c r="T140" s="13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18"/>
      <c r="AF140" s="18"/>
      <c r="AG140" s="18"/>
      <c r="AH140" s="18"/>
      <c r="AI140" s="18"/>
      <c r="AJ140" s="18"/>
    </row>
    <row r="141" spans="1:36" ht="15.6" customHeight="1" x14ac:dyDescent="0.25">
      <c r="A141" s="8" t="s">
        <v>127</v>
      </c>
      <c r="B141" s="13">
        <v>3.734</v>
      </c>
      <c r="C141" s="13">
        <v>0.27</v>
      </c>
      <c r="D141" s="13">
        <f t="shared" si="83"/>
        <v>0.18000000000000002</v>
      </c>
      <c r="E141" s="11">
        <f t="shared" si="94"/>
        <v>3.0000000000000027E-2</v>
      </c>
      <c r="F141" s="11">
        <f t="shared" si="95"/>
        <v>0.15</v>
      </c>
      <c r="G141" s="13">
        <f t="shared" si="96"/>
        <v>0.56009999999999993</v>
      </c>
      <c r="H141" s="13"/>
      <c r="I141" s="13"/>
      <c r="J141" s="20"/>
      <c r="K141" s="20"/>
      <c r="L141" s="20"/>
      <c r="M141" s="20"/>
      <c r="N141" s="20">
        <f t="shared" ref="N141:N142" si="103">F141</f>
        <v>0.15</v>
      </c>
      <c r="O141" s="13">
        <f t="shared" si="92"/>
        <v>3.734</v>
      </c>
      <c r="P141" s="13">
        <f t="shared" ref="P141:P142" si="104">O141*N141</f>
        <v>0.56009999999999993</v>
      </c>
      <c r="Q141" s="13">
        <f t="shared" si="49"/>
        <v>0.95216999999999985</v>
      </c>
      <c r="R141" s="13"/>
      <c r="S141" s="13"/>
      <c r="T141" s="13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18"/>
      <c r="AF141" s="18"/>
      <c r="AG141" s="18"/>
      <c r="AH141" s="18"/>
      <c r="AI141" s="18"/>
      <c r="AJ141" s="18"/>
    </row>
    <row r="142" spans="1:36" ht="15.6" customHeight="1" x14ac:dyDescent="0.25">
      <c r="A142" s="8" t="s">
        <v>128</v>
      </c>
      <c r="B142" s="13">
        <v>0.42</v>
      </c>
      <c r="C142" s="13">
        <v>0.09</v>
      </c>
      <c r="D142" s="13">
        <f t="shared" si="83"/>
        <v>0</v>
      </c>
      <c r="E142" s="11">
        <f t="shared" si="94"/>
        <v>-0.15</v>
      </c>
      <c r="F142" s="11">
        <f t="shared" si="95"/>
        <v>0.15</v>
      </c>
      <c r="G142" s="13">
        <f t="shared" si="96"/>
        <v>6.3E-2</v>
      </c>
      <c r="H142" s="13"/>
      <c r="I142" s="13"/>
      <c r="J142" s="20"/>
      <c r="K142" s="20"/>
      <c r="L142" s="20"/>
      <c r="M142" s="20"/>
      <c r="N142" s="20">
        <f t="shared" si="103"/>
        <v>0.15</v>
      </c>
      <c r="O142" s="13">
        <f t="shared" si="92"/>
        <v>0.42</v>
      </c>
      <c r="P142" s="13">
        <f t="shared" si="104"/>
        <v>6.3E-2</v>
      </c>
      <c r="Q142" s="13">
        <f t="shared" si="49"/>
        <v>0.1071</v>
      </c>
      <c r="R142" s="13"/>
      <c r="S142" s="13"/>
      <c r="T142" s="13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18"/>
      <c r="AF142" s="18"/>
      <c r="AG142" s="18"/>
      <c r="AH142" s="18"/>
      <c r="AI142" s="18"/>
      <c r="AJ142" s="18"/>
    </row>
    <row r="143" spans="1:36" ht="15.6" customHeight="1" x14ac:dyDescent="0.25">
      <c r="A143" s="8" t="s">
        <v>129</v>
      </c>
      <c r="B143" s="13">
        <f>1.066+0.562</f>
        <v>1.6280000000000001</v>
      </c>
      <c r="C143" s="13">
        <v>0.17</v>
      </c>
      <c r="D143" s="13">
        <f t="shared" si="83"/>
        <v>8.0000000000000016E-2</v>
      </c>
      <c r="E143" s="11">
        <f t="shared" si="94"/>
        <v>-6.9999999999999979E-2</v>
      </c>
      <c r="F143" s="11">
        <f t="shared" si="95"/>
        <v>0.15</v>
      </c>
      <c r="G143" s="13">
        <f t="shared" si="96"/>
        <v>0.2442</v>
      </c>
      <c r="H143" s="13"/>
      <c r="I143" s="13"/>
      <c r="J143" s="20"/>
      <c r="K143" s="20"/>
      <c r="L143" s="20"/>
      <c r="M143" s="20"/>
      <c r="N143" s="20">
        <f t="shared" ref="N143:N147" si="105">F143</f>
        <v>0.15</v>
      </c>
      <c r="O143" s="13">
        <f t="shared" ref="O143:O147" si="106">B143</f>
        <v>1.6280000000000001</v>
      </c>
      <c r="P143" s="13">
        <f t="shared" ref="P143:P147" si="107">O143*N143</f>
        <v>0.2442</v>
      </c>
      <c r="Q143" s="13">
        <f t="shared" si="49"/>
        <v>0.41514000000000001</v>
      </c>
      <c r="R143" s="13"/>
      <c r="S143" s="13"/>
      <c r="T143" s="13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18"/>
      <c r="AF143" s="18"/>
      <c r="AG143" s="18"/>
      <c r="AH143" s="18"/>
      <c r="AI143" s="18"/>
      <c r="AJ143" s="18"/>
    </row>
    <row r="144" spans="1:36" ht="15.6" customHeight="1" x14ac:dyDescent="0.25">
      <c r="A144" s="8" t="s">
        <v>130</v>
      </c>
      <c r="B144" s="13">
        <v>3.69</v>
      </c>
      <c r="C144" s="13">
        <v>0.27</v>
      </c>
      <c r="D144" s="13">
        <f t="shared" si="83"/>
        <v>0.18000000000000002</v>
      </c>
      <c r="E144" s="11">
        <f t="shared" si="94"/>
        <v>3.0000000000000027E-2</v>
      </c>
      <c r="F144" s="11">
        <f t="shared" si="95"/>
        <v>0.15</v>
      </c>
      <c r="G144" s="13">
        <f t="shared" si="96"/>
        <v>0.55349999999999999</v>
      </c>
      <c r="H144" s="13"/>
      <c r="I144" s="13"/>
      <c r="J144" s="20"/>
      <c r="K144" s="20"/>
      <c r="L144" s="20"/>
      <c r="M144" s="20"/>
      <c r="N144" s="20">
        <f t="shared" si="105"/>
        <v>0.15</v>
      </c>
      <c r="O144" s="13">
        <f t="shared" si="106"/>
        <v>3.69</v>
      </c>
      <c r="P144" s="13">
        <f t="shared" si="107"/>
        <v>0.55349999999999999</v>
      </c>
      <c r="Q144" s="13">
        <f t="shared" si="49"/>
        <v>0.94094999999999995</v>
      </c>
      <c r="R144" s="13"/>
      <c r="S144" s="13"/>
      <c r="T144" s="13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18"/>
      <c r="AF144" s="18"/>
      <c r="AG144" s="18"/>
      <c r="AH144" s="18"/>
      <c r="AI144" s="18"/>
      <c r="AJ144" s="18"/>
    </row>
    <row r="145" spans="1:36" ht="15.6" customHeight="1" x14ac:dyDescent="0.25">
      <c r="A145" s="8" t="s">
        <v>131</v>
      </c>
      <c r="B145" s="13">
        <v>2.782</v>
      </c>
      <c r="C145" s="13">
        <v>0.3</v>
      </c>
      <c r="D145" s="13">
        <f t="shared" si="83"/>
        <v>0.21</v>
      </c>
      <c r="E145" s="11">
        <f t="shared" si="94"/>
        <v>0.06</v>
      </c>
      <c r="F145" s="11">
        <f t="shared" si="95"/>
        <v>0.15</v>
      </c>
      <c r="G145" s="13">
        <f t="shared" si="96"/>
        <v>0.4173</v>
      </c>
      <c r="H145" s="13"/>
      <c r="I145" s="13"/>
      <c r="J145" s="20"/>
      <c r="K145" s="20"/>
      <c r="L145" s="20"/>
      <c r="M145" s="20"/>
      <c r="N145" s="20">
        <f t="shared" si="105"/>
        <v>0.15</v>
      </c>
      <c r="O145" s="13">
        <f t="shared" si="106"/>
        <v>2.782</v>
      </c>
      <c r="P145" s="13">
        <f t="shared" si="107"/>
        <v>0.4173</v>
      </c>
      <c r="Q145" s="13">
        <f t="shared" si="49"/>
        <v>0.70940999999999999</v>
      </c>
      <c r="R145" s="13"/>
      <c r="S145" s="13"/>
      <c r="T145" s="13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18"/>
      <c r="AF145" s="18"/>
      <c r="AG145" s="18"/>
      <c r="AH145" s="18"/>
      <c r="AI145" s="18"/>
      <c r="AJ145" s="18"/>
    </row>
    <row r="146" spans="1:36" ht="15.6" customHeight="1" x14ac:dyDescent="0.25">
      <c r="A146" s="8" t="s">
        <v>132</v>
      </c>
      <c r="B146" s="13">
        <v>0.47</v>
      </c>
      <c r="C146" s="13">
        <v>0.04</v>
      </c>
      <c r="D146" s="13">
        <f t="shared" si="83"/>
        <v>-4.9999999999999996E-2</v>
      </c>
      <c r="E146" s="11">
        <f t="shared" si="94"/>
        <v>-0.19999999999999998</v>
      </c>
      <c r="F146" s="11">
        <f t="shared" si="95"/>
        <v>0.15</v>
      </c>
      <c r="G146" s="13">
        <f t="shared" si="96"/>
        <v>7.0499999999999993E-2</v>
      </c>
      <c r="H146" s="13"/>
      <c r="I146" s="13"/>
      <c r="J146" s="20"/>
      <c r="K146" s="20"/>
      <c r="L146" s="20"/>
      <c r="M146" s="20"/>
      <c r="N146" s="20">
        <f t="shared" si="105"/>
        <v>0.15</v>
      </c>
      <c r="O146" s="13">
        <f t="shared" si="106"/>
        <v>0.47</v>
      </c>
      <c r="P146" s="13">
        <f t="shared" si="107"/>
        <v>7.0499999999999993E-2</v>
      </c>
      <c r="Q146" s="13">
        <f t="shared" si="49"/>
        <v>0.11984999999999998</v>
      </c>
      <c r="R146" s="13"/>
      <c r="S146" s="13"/>
      <c r="T146" s="13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18"/>
      <c r="AF146" s="18"/>
      <c r="AG146" s="18"/>
      <c r="AH146" s="18"/>
      <c r="AI146" s="18"/>
      <c r="AJ146" s="18"/>
    </row>
    <row r="147" spans="1:36" ht="15.6" customHeight="1" x14ac:dyDescent="0.25">
      <c r="A147" s="8" t="s">
        <v>133</v>
      </c>
      <c r="B147" s="13">
        <v>3.734</v>
      </c>
      <c r="C147" s="13">
        <v>0.23</v>
      </c>
      <c r="D147" s="13">
        <f t="shared" si="83"/>
        <v>0.14000000000000001</v>
      </c>
      <c r="E147" s="11">
        <f t="shared" si="94"/>
        <v>-9.9999999999999811E-3</v>
      </c>
      <c r="F147" s="11">
        <f t="shared" si="95"/>
        <v>0.15</v>
      </c>
      <c r="G147" s="13">
        <f t="shared" si="96"/>
        <v>0.56009999999999993</v>
      </c>
      <c r="H147" s="13"/>
      <c r="I147" s="13"/>
      <c r="J147" s="20"/>
      <c r="K147" s="20"/>
      <c r="L147" s="20"/>
      <c r="M147" s="20"/>
      <c r="N147" s="20">
        <f t="shared" si="105"/>
        <v>0.15</v>
      </c>
      <c r="O147" s="13">
        <f t="shared" si="106"/>
        <v>3.734</v>
      </c>
      <c r="P147" s="13">
        <f t="shared" si="107"/>
        <v>0.56009999999999993</v>
      </c>
      <c r="Q147" s="13">
        <f t="shared" si="49"/>
        <v>0.95216999999999985</v>
      </c>
      <c r="R147" s="13"/>
      <c r="S147" s="13"/>
      <c r="T147" s="13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18"/>
      <c r="AF147" s="18"/>
      <c r="AG147" s="18"/>
      <c r="AH147" s="18"/>
      <c r="AI147" s="18"/>
      <c r="AJ147" s="18"/>
    </row>
    <row r="148" spans="1:36" ht="15.6" customHeight="1" x14ac:dyDescent="0.25">
      <c r="A148" s="8" t="s">
        <v>134</v>
      </c>
      <c r="B148" s="13">
        <v>1.917</v>
      </c>
      <c r="C148" s="13">
        <v>0.03</v>
      </c>
      <c r="D148" s="13">
        <f t="shared" si="83"/>
        <v>-0.06</v>
      </c>
      <c r="E148" s="11">
        <f t="shared" si="94"/>
        <v>-0.21</v>
      </c>
      <c r="F148" s="11">
        <f t="shared" si="95"/>
        <v>0.15</v>
      </c>
      <c r="G148" s="13">
        <f t="shared" si="96"/>
        <v>0.28754999999999997</v>
      </c>
      <c r="H148" s="13"/>
      <c r="I148" s="13"/>
      <c r="J148" s="20"/>
      <c r="K148" s="20"/>
      <c r="L148" s="20"/>
      <c r="M148" s="20"/>
      <c r="N148" s="20">
        <f t="shared" ref="N148:N156" si="108">F148</f>
        <v>0.15</v>
      </c>
      <c r="O148" s="13">
        <f t="shared" ref="O148:O156" si="109">B148</f>
        <v>1.917</v>
      </c>
      <c r="P148" s="13">
        <f t="shared" ref="P148:P156" si="110">O148*N148</f>
        <v>0.28754999999999997</v>
      </c>
      <c r="Q148" s="13">
        <f t="shared" si="49"/>
        <v>0.48883499999999996</v>
      </c>
      <c r="R148" s="13"/>
      <c r="S148" s="13"/>
      <c r="T148" s="13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18"/>
      <c r="AF148" s="18"/>
      <c r="AG148" s="18"/>
      <c r="AH148" s="18"/>
      <c r="AI148" s="18"/>
      <c r="AJ148" s="18"/>
    </row>
    <row r="149" spans="1:36" ht="15.6" customHeight="1" x14ac:dyDescent="0.25">
      <c r="A149" s="8" t="s">
        <v>135</v>
      </c>
      <c r="B149" s="13">
        <v>5.1369999999999996</v>
      </c>
      <c r="C149" s="13">
        <v>7.0000000000000007E-2</v>
      </c>
      <c r="D149" s="13">
        <f t="shared" si="83"/>
        <v>-1.999999999999999E-2</v>
      </c>
      <c r="E149" s="11">
        <f t="shared" si="94"/>
        <v>-0.16999999999999998</v>
      </c>
      <c r="F149" s="11">
        <f t="shared" si="95"/>
        <v>0.15</v>
      </c>
      <c r="G149" s="13">
        <f t="shared" si="96"/>
        <v>0.77054999999999996</v>
      </c>
      <c r="H149" s="13"/>
      <c r="I149" s="13"/>
      <c r="J149" s="20"/>
      <c r="K149" s="20"/>
      <c r="L149" s="20"/>
      <c r="M149" s="20"/>
      <c r="N149" s="20">
        <f t="shared" si="108"/>
        <v>0.15</v>
      </c>
      <c r="O149" s="13">
        <f t="shared" si="109"/>
        <v>5.1369999999999996</v>
      </c>
      <c r="P149" s="13">
        <f t="shared" si="110"/>
        <v>0.77054999999999996</v>
      </c>
      <c r="Q149" s="13">
        <f t="shared" si="49"/>
        <v>1.3099349999999998</v>
      </c>
      <c r="R149" s="13"/>
      <c r="S149" s="13"/>
      <c r="T149" s="13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18"/>
      <c r="AF149" s="18"/>
      <c r="AG149" s="18"/>
      <c r="AH149" s="18"/>
      <c r="AI149" s="18"/>
      <c r="AJ149" s="18"/>
    </row>
    <row r="150" spans="1:36" ht="15.6" customHeight="1" x14ac:dyDescent="0.25">
      <c r="A150" s="8" t="s">
        <v>136</v>
      </c>
      <c r="B150" s="13">
        <v>14.821</v>
      </c>
      <c r="C150" s="13">
        <v>0.18</v>
      </c>
      <c r="D150" s="13">
        <f t="shared" si="83"/>
        <v>0.09</v>
      </c>
      <c r="E150" s="11">
        <f t="shared" si="94"/>
        <v>-0.06</v>
      </c>
      <c r="F150" s="11">
        <f t="shared" si="95"/>
        <v>0.15</v>
      </c>
      <c r="G150" s="13">
        <f t="shared" si="96"/>
        <v>2.22315</v>
      </c>
      <c r="H150" s="13"/>
      <c r="I150" s="13"/>
      <c r="J150" s="20"/>
      <c r="K150" s="20"/>
      <c r="L150" s="20"/>
      <c r="M150" s="20"/>
      <c r="N150" s="20">
        <f t="shared" si="108"/>
        <v>0.15</v>
      </c>
      <c r="O150" s="13">
        <f t="shared" si="109"/>
        <v>14.821</v>
      </c>
      <c r="P150" s="13">
        <f t="shared" si="110"/>
        <v>2.22315</v>
      </c>
      <c r="Q150" s="13">
        <f t="shared" si="49"/>
        <v>3.7793549999999998</v>
      </c>
      <c r="R150" s="13"/>
      <c r="S150" s="13"/>
      <c r="T150" s="13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18"/>
      <c r="AF150" s="18"/>
      <c r="AG150" s="18"/>
      <c r="AH150" s="18"/>
      <c r="AI150" s="18"/>
      <c r="AJ150" s="18"/>
    </row>
    <row r="151" spans="1:36" ht="15.6" customHeight="1" x14ac:dyDescent="0.25">
      <c r="A151" s="8" t="s">
        <v>137</v>
      </c>
      <c r="B151" s="13">
        <v>11.199</v>
      </c>
      <c r="C151" s="13">
        <v>0.24</v>
      </c>
      <c r="D151" s="13">
        <f t="shared" si="83"/>
        <v>0.15</v>
      </c>
      <c r="E151" s="11">
        <f t="shared" si="94"/>
        <v>0</v>
      </c>
      <c r="F151" s="11">
        <f t="shared" si="95"/>
        <v>0.15</v>
      </c>
      <c r="G151" s="13">
        <f t="shared" si="96"/>
        <v>1.6798499999999998</v>
      </c>
      <c r="H151" s="13"/>
      <c r="I151" s="13"/>
      <c r="J151" s="20"/>
      <c r="K151" s="20"/>
      <c r="L151" s="20"/>
      <c r="M151" s="20"/>
      <c r="N151" s="20">
        <f t="shared" si="108"/>
        <v>0.15</v>
      </c>
      <c r="O151" s="13">
        <f t="shared" si="109"/>
        <v>11.199</v>
      </c>
      <c r="P151" s="13">
        <f t="shared" si="110"/>
        <v>1.6798499999999998</v>
      </c>
      <c r="Q151" s="13">
        <f t="shared" si="49"/>
        <v>2.8557449999999998</v>
      </c>
      <c r="R151" s="13"/>
      <c r="S151" s="13"/>
      <c r="T151" s="13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18"/>
      <c r="AF151" s="18"/>
      <c r="AG151" s="18"/>
      <c r="AH151" s="18"/>
      <c r="AI151" s="18"/>
      <c r="AJ151" s="18"/>
    </row>
    <row r="152" spans="1:36" ht="15.6" customHeight="1" x14ac:dyDescent="0.25">
      <c r="A152" s="8" t="s">
        <v>138</v>
      </c>
      <c r="B152" s="13">
        <v>13.348000000000001</v>
      </c>
      <c r="C152" s="13">
        <v>0.16</v>
      </c>
      <c r="D152" s="13">
        <f t="shared" si="83"/>
        <v>7.0000000000000007E-2</v>
      </c>
      <c r="E152" s="11">
        <f t="shared" si="94"/>
        <v>-7.9999999999999988E-2</v>
      </c>
      <c r="F152" s="11">
        <f t="shared" si="95"/>
        <v>0.15</v>
      </c>
      <c r="G152" s="13">
        <f t="shared" si="96"/>
        <v>2.0022000000000002</v>
      </c>
      <c r="H152" s="13"/>
      <c r="I152" s="13"/>
      <c r="J152" s="20"/>
      <c r="K152" s="20"/>
      <c r="L152" s="20"/>
      <c r="M152" s="20"/>
      <c r="N152" s="20">
        <f t="shared" si="108"/>
        <v>0.15</v>
      </c>
      <c r="O152" s="13">
        <f t="shared" si="109"/>
        <v>13.348000000000001</v>
      </c>
      <c r="P152" s="13">
        <f t="shared" si="110"/>
        <v>2.0022000000000002</v>
      </c>
      <c r="Q152" s="13">
        <f t="shared" si="49"/>
        <v>3.4037400000000004</v>
      </c>
      <c r="R152" s="13"/>
      <c r="S152" s="13"/>
      <c r="T152" s="13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18"/>
      <c r="AF152" s="18"/>
      <c r="AG152" s="18"/>
      <c r="AH152" s="18"/>
      <c r="AI152" s="18"/>
      <c r="AJ152" s="18"/>
    </row>
    <row r="153" spans="1:36" ht="15.6" customHeight="1" x14ac:dyDescent="0.25">
      <c r="A153" s="8" t="s">
        <v>139</v>
      </c>
      <c r="B153" s="13">
        <v>5.1360000000000001</v>
      </c>
      <c r="C153" s="13">
        <v>0.19</v>
      </c>
      <c r="D153" s="13">
        <f t="shared" si="83"/>
        <v>0.1</v>
      </c>
      <c r="E153" s="11">
        <f t="shared" si="94"/>
        <v>-4.9999999999999989E-2</v>
      </c>
      <c r="F153" s="11">
        <f t="shared" si="95"/>
        <v>0.15</v>
      </c>
      <c r="G153" s="13">
        <f t="shared" si="96"/>
        <v>0.77039999999999997</v>
      </c>
      <c r="H153" s="13"/>
      <c r="I153" s="13"/>
      <c r="J153" s="20"/>
      <c r="K153" s="20"/>
      <c r="L153" s="20"/>
      <c r="M153" s="20"/>
      <c r="N153" s="20">
        <f t="shared" si="108"/>
        <v>0.15</v>
      </c>
      <c r="O153" s="13">
        <f t="shared" si="109"/>
        <v>5.1360000000000001</v>
      </c>
      <c r="P153" s="13">
        <f t="shared" si="110"/>
        <v>0.77039999999999997</v>
      </c>
      <c r="Q153" s="13">
        <f t="shared" si="49"/>
        <v>1.30968</v>
      </c>
      <c r="R153" s="13"/>
      <c r="S153" s="13"/>
      <c r="T153" s="13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18"/>
      <c r="AF153" s="18"/>
      <c r="AG153" s="18"/>
      <c r="AH153" s="18"/>
      <c r="AI153" s="18"/>
      <c r="AJ153" s="18"/>
    </row>
    <row r="154" spans="1:36" ht="15.6" customHeight="1" x14ac:dyDescent="0.25">
      <c r="A154" s="8" t="s">
        <v>140</v>
      </c>
      <c r="B154" s="13">
        <v>3.7530000000000001</v>
      </c>
      <c r="C154" s="13">
        <v>0.01</v>
      </c>
      <c r="D154" s="13">
        <f t="shared" si="83"/>
        <v>-0.08</v>
      </c>
      <c r="E154" s="11">
        <f t="shared" si="94"/>
        <v>-0.22999999999999998</v>
      </c>
      <c r="F154" s="11">
        <f t="shared" si="95"/>
        <v>0.14999999999999997</v>
      </c>
      <c r="G154" s="13">
        <f t="shared" si="96"/>
        <v>0.56294999999999984</v>
      </c>
      <c r="H154" s="13"/>
      <c r="I154" s="13"/>
      <c r="J154" s="20"/>
      <c r="K154" s="20"/>
      <c r="L154" s="20"/>
      <c r="M154" s="20"/>
      <c r="N154" s="20">
        <f t="shared" si="108"/>
        <v>0.14999999999999997</v>
      </c>
      <c r="O154" s="13">
        <f t="shared" si="109"/>
        <v>3.7530000000000001</v>
      </c>
      <c r="P154" s="13">
        <f t="shared" si="110"/>
        <v>0.56294999999999984</v>
      </c>
      <c r="Q154" s="13">
        <f t="shared" si="49"/>
        <v>0.95701499999999973</v>
      </c>
      <c r="R154" s="13"/>
      <c r="S154" s="13"/>
      <c r="T154" s="13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18"/>
      <c r="AF154" s="18"/>
      <c r="AG154" s="18"/>
      <c r="AH154" s="18"/>
      <c r="AI154" s="18"/>
      <c r="AJ154" s="18"/>
    </row>
    <row r="155" spans="1:36" ht="15.6" customHeight="1" x14ac:dyDescent="0.25">
      <c r="A155" s="8" t="s">
        <v>141</v>
      </c>
      <c r="B155" s="13">
        <v>3.1040000000000001</v>
      </c>
      <c r="C155" s="13">
        <v>0.03</v>
      </c>
      <c r="D155" s="13">
        <f t="shared" si="83"/>
        <v>-0.06</v>
      </c>
      <c r="E155" s="11">
        <f t="shared" si="94"/>
        <v>-0.21</v>
      </c>
      <c r="F155" s="11">
        <f t="shared" si="95"/>
        <v>0.15</v>
      </c>
      <c r="G155" s="13">
        <f t="shared" si="96"/>
        <v>0.46560000000000001</v>
      </c>
      <c r="H155" s="13"/>
      <c r="I155" s="13"/>
      <c r="J155" s="20"/>
      <c r="K155" s="20"/>
      <c r="L155" s="20"/>
      <c r="M155" s="20"/>
      <c r="N155" s="20">
        <f t="shared" si="108"/>
        <v>0.15</v>
      </c>
      <c r="O155" s="13">
        <f t="shared" si="109"/>
        <v>3.1040000000000001</v>
      </c>
      <c r="P155" s="13">
        <f t="shared" si="110"/>
        <v>0.46560000000000001</v>
      </c>
      <c r="Q155" s="13">
        <f t="shared" ref="Q155:Q218" si="111">P155*1.7</f>
        <v>0.79152</v>
      </c>
      <c r="R155" s="13"/>
      <c r="S155" s="13"/>
      <c r="T155" s="13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18"/>
      <c r="AF155" s="18"/>
      <c r="AG155" s="18"/>
      <c r="AH155" s="18"/>
      <c r="AI155" s="18"/>
      <c r="AJ155" s="18"/>
    </row>
    <row r="156" spans="1:36" ht="15.6" customHeight="1" x14ac:dyDescent="0.25">
      <c r="A156" s="8" t="s">
        <v>142</v>
      </c>
      <c r="B156" s="13">
        <v>2.6579999999999999</v>
      </c>
      <c r="C156" s="13">
        <v>0.01</v>
      </c>
      <c r="D156" s="13">
        <f t="shared" si="83"/>
        <v>-0.08</v>
      </c>
      <c r="E156" s="11">
        <f t="shared" si="94"/>
        <v>-0.22999999999999998</v>
      </c>
      <c r="F156" s="11">
        <f t="shared" si="95"/>
        <v>0.14999999999999997</v>
      </c>
      <c r="G156" s="13">
        <f t="shared" si="96"/>
        <v>0.39869999999999989</v>
      </c>
      <c r="H156" s="13"/>
      <c r="I156" s="13"/>
      <c r="J156" s="20"/>
      <c r="K156" s="20"/>
      <c r="L156" s="20"/>
      <c r="M156" s="20"/>
      <c r="N156" s="20">
        <f t="shared" si="108"/>
        <v>0.14999999999999997</v>
      </c>
      <c r="O156" s="13">
        <f t="shared" si="109"/>
        <v>2.6579999999999999</v>
      </c>
      <c r="P156" s="13">
        <f t="shared" si="110"/>
        <v>0.39869999999999989</v>
      </c>
      <c r="Q156" s="13">
        <f t="shared" si="111"/>
        <v>0.67778999999999978</v>
      </c>
      <c r="R156" s="13"/>
      <c r="S156" s="13"/>
      <c r="T156" s="13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18"/>
      <c r="AF156" s="18"/>
      <c r="AG156" s="18"/>
      <c r="AH156" s="18"/>
      <c r="AI156" s="18"/>
      <c r="AJ156" s="18"/>
    </row>
    <row r="157" spans="1:36" ht="15.6" customHeight="1" x14ac:dyDescent="0.25">
      <c r="A157" s="8" t="s">
        <v>143</v>
      </c>
      <c r="B157" s="13">
        <v>10.385</v>
      </c>
      <c r="C157" s="13">
        <v>0.2</v>
      </c>
      <c r="D157" s="13">
        <f t="shared" si="83"/>
        <v>0.11000000000000001</v>
      </c>
      <c r="E157" s="11">
        <f t="shared" si="94"/>
        <v>-3.999999999999998E-2</v>
      </c>
      <c r="F157" s="11">
        <f t="shared" si="95"/>
        <v>0.15</v>
      </c>
      <c r="G157" s="13">
        <f t="shared" si="96"/>
        <v>1.55775</v>
      </c>
      <c r="H157" s="13"/>
      <c r="I157" s="13"/>
      <c r="J157" s="20"/>
      <c r="K157" s="20"/>
      <c r="L157" s="20"/>
      <c r="M157" s="20"/>
      <c r="N157" s="20">
        <f t="shared" ref="N157:N178" si="112">F157</f>
        <v>0.15</v>
      </c>
      <c r="O157" s="13">
        <f t="shared" ref="O157:O178" si="113">B157</f>
        <v>10.385</v>
      </c>
      <c r="P157" s="13">
        <f t="shared" ref="P157:P178" si="114">O157*N157</f>
        <v>1.55775</v>
      </c>
      <c r="Q157" s="13">
        <f t="shared" si="111"/>
        <v>2.6481749999999997</v>
      </c>
      <c r="R157" s="13"/>
      <c r="S157" s="13"/>
      <c r="T157" s="13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18"/>
      <c r="AF157" s="18"/>
      <c r="AG157" s="18"/>
      <c r="AH157" s="18"/>
      <c r="AI157" s="18"/>
      <c r="AJ157" s="18"/>
    </row>
    <row r="158" spans="1:36" ht="15.6" customHeight="1" x14ac:dyDescent="0.25">
      <c r="A158" s="8" t="s">
        <v>144</v>
      </c>
      <c r="B158" s="13">
        <v>1.083</v>
      </c>
      <c r="C158" s="13">
        <v>0.26</v>
      </c>
      <c r="D158" s="13">
        <f t="shared" si="83"/>
        <v>0.17</v>
      </c>
      <c r="E158" s="11">
        <f t="shared" si="94"/>
        <v>2.0000000000000018E-2</v>
      </c>
      <c r="F158" s="11">
        <f t="shared" si="95"/>
        <v>0.15</v>
      </c>
      <c r="G158" s="13">
        <f t="shared" si="96"/>
        <v>0.16244999999999998</v>
      </c>
      <c r="H158" s="13"/>
      <c r="I158" s="13"/>
      <c r="J158" s="20"/>
      <c r="K158" s="20"/>
      <c r="L158" s="20"/>
      <c r="M158" s="20"/>
      <c r="N158" s="20">
        <f t="shared" si="112"/>
        <v>0.15</v>
      </c>
      <c r="O158" s="13">
        <f t="shared" si="113"/>
        <v>1.083</v>
      </c>
      <c r="P158" s="13">
        <f t="shared" si="114"/>
        <v>0.16244999999999998</v>
      </c>
      <c r="Q158" s="13">
        <f t="shared" si="111"/>
        <v>0.27616499999999994</v>
      </c>
      <c r="R158" s="13"/>
      <c r="S158" s="13"/>
      <c r="T158" s="13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18"/>
      <c r="AF158" s="18"/>
      <c r="AG158" s="18"/>
      <c r="AH158" s="18"/>
      <c r="AI158" s="18"/>
      <c r="AJ158" s="18"/>
    </row>
    <row r="159" spans="1:36" ht="15.6" customHeight="1" x14ac:dyDescent="0.25">
      <c r="A159" s="8" t="s">
        <v>145</v>
      </c>
      <c r="B159" s="13">
        <v>1.1459999999999999</v>
      </c>
      <c r="C159" s="13">
        <v>0.18</v>
      </c>
      <c r="D159" s="13">
        <f t="shared" si="83"/>
        <v>0.09</v>
      </c>
      <c r="E159" s="11">
        <f t="shared" si="94"/>
        <v>-0.06</v>
      </c>
      <c r="F159" s="11">
        <f t="shared" si="95"/>
        <v>0.15</v>
      </c>
      <c r="G159" s="13">
        <f t="shared" si="96"/>
        <v>0.17189999999999997</v>
      </c>
      <c r="H159" s="13"/>
      <c r="I159" s="13"/>
      <c r="J159" s="20"/>
      <c r="K159" s="20"/>
      <c r="L159" s="20"/>
      <c r="M159" s="20"/>
      <c r="N159" s="20">
        <f t="shared" si="112"/>
        <v>0.15</v>
      </c>
      <c r="O159" s="13">
        <f t="shared" si="113"/>
        <v>1.1459999999999999</v>
      </c>
      <c r="P159" s="13">
        <f t="shared" si="114"/>
        <v>0.17189999999999997</v>
      </c>
      <c r="Q159" s="13">
        <f t="shared" si="111"/>
        <v>0.29222999999999993</v>
      </c>
      <c r="R159" s="13"/>
      <c r="S159" s="13"/>
      <c r="T159" s="13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18"/>
      <c r="AF159" s="18"/>
      <c r="AG159" s="18"/>
      <c r="AH159" s="18"/>
      <c r="AI159" s="18"/>
      <c r="AJ159" s="18"/>
    </row>
    <row r="160" spans="1:36" ht="15.6" customHeight="1" x14ac:dyDescent="0.25">
      <c r="A160" s="8" t="s">
        <v>146</v>
      </c>
      <c r="B160" s="13">
        <v>1.159</v>
      </c>
      <c r="C160" s="13">
        <v>0.11</v>
      </c>
      <c r="D160" s="13">
        <f t="shared" si="83"/>
        <v>2.0000000000000004E-2</v>
      </c>
      <c r="E160" s="11">
        <f t="shared" si="94"/>
        <v>-0.13</v>
      </c>
      <c r="F160" s="11">
        <f t="shared" si="95"/>
        <v>0.15000000000000002</v>
      </c>
      <c r="G160" s="13">
        <f t="shared" si="96"/>
        <v>0.17385000000000003</v>
      </c>
      <c r="H160" s="13"/>
      <c r="I160" s="13"/>
      <c r="J160" s="20"/>
      <c r="K160" s="20"/>
      <c r="L160" s="20"/>
      <c r="M160" s="20"/>
      <c r="N160" s="20">
        <f t="shared" si="112"/>
        <v>0.15000000000000002</v>
      </c>
      <c r="O160" s="13">
        <f t="shared" si="113"/>
        <v>1.159</v>
      </c>
      <c r="P160" s="13">
        <f t="shared" si="114"/>
        <v>0.17385000000000003</v>
      </c>
      <c r="Q160" s="13">
        <f t="shared" si="111"/>
        <v>0.29554500000000006</v>
      </c>
      <c r="R160" s="13"/>
      <c r="S160" s="13"/>
      <c r="T160" s="13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18"/>
      <c r="AF160" s="18"/>
      <c r="AG160" s="18"/>
      <c r="AH160" s="18"/>
      <c r="AI160" s="18"/>
      <c r="AJ160" s="18"/>
    </row>
    <row r="161" spans="1:36" ht="15.6" customHeight="1" x14ac:dyDescent="0.25">
      <c r="A161" s="8" t="s">
        <v>147</v>
      </c>
      <c r="B161" s="13">
        <v>1.048</v>
      </c>
      <c r="C161" s="13">
        <v>0.13</v>
      </c>
      <c r="D161" s="13">
        <f t="shared" si="83"/>
        <v>4.0000000000000008E-2</v>
      </c>
      <c r="E161" s="11">
        <f t="shared" si="94"/>
        <v>-0.10999999999999999</v>
      </c>
      <c r="F161" s="11">
        <f t="shared" si="95"/>
        <v>0.15</v>
      </c>
      <c r="G161" s="13">
        <f t="shared" si="96"/>
        <v>0.15720000000000001</v>
      </c>
      <c r="H161" s="13"/>
      <c r="I161" s="13"/>
      <c r="J161" s="20"/>
      <c r="K161" s="20"/>
      <c r="L161" s="20"/>
      <c r="M161" s="20"/>
      <c r="N161" s="20">
        <f t="shared" si="112"/>
        <v>0.15</v>
      </c>
      <c r="O161" s="13">
        <f t="shared" si="113"/>
        <v>1.048</v>
      </c>
      <c r="P161" s="13">
        <f t="shared" si="114"/>
        <v>0.15720000000000001</v>
      </c>
      <c r="Q161" s="13">
        <f t="shared" si="111"/>
        <v>0.26723999999999998</v>
      </c>
      <c r="R161" s="13"/>
      <c r="S161" s="13"/>
      <c r="T161" s="13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18"/>
      <c r="AF161" s="18"/>
      <c r="AG161" s="18"/>
      <c r="AH161" s="18"/>
      <c r="AI161" s="18"/>
      <c r="AJ161" s="18"/>
    </row>
    <row r="162" spans="1:36" ht="15.6" customHeight="1" x14ac:dyDescent="0.25">
      <c r="A162" s="8" t="s">
        <v>148</v>
      </c>
      <c r="B162" s="13">
        <v>1.266</v>
      </c>
      <c r="C162" s="13">
        <v>0.13</v>
      </c>
      <c r="D162" s="13">
        <f t="shared" si="83"/>
        <v>4.0000000000000008E-2</v>
      </c>
      <c r="E162" s="11">
        <f t="shared" si="94"/>
        <v>-0.10999999999999999</v>
      </c>
      <c r="F162" s="11">
        <f t="shared" si="95"/>
        <v>0.15</v>
      </c>
      <c r="G162" s="13">
        <f t="shared" si="96"/>
        <v>0.18989999999999999</v>
      </c>
      <c r="H162" s="13"/>
      <c r="I162" s="13"/>
      <c r="J162" s="20"/>
      <c r="K162" s="20"/>
      <c r="L162" s="20"/>
      <c r="M162" s="20"/>
      <c r="N162" s="20">
        <f t="shared" si="112"/>
        <v>0.15</v>
      </c>
      <c r="O162" s="13">
        <f t="shared" si="113"/>
        <v>1.266</v>
      </c>
      <c r="P162" s="13">
        <f t="shared" si="114"/>
        <v>0.18989999999999999</v>
      </c>
      <c r="Q162" s="13">
        <f t="shared" si="111"/>
        <v>0.32282999999999995</v>
      </c>
      <c r="R162" s="13"/>
      <c r="S162" s="13"/>
      <c r="T162" s="13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18"/>
      <c r="AF162" s="18"/>
      <c r="AG162" s="18"/>
      <c r="AH162" s="18"/>
      <c r="AI162" s="18"/>
      <c r="AJ162" s="18"/>
    </row>
    <row r="163" spans="1:36" ht="15.6" customHeight="1" x14ac:dyDescent="0.25">
      <c r="A163" s="8" t="s">
        <v>149</v>
      </c>
      <c r="B163" s="13">
        <v>1.2150000000000001</v>
      </c>
      <c r="C163" s="13">
        <v>0.08</v>
      </c>
      <c r="D163" s="13">
        <f t="shared" si="83"/>
        <v>-9.999999999999995E-3</v>
      </c>
      <c r="E163" s="11">
        <f t="shared" si="94"/>
        <v>-0.15999999999999998</v>
      </c>
      <c r="F163" s="11">
        <f t="shared" si="95"/>
        <v>0.14999999999999997</v>
      </c>
      <c r="G163" s="13">
        <f t="shared" si="96"/>
        <v>0.18224999999999997</v>
      </c>
      <c r="H163" s="13"/>
      <c r="I163" s="13"/>
      <c r="J163" s="20"/>
      <c r="K163" s="20"/>
      <c r="L163" s="20"/>
      <c r="M163" s="20"/>
      <c r="N163" s="20">
        <f t="shared" si="112"/>
        <v>0.14999999999999997</v>
      </c>
      <c r="O163" s="13">
        <f t="shared" si="113"/>
        <v>1.2150000000000001</v>
      </c>
      <c r="P163" s="13">
        <f t="shared" si="114"/>
        <v>0.18224999999999997</v>
      </c>
      <c r="Q163" s="13">
        <f t="shared" si="111"/>
        <v>0.30982499999999996</v>
      </c>
      <c r="R163" s="13"/>
      <c r="S163" s="13"/>
      <c r="T163" s="13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18"/>
      <c r="AF163" s="18"/>
      <c r="AG163" s="18"/>
      <c r="AH163" s="18"/>
      <c r="AI163" s="18"/>
      <c r="AJ163" s="18"/>
    </row>
    <row r="164" spans="1:36" ht="15.6" customHeight="1" x14ac:dyDescent="0.25">
      <c r="A164" s="8" t="s">
        <v>150</v>
      </c>
      <c r="B164" s="13">
        <v>1.5069999999999999</v>
      </c>
      <c r="C164" s="13">
        <v>0.02</v>
      </c>
      <c r="D164" s="13">
        <f t="shared" si="83"/>
        <v>-6.9999999999999993E-2</v>
      </c>
      <c r="E164" s="11">
        <f t="shared" si="94"/>
        <v>-0.21999999999999997</v>
      </c>
      <c r="F164" s="11">
        <f t="shared" si="95"/>
        <v>0.14999999999999997</v>
      </c>
      <c r="G164" s="13">
        <f t="shared" si="96"/>
        <v>0.22604999999999995</v>
      </c>
      <c r="H164" s="13"/>
      <c r="I164" s="13"/>
      <c r="J164" s="20"/>
      <c r="K164" s="20"/>
      <c r="L164" s="20"/>
      <c r="M164" s="20"/>
      <c r="N164" s="20">
        <f t="shared" si="112"/>
        <v>0.14999999999999997</v>
      </c>
      <c r="O164" s="13">
        <f t="shared" si="113"/>
        <v>1.5069999999999999</v>
      </c>
      <c r="P164" s="13">
        <f t="shared" si="114"/>
        <v>0.22604999999999995</v>
      </c>
      <c r="Q164" s="13">
        <f t="shared" si="111"/>
        <v>0.38428499999999988</v>
      </c>
      <c r="R164" s="13"/>
      <c r="S164" s="13"/>
      <c r="T164" s="13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18"/>
      <c r="AF164" s="18"/>
      <c r="AG164" s="18"/>
      <c r="AH164" s="18"/>
      <c r="AI164" s="18"/>
      <c r="AJ164" s="18"/>
    </row>
    <row r="165" spans="1:36" ht="15.6" customHeight="1" x14ac:dyDescent="0.25">
      <c r="A165" s="8" t="s">
        <v>151</v>
      </c>
      <c r="B165" s="13">
        <v>9.8170000000000002</v>
      </c>
      <c r="C165" s="13">
        <v>0.1</v>
      </c>
      <c r="D165" s="13">
        <f t="shared" si="83"/>
        <v>1.0000000000000009E-2</v>
      </c>
      <c r="E165" s="11">
        <f t="shared" si="94"/>
        <v>-0.13999999999999999</v>
      </c>
      <c r="F165" s="11">
        <f t="shared" si="95"/>
        <v>0.15</v>
      </c>
      <c r="G165" s="13">
        <f t="shared" si="96"/>
        <v>1.47255</v>
      </c>
      <c r="H165" s="13"/>
      <c r="I165" s="13"/>
      <c r="J165" s="20"/>
      <c r="K165" s="20"/>
      <c r="L165" s="20"/>
      <c r="M165" s="20"/>
      <c r="N165" s="20">
        <f t="shared" si="112"/>
        <v>0.15</v>
      </c>
      <c r="O165" s="13">
        <f t="shared" si="113"/>
        <v>9.8170000000000002</v>
      </c>
      <c r="P165" s="13">
        <f t="shared" si="114"/>
        <v>1.47255</v>
      </c>
      <c r="Q165" s="13">
        <f t="shared" si="111"/>
        <v>2.5033349999999999</v>
      </c>
      <c r="R165" s="13"/>
      <c r="S165" s="13"/>
      <c r="T165" s="13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18"/>
      <c r="AF165" s="18"/>
      <c r="AG165" s="18"/>
      <c r="AH165" s="18"/>
      <c r="AI165" s="18"/>
      <c r="AJ165" s="18"/>
    </row>
    <row r="166" spans="1:36" ht="15.6" customHeight="1" x14ac:dyDescent="0.25">
      <c r="A166" s="8" t="s">
        <v>152</v>
      </c>
      <c r="B166" s="13">
        <v>8.2949999999999999</v>
      </c>
      <c r="C166" s="13">
        <v>-0.01</v>
      </c>
      <c r="D166" s="13">
        <f t="shared" si="83"/>
        <v>-9.9999999999999992E-2</v>
      </c>
      <c r="E166" s="11">
        <f t="shared" si="94"/>
        <v>-0.25</v>
      </c>
      <c r="F166" s="11">
        <f t="shared" si="95"/>
        <v>0.15000000000000002</v>
      </c>
      <c r="G166" s="13">
        <f t="shared" si="96"/>
        <v>1.2442500000000001</v>
      </c>
      <c r="H166" s="13"/>
      <c r="I166" s="13"/>
      <c r="J166" s="20"/>
      <c r="K166" s="20"/>
      <c r="L166" s="20"/>
      <c r="M166" s="20"/>
      <c r="N166" s="20">
        <f t="shared" si="112"/>
        <v>0.15000000000000002</v>
      </c>
      <c r="O166" s="13">
        <f t="shared" si="113"/>
        <v>8.2949999999999999</v>
      </c>
      <c r="P166" s="13">
        <f t="shared" si="114"/>
        <v>1.2442500000000001</v>
      </c>
      <c r="Q166" s="13">
        <f t="shared" si="111"/>
        <v>2.1152250000000001</v>
      </c>
      <c r="R166" s="13"/>
      <c r="S166" s="13"/>
      <c r="T166" s="13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18"/>
      <c r="AF166" s="18"/>
      <c r="AG166" s="18"/>
      <c r="AH166" s="18"/>
      <c r="AI166" s="18"/>
      <c r="AJ166" s="18"/>
    </row>
    <row r="167" spans="1:36" ht="15.6" customHeight="1" x14ac:dyDescent="0.25">
      <c r="A167" s="8" t="s">
        <v>153</v>
      </c>
      <c r="B167" s="13">
        <v>3.2570000000000001</v>
      </c>
      <c r="C167" s="13">
        <v>-0.01</v>
      </c>
      <c r="D167" s="13">
        <f t="shared" si="83"/>
        <v>-9.9999999999999992E-2</v>
      </c>
      <c r="E167" s="11">
        <f t="shared" si="94"/>
        <v>-0.25</v>
      </c>
      <c r="F167" s="11">
        <f t="shared" si="95"/>
        <v>0.15000000000000002</v>
      </c>
      <c r="G167" s="13">
        <f t="shared" si="96"/>
        <v>0.4885500000000001</v>
      </c>
      <c r="H167" s="13"/>
      <c r="I167" s="13"/>
      <c r="J167" s="20"/>
      <c r="K167" s="20"/>
      <c r="L167" s="20"/>
      <c r="M167" s="20"/>
      <c r="N167" s="20">
        <f t="shared" si="112"/>
        <v>0.15000000000000002</v>
      </c>
      <c r="O167" s="13">
        <f t="shared" si="113"/>
        <v>3.2570000000000001</v>
      </c>
      <c r="P167" s="13">
        <f t="shared" si="114"/>
        <v>0.4885500000000001</v>
      </c>
      <c r="Q167" s="13">
        <f t="shared" si="111"/>
        <v>0.83053500000000013</v>
      </c>
      <c r="R167" s="13"/>
      <c r="S167" s="13"/>
      <c r="T167" s="13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18"/>
      <c r="AF167" s="18"/>
      <c r="AG167" s="18"/>
      <c r="AH167" s="18"/>
      <c r="AI167" s="18"/>
      <c r="AJ167" s="18"/>
    </row>
    <row r="168" spans="1:36" ht="15.6" customHeight="1" x14ac:dyDescent="0.25">
      <c r="A168" s="8" t="s">
        <v>154</v>
      </c>
      <c r="B168" s="13">
        <v>0.47199999999999998</v>
      </c>
      <c r="C168" s="13">
        <v>-0.06</v>
      </c>
      <c r="D168" s="13">
        <f t="shared" si="83"/>
        <v>-0.15</v>
      </c>
      <c r="E168" s="11">
        <f t="shared" si="94"/>
        <v>-0.3</v>
      </c>
      <c r="F168" s="11">
        <f t="shared" si="95"/>
        <v>0.15</v>
      </c>
      <c r="G168" s="13">
        <f t="shared" si="96"/>
        <v>7.0799999999999988E-2</v>
      </c>
      <c r="H168" s="13"/>
      <c r="I168" s="13"/>
      <c r="J168" s="20"/>
      <c r="K168" s="20"/>
      <c r="L168" s="20"/>
      <c r="M168" s="20"/>
      <c r="N168" s="20">
        <f t="shared" si="112"/>
        <v>0.15</v>
      </c>
      <c r="O168" s="13">
        <f t="shared" si="113"/>
        <v>0.47199999999999998</v>
      </c>
      <c r="P168" s="13">
        <f t="shared" si="114"/>
        <v>7.0799999999999988E-2</v>
      </c>
      <c r="Q168" s="13">
        <f t="shared" si="111"/>
        <v>0.12035999999999998</v>
      </c>
      <c r="R168" s="13"/>
      <c r="S168" s="13"/>
      <c r="T168" s="13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18"/>
      <c r="AF168" s="18"/>
      <c r="AG168" s="18"/>
      <c r="AH168" s="18"/>
      <c r="AI168" s="18"/>
      <c r="AJ168" s="18"/>
    </row>
    <row r="169" spans="1:36" ht="15.6" customHeight="1" x14ac:dyDescent="0.25">
      <c r="A169" s="8" t="s">
        <v>155</v>
      </c>
      <c r="B169" s="13">
        <v>2.387</v>
      </c>
      <c r="C169" s="13">
        <v>-0.01</v>
      </c>
      <c r="D169" s="13">
        <f t="shared" si="83"/>
        <v>-9.9999999999999992E-2</v>
      </c>
      <c r="E169" s="11">
        <f t="shared" si="94"/>
        <v>-0.25</v>
      </c>
      <c r="F169" s="11">
        <f t="shared" si="95"/>
        <v>0.15000000000000002</v>
      </c>
      <c r="G169" s="13">
        <f t="shared" si="96"/>
        <v>0.35805000000000003</v>
      </c>
      <c r="H169" s="13"/>
      <c r="I169" s="13"/>
      <c r="J169" s="20"/>
      <c r="K169" s="20"/>
      <c r="L169" s="20"/>
      <c r="M169" s="20"/>
      <c r="N169" s="20">
        <f t="shared" si="112"/>
        <v>0.15000000000000002</v>
      </c>
      <c r="O169" s="13">
        <f t="shared" si="113"/>
        <v>2.387</v>
      </c>
      <c r="P169" s="13">
        <f t="shared" si="114"/>
        <v>0.35805000000000003</v>
      </c>
      <c r="Q169" s="13">
        <f t="shared" si="111"/>
        <v>0.60868500000000003</v>
      </c>
      <c r="R169" s="13"/>
      <c r="S169" s="13"/>
      <c r="T169" s="13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18"/>
      <c r="AF169" s="18"/>
      <c r="AG169" s="18"/>
      <c r="AH169" s="18"/>
      <c r="AI169" s="18"/>
      <c r="AJ169" s="18"/>
    </row>
    <row r="170" spans="1:36" ht="15.6" customHeight="1" x14ac:dyDescent="0.25">
      <c r="A170" s="8" t="s">
        <v>156</v>
      </c>
      <c r="B170" s="13">
        <v>6.1260000000000003</v>
      </c>
      <c r="C170" s="13">
        <v>-0.14000000000000001</v>
      </c>
      <c r="D170" s="13">
        <f t="shared" si="83"/>
        <v>-0.23</v>
      </c>
      <c r="E170" s="11">
        <f t="shared" si="94"/>
        <v>-0.38</v>
      </c>
      <c r="F170" s="11">
        <f t="shared" si="95"/>
        <v>0.15</v>
      </c>
      <c r="G170" s="13">
        <f t="shared" si="96"/>
        <v>0.91890000000000005</v>
      </c>
      <c r="H170" s="13"/>
      <c r="I170" s="13"/>
      <c r="J170" s="20"/>
      <c r="K170" s="20"/>
      <c r="L170" s="20"/>
      <c r="M170" s="20"/>
      <c r="N170" s="20">
        <f t="shared" si="112"/>
        <v>0.15</v>
      </c>
      <c r="O170" s="13">
        <f t="shared" si="113"/>
        <v>6.1260000000000003</v>
      </c>
      <c r="P170" s="13">
        <f t="shared" si="114"/>
        <v>0.91890000000000005</v>
      </c>
      <c r="Q170" s="13">
        <f t="shared" si="111"/>
        <v>1.56213</v>
      </c>
      <c r="R170" s="13"/>
      <c r="S170" s="13"/>
      <c r="T170" s="13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18"/>
      <c r="AF170" s="18"/>
      <c r="AG170" s="18"/>
      <c r="AH170" s="18"/>
      <c r="AI170" s="18"/>
      <c r="AJ170" s="18"/>
    </row>
    <row r="171" spans="1:36" ht="15.6" customHeight="1" x14ac:dyDescent="0.25">
      <c r="A171" s="8" t="s">
        <v>157</v>
      </c>
      <c r="B171" s="13">
        <v>11.448</v>
      </c>
      <c r="C171" s="13">
        <v>-0.17</v>
      </c>
      <c r="D171" s="13">
        <f t="shared" si="83"/>
        <v>-0.26</v>
      </c>
      <c r="E171" s="11">
        <f t="shared" si="94"/>
        <v>-0.41000000000000003</v>
      </c>
      <c r="F171" s="11">
        <f t="shared" si="95"/>
        <v>0.15000000000000002</v>
      </c>
      <c r="G171" s="13">
        <f t="shared" si="96"/>
        <v>1.7172000000000003</v>
      </c>
      <c r="H171" s="13"/>
      <c r="I171" s="13"/>
      <c r="J171" s="20"/>
      <c r="K171" s="20"/>
      <c r="L171" s="20"/>
      <c r="M171" s="20"/>
      <c r="N171" s="20">
        <f t="shared" si="112"/>
        <v>0.15000000000000002</v>
      </c>
      <c r="O171" s="13">
        <f t="shared" si="113"/>
        <v>11.448</v>
      </c>
      <c r="P171" s="13">
        <f t="shared" si="114"/>
        <v>1.7172000000000003</v>
      </c>
      <c r="Q171" s="13">
        <f t="shared" si="111"/>
        <v>2.9192400000000003</v>
      </c>
      <c r="R171" s="13"/>
      <c r="S171" s="13"/>
      <c r="T171" s="13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18"/>
      <c r="AF171" s="18"/>
      <c r="AG171" s="18"/>
      <c r="AH171" s="18"/>
      <c r="AI171" s="18"/>
      <c r="AJ171" s="18"/>
    </row>
    <row r="172" spans="1:36" ht="15.6" customHeight="1" x14ac:dyDescent="0.25">
      <c r="A172" s="8" t="s">
        <v>158</v>
      </c>
      <c r="B172" s="13">
        <v>4.58</v>
      </c>
      <c r="C172" s="13">
        <v>-0.04</v>
      </c>
      <c r="D172" s="13">
        <f t="shared" si="83"/>
        <v>-0.13</v>
      </c>
      <c r="E172" s="11">
        <f t="shared" si="94"/>
        <v>-0.28000000000000003</v>
      </c>
      <c r="F172" s="11">
        <f t="shared" si="95"/>
        <v>0.15000000000000002</v>
      </c>
      <c r="G172" s="13">
        <f t="shared" si="96"/>
        <v>0.68700000000000017</v>
      </c>
      <c r="H172" s="13"/>
      <c r="I172" s="13"/>
      <c r="J172" s="20"/>
      <c r="K172" s="20"/>
      <c r="L172" s="20"/>
      <c r="M172" s="20"/>
      <c r="N172" s="20">
        <f t="shared" si="112"/>
        <v>0.15000000000000002</v>
      </c>
      <c r="O172" s="13">
        <f t="shared" si="113"/>
        <v>4.58</v>
      </c>
      <c r="P172" s="13">
        <f t="shared" si="114"/>
        <v>0.68700000000000017</v>
      </c>
      <c r="Q172" s="13">
        <f t="shared" si="111"/>
        <v>1.1679000000000002</v>
      </c>
      <c r="R172" s="13"/>
      <c r="S172" s="13"/>
      <c r="T172" s="13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18"/>
      <c r="AF172" s="18"/>
      <c r="AG172" s="18"/>
      <c r="AH172" s="18"/>
      <c r="AI172" s="18"/>
      <c r="AJ172" s="18"/>
    </row>
    <row r="173" spans="1:36" ht="15.6" customHeight="1" x14ac:dyDescent="0.25">
      <c r="A173" s="8" t="s">
        <v>159</v>
      </c>
      <c r="B173" s="13">
        <v>4.6989999999999998</v>
      </c>
      <c r="C173" s="13">
        <v>-7.0000000000000007E-2</v>
      </c>
      <c r="D173" s="13">
        <f t="shared" si="83"/>
        <v>-0.16</v>
      </c>
      <c r="E173" s="11">
        <f t="shared" si="94"/>
        <v>-0.31</v>
      </c>
      <c r="F173" s="11">
        <f t="shared" si="95"/>
        <v>0.15</v>
      </c>
      <c r="G173" s="13">
        <f t="shared" si="96"/>
        <v>0.70484999999999998</v>
      </c>
      <c r="H173" s="13"/>
      <c r="I173" s="13"/>
      <c r="J173" s="20"/>
      <c r="K173" s="20"/>
      <c r="L173" s="20"/>
      <c r="M173" s="20"/>
      <c r="N173" s="20">
        <f t="shared" si="112"/>
        <v>0.15</v>
      </c>
      <c r="O173" s="13">
        <f t="shared" si="113"/>
        <v>4.6989999999999998</v>
      </c>
      <c r="P173" s="13">
        <f t="shared" si="114"/>
        <v>0.70484999999999998</v>
      </c>
      <c r="Q173" s="13">
        <f t="shared" si="111"/>
        <v>1.198245</v>
      </c>
      <c r="R173" s="13"/>
      <c r="S173" s="13"/>
      <c r="T173" s="13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18"/>
      <c r="AF173" s="18"/>
      <c r="AG173" s="18"/>
      <c r="AH173" s="18"/>
      <c r="AI173" s="18"/>
      <c r="AJ173" s="18"/>
    </row>
    <row r="174" spans="1:36" ht="15.6" customHeight="1" x14ac:dyDescent="0.25">
      <c r="A174" s="8" t="s">
        <v>160</v>
      </c>
      <c r="B174" s="13">
        <v>11.382999999999999</v>
      </c>
      <c r="C174" s="13">
        <v>-0.13</v>
      </c>
      <c r="D174" s="13">
        <f t="shared" si="83"/>
        <v>-0.22</v>
      </c>
      <c r="E174" s="11">
        <f t="shared" si="94"/>
        <v>-0.37</v>
      </c>
      <c r="F174" s="11">
        <f t="shared" si="95"/>
        <v>0.15</v>
      </c>
      <c r="G174" s="13">
        <f t="shared" si="96"/>
        <v>1.7074499999999999</v>
      </c>
      <c r="H174" s="13"/>
      <c r="I174" s="13"/>
      <c r="J174" s="20"/>
      <c r="K174" s="20"/>
      <c r="L174" s="20"/>
      <c r="M174" s="20"/>
      <c r="N174" s="20">
        <f t="shared" si="112"/>
        <v>0.15</v>
      </c>
      <c r="O174" s="13">
        <f t="shared" si="113"/>
        <v>11.382999999999999</v>
      </c>
      <c r="P174" s="13">
        <f t="shared" si="114"/>
        <v>1.7074499999999999</v>
      </c>
      <c r="Q174" s="13">
        <f t="shared" si="111"/>
        <v>2.9026649999999998</v>
      </c>
      <c r="R174" s="13"/>
      <c r="S174" s="13"/>
      <c r="T174" s="13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18"/>
      <c r="AF174" s="18"/>
      <c r="AG174" s="18"/>
      <c r="AH174" s="18"/>
      <c r="AI174" s="18"/>
      <c r="AJ174" s="18"/>
    </row>
    <row r="175" spans="1:36" ht="15.6" customHeight="1" x14ac:dyDescent="0.25">
      <c r="A175" s="8" t="s">
        <v>161</v>
      </c>
      <c r="B175" s="13">
        <f>3.954+0.68</f>
        <v>4.6340000000000003</v>
      </c>
      <c r="C175" s="13">
        <v>-0.16</v>
      </c>
      <c r="D175" s="13">
        <f t="shared" si="83"/>
        <v>-0.25</v>
      </c>
      <c r="E175" s="11">
        <f t="shared" si="94"/>
        <v>-0.4</v>
      </c>
      <c r="F175" s="11">
        <f t="shared" si="95"/>
        <v>0.15000000000000002</v>
      </c>
      <c r="G175" s="13">
        <f t="shared" si="96"/>
        <v>0.69510000000000016</v>
      </c>
      <c r="H175" s="13"/>
      <c r="I175" s="13"/>
      <c r="J175" s="20"/>
      <c r="K175" s="20"/>
      <c r="L175" s="20"/>
      <c r="M175" s="20"/>
      <c r="N175" s="20">
        <f t="shared" si="112"/>
        <v>0.15000000000000002</v>
      </c>
      <c r="O175" s="13">
        <f t="shared" si="113"/>
        <v>4.6340000000000003</v>
      </c>
      <c r="P175" s="13">
        <f t="shared" si="114"/>
        <v>0.69510000000000016</v>
      </c>
      <c r="Q175" s="13">
        <f t="shared" si="111"/>
        <v>1.1816700000000002</v>
      </c>
      <c r="R175" s="13"/>
      <c r="S175" s="13"/>
      <c r="T175" s="13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18"/>
      <c r="AF175" s="18"/>
      <c r="AG175" s="18"/>
      <c r="AH175" s="18"/>
      <c r="AI175" s="18"/>
      <c r="AJ175" s="18"/>
    </row>
    <row r="176" spans="1:36" ht="15.6" customHeight="1" x14ac:dyDescent="0.25">
      <c r="A176" s="8" t="s">
        <v>162</v>
      </c>
      <c r="B176" s="13">
        <f>11.123-4.1</f>
        <v>7.0229999999999997</v>
      </c>
      <c r="C176" s="13">
        <v>-0.17</v>
      </c>
      <c r="D176" s="13">
        <f t="shared" si="83"/>
        <v>-0.26</v>
      </c>
      <c r="E176" s="11">
        <f t="shared" si="94"/>
        <v>-0.41000000000000003</v>
      </c>
      <c r="F176" s="11">
        <f t="shared" si="95"/>
        <v>0.15000000000000002</v>
      </c>
      <c r="G176" s="13">
        <f t="shared" si="96"/>
        <v>1.0534500000000002</v>
      </c>
      <c r="H176" s="13"/>
      <c r="I176" s="13"/>
      <c r="J176" s="20"/>
      <c r="K176" s="20"/>
      <c r="L176" s="20"/>
      <c r="M176" s="20"/>
      <c r="N176" s="20">
        <f t="shared" si="112"/>
        <v>0.15000000000000002</v>
      </c>
      <c r="O176" s="13">
        <f t="shared" si="113"/>
        <v>7.0229999999999997</v>
      </c>
      <c r="P176" s="13">
        <f t="shared" si="114"/>
        <v>1.0534500000000002</v>
      </c>
      <c r="Q176" s="13">
        <f t="shared" si="111"/>
        <v>1.7908650000000004</v>
      </c>
      <c r="R176" s="13"/>
      <c r="S176" s="13"/>
      <c r="T176" s="13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18"/>
      <c r="AF176" s="18"/>
      <c r="AG176" s="18"/>
      <c r="AH176" s="18"/>
      <c r="AI176" s="18"/>
      <c r="AJ176" s="18"/>
    </row>
    <row r="177" spans="1:36" ht="15.6" customHeight="1" x14ac:dyDescent="0.25">
      <c r="A177" s="8" t="s">
        <v>163</v>
      </c>
      <c r="B177" s="13">
        <v>5.39</v>
      </c>
      <c r="C177" s="13">
        <v>-0.17</v>
      </c>
      <c r="D177" s="13">
        <f t="shared" si="83"/>
        <v>-0.26</v>
      </c>
      <c r="E177" s="11">
        <f t="shared" si="94"/>
        <v>-0.41000000000000003</v>
      </c>
      <c r="F177" s="11">
        <f t="shared" si="95"/>
        <v>0.15000000000000002</v>
      </c>
      <c r="G177" s="13">
        <f t="shared" si="96"/>
        <v>0.80850000000000011</v>
      </c>
      <c r="H177" s="13"/>
      <c r="I177" s="13"/>
      <c r="J177" s="20"/>
      <c r="K177" s="20"/>
      <c r="L177" s="20"/>
      <c r="M177" s="20"/>
      <c r="N177" s="20">
        <f t="shared" si="112"/>
        <v>0.15000000000000002</v>
      </c>
      <c r="O177" s="13">
        <f t="shared" si="113"/>
        <v>5.39</v>
      </c>
      <c r="P177" s="13">
        <f t="shared" si="114"/>
        <v>0.80850000000000011</v>
      </c>
      <c r="Q177" s="13">
        <f t="shared" si="111"/>
        <v>1.3744500000000002</v>
      </c>
      <c r="R177" s="13"/>
      <c r="S177" s="13"/>
      <c r="T177" s="13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18"/>
      <c r="AF177" s="18"/>
      <c r="AG177" s="18"/>
      <c r="AH177" s="18"/>
      <c r="AI177" s="18"/>
      <c r="AJ177" s="18"/>
    </row>
    <row r="178" spans="1:36" ht="15.6" customHeight="1" x14ac:dyDescent="0.25">
      <c r="A178" s="8" t="s">
        <v>164</v>
      </c>
      <c r="B178" s="13">
        <v>0.36699999999999999</v>
      </c>
      <c r="C178" s="13">
        <v>-0.08</v>
      </c>
      <c r="D178" s="13">
        <f t="shared" si="83"/>
        <v>-0.16999999999999998</v>
      </c>
      <c r="E178" s="11">
        <f t="shared" si="94"/>
        <v>-0.31999999999999995</v>
      </c>
      <c r="F178" s="11">
        <f t="shared" ref="F178:F220" si="115">D178-E178</f>
        <v>0.14999999999999997</v>
      </c>
      <c r="G178" s="13">
        <f t="shared" ref="G178:G218" si="116">F178*B178</f>
        <v>5.5049999999999988E-2</v>
      </c>
      <c r="H178" s="13"/>
      <c r="I178" s="13"/>
      <c r="J178" s="20"/>
      <c r="K178" s="20"/>
      <c r="L178" s="20"/>
      <c r="M178" s="20"/>
      <c r="N178" s="20">
        <f t="shared" si="112"/>
        <v>0.14999999999999997</v>
      </c>
      <c r="O178" s="13">
        <f t="shared" si="113"/>
        <v>0.36699999999999999</v>
      </c>
      <c r="P178" s="13">
        <f t="shared" si="114"/>
        <v>5.5049999999999988E-2</v>
      </c>
      <c r="Q178" s="13">
        <f t="shared" si="111"/>
        <v>9.3584999999999974E-2</v>
      </c>
      <c r="R178" s="13"/>
      <c r="S178" s="13"/>
      <c r="T178" s="13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18"/>
      <c r="AF178" s="18"/>
      <c r="AG178" s="18"/>
      <c r="AH178" s="18"/>
      <c r="AI178" s="18"/>
      <c r="AJ178" s="18"/>
    </row>
    <row r="179" spans="1:36" ht="15.6" customHeight="1" x14ac:dyDescent="0.25">
      <c r="A179" s="8" t="s">
        <v>165</v>
      </c>
      <c r="B179" s="13">
        <v>37.252000000000002</v>
      </c>
      <c r="C179" s="13">
        <v>-0.15</v>
      </c>
      <c r="D179" s="13">
        <f t="shared" si="83"/>
        <v>-0.24</v>
      </c>
      <c r="E179" s="11">
        <f t="shared" si="94"/>
        <v>-0.39</v>
      </c>
      <c r="F179" s="11">
        <f t="shared" si="115"/>
        <v>0.15000000000000002</v>
      </c>
      <c r="G179" s="13">
        <f t="shared" si="116"/>
        <v>5.5878000000000014</v>
      </c>
      <c r="H179" s="13"/>
      <c r="I179" s="13"/>
      <c r="J179" s="20"/>
      <c r="K179" s="20"/>
      <c r="L179" s="20"/>
      <c r="M179" s="20"/>
      <c r="N179" s="20">
        <f t="shared" ref="N179:N180" si="117">F179</f>
        <v>0.15000000000000002</v>
      </c>
      <c r="O179" s="13">
        <f t="shared" ref="O179:O180" si="118">B179</f>
        <v>37.252000000000002</v>
      </c>
      <c r="P179" s="13">
        <f t="shared" ref="P179:P180" si="119">O179*N179</f>
        <v>5.5878000000000014</v>
      </c>
      <c r="Q179" s="13">
        <f t="shared" si="111"/>
        <v>9.4992600000000014</v>
      </c>
      <c r="R179" s="13"/>
      <c r="S179" s="13"/>
      <c r="T179" s="13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18"/>
      <c r="AF179" s="18"/>
      <c r="AG179" s="18"/>
      <c r="AH179" s="18"/>
      <c r="AI179" s="18"/>
      <c r="AJ179" s="18"/>
    </row>
    <row r="180" spans="1:36" ht="15.6" customHeight="1" x14ac:dyDescent="0.25">
      <c r="A180" s="8" t="s">
        <v>166</v>
      </c>
      <c r="B180" s="13">
        <v>0.93799999999999994</v>
      </c>
      <c r="C180" s="13">
        <v>0.04</v>
      </c>
      <c r="D180" s="13">
        <f t="shared" si="83"/>
        <v>-4.9999999999999996E-2</v>
      </c>
      <c r="E180" s="11">
        <f t="shared" si="94"/>
        <v>-0.19999999999999998</v>
      </c>
      <c r="F180" s="11">
        <f t="shared" si="115"/>
        <v>0.15</v>
      </c>
      <c r="G180" s="13">
        <f t="shared" si="116"/>
        <v>0.14069999999999999</v>
      </c>
      <c r="H180" s="13"/>
      <c r="I180" s="13"/>
      <c r="J180" s="20"/>
      <c r="K180" s="20"/>
      <c r="L180" s="20"/>
      <c r="M180" s="20"/>
      <c r="N180" s="20">
        <f t="shared" si="117"/>
        <v>0.15</v>
      </c>
      <c r="O180" s="13">
        <f t="shared" si="118"/>
        <v>0.93799999999999994</v>
      </c>
      <c r="P180" s="13">
        <f t="shared" si="119"/>
        <v>0.14069999999999999</v>
      </c>
      <c r="Q180" s="13">
        <f t="shared" si="111"/>
        <v>0.23918999999999999</v>
      </c>
      <c r="R180" s="13"/>
      <c r="S180" s="13"/>
      <c r="T180" s="13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18"/>
      <c r="AF180" s="18"/>
      <c r="AG180" s="18"/>
      <c r="AH180" s="18"/>
      <c r="AI180" s="18"/>
      <c r="AJ180" s="18"/>
    </row>
    <row r="181" spans="1:36" ht="15.6" customHeight="1" x14ac:dyDescent="0.25">
      <c r="A181" s="8" t="s">
        <v>167</v>
      </c>
      <c r="B181" s="13">
        <v>2.1659999999999999</v>
      </c>
      <c r="C181" s="13">
        <v>-0.39</v>
      </c>
      <c r="D181" s="13">
        <f t="shared" si="83"/>
        <v>-0.48</v>
      </c>
      <c r="E181" s="11">
        <f t="shared" si="94"/>
        <v>-0.63</v>
      </c>
      <c r="F181" s="11">
        <f t="shared" si="115"/>
        <v>0.15000000000000002</v>
      </c>
      <c r="G181" s="13">
        <f t="shared" si="116"/>
        <v>0.32490000000000002</v>
      </c>
      <c r="H181" s="13"/>
      <c r="I181" s="13"/>
      <c r="J181" s="20"/>
      <c r="K181" s="20"/>
      <c r="L181" s="20"/>
      <c r="M181" s="20"/>
      <c r="N181" s="20">
        <f t="shared" ref="N181:N191" si="120">F181</f>
        <v>0.15000000000000002</v>
      </c>
      <c r="O181" s="13">
        <f t="shared" ref="O181:O191" si="121">B181</f>
        <v>2.1659999999999999</v>
      </c>
      <c r="P181" s="13">
        <f t="shared" ref="P181:P191" si="122">O181*N181</f>
        <v>0.32490000000000002</v>
      </c>
      <c r="Q181" s="13">
        <f t="shared" si="111"/>
        <v>0.55232999999999999</v>
      </c>
      <c r="R181" s="13"/>
      <c r="S181" s="13"/>
      <c r="T181" s="13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18"/>
      <c r="AF181" s="18"/>
      <c r="AG181" s="18"/>
      <c r="AH181" s="18"/>
      <c r="AI181" s="18"/>
      <c r="AJ181" s="18"/>
    </row>
    <row r="182" spans="1:36" ht="15.6" customHeight="1" x14ac:dyDescent="0.25">
      <c r="A182" s="8" t="s">
        <v>168</v>
      </c>
      <c r="B182" s="13">
        <v>4.9370000000000003</v>
      </c>
      <c r="C182" s="13">
        <v>-0.15</v>
      </c>
      <c r="D182" s="13">
        <f t="shared" si="83"/>
        <v>-0.24</v>
      </c>
      <c r="E182" s="11">
        <f t="shared" si="94"/>
        <v>-0.39</v>
      </c>
      <c r="F182" s="11">
        <f t="shared" si="115"/>
        <v>0.15000000000000002</v>
      </c>
      <c r="G182" s="13">
        <f t="shared" si="116"/>
        <v>0.74055000000000015</v>
      </c>
      <c r="H182" s="13"/>
      <c r="I182" s="13"/>
      <c r="J182" s="20"/>
      <c r="K182" s="20"/>
      <c r="L182" s="20"/>
      <c r="M182" s="20"/>
      <c r="N182" s="20">
        <f t="shared" si="120"/>
        <v>0.15000000000000002</v>
      </c>
      <c r="O182" s="13">
        <f t="shared" si="121"/>
        <v>4.9370000000000003</v>
      </c>
      <c r="P182" s="13">
        <f t="shared" si="122"/>
        <v>0.74055000000000015</v>
      </c>
      <c r="Q182" s="13">
        <f t="shared" si="111"/>
        <v>1.2589350000000001</v>
      </c>
      <c r="R182" s="13"/>
      <c r="S182" s="13"/>
      <c r="T182" s="13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18"/>
      <c r="AF182" s="18"/>
      <c r="AG182" s="18"/>
      <c r="AH182" s="18"/>
      <c r="AI182" s="18"/>
      <c r="AJ182" s="18"/>
    </row>
    <row r="183" spans="1:36" ht="15.6" customHeight="1" x14ac:dyDescent="0.25">
      <c r="A183" s="8" t="s">
        <v>169</v>
      </c>
      <c r="B183" s="13">
        <v>10.801</v>
      </c>
      <c r="C183" s="13">
        <v>-0.28000000000000003</v>
      </c>
      <c r="D183" s="13">
        <f t="shared" si="83"/>
        <v>-0.37</v>
      </c>
      <c r="E183" s="11">
        <f t="shared" si="94"/>
        <v>-0.52</v>
      </c>
      <c r="F183" s="11">
        <f t="shared" si="115"/>
        <v>0.15000000000000002</v>
      </c>
      <c r="G183" s="13">
        <f t="shared" si="116"/>
        <v>1.6201500000000002</v>
      </c>
      <c r="H183" s="13"/>
      <c r="I183" s="13"/>
      <c r="J183" s="20"/>
      <c r="K183" s="20"/>
      <c r="L183" s="20"/>
      <c r="M183" s="20"/>
      <c r="N183" s="20">
        <f t="shared" si="120"/>
        <v>0.15000000000000002</v>
      </c>
      <c r="O183" s="13">
        <f t="shared" si="121"/>
        <v>10.801</v>
      </c>
      <c r="P183" s="13">
        <f t="shared" si="122"/>
        <v>1.6201500000000002</v>
      </c>
      <c r="Q183" s="13">
        <f t="shared" si="111"/>
        <v>2.7542550000000001</v>
      </c>
      <c r="R183" s="13"/>
      <c r="S183" s="13"/>
      <c r="T183" s="13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18"/>
      <c r="AF183" s="18"/>
      <c r="AG183" s="18"/>
      <c r="AH183" s="18"/>
      <c r="AI183" s="18"/>
      <c r="AJ183" s="18"/>
    </row>
    <row r="184" spans="1:36" ht="15.6" customHeight="1" x14ac:dyDescent="0.25">
      <c r="A184" s="8" t="s">
        <v>170</v>
      </c>
      <c r="B184" s="13">
        <v>2.1579999999999999</v>
      </c>
      <c r="C184" s="13">
        <v>-0.27</v>
      </c>
      <c r="D184" s="13">
        <f t="shared" si="83"/>
        <v>-0.36</v>
      </c>
      <c r="E184" s="11">
        <f t="shared" si="94"/>
        <v>-0.51</v>
      </c>
      <c r="F184" s="11">
        <f t="shared" si="115"/>
        <v>0.15000000000000002</v>
      </c>
      <c r="G184" s="13">
        <f t="shared" si="116"/>
        <v>0.32370000000000004</v>
      </c>
      <c r="H184" s="13"/>
      <c r="I184" s="13"/>
      <c r="J184" s="20"/>
      <c r="K184" s="20"/>
      <c r="L184" s="20"/>
      <c r="M184" s="20"/>
      <c r="N184" s="20">
        <f t="shared" si="120"/>
        <v>0.15000000000000002</v>
      </c>
      <c r="O184" s="13">
        <f t="shared" si="121"/>
        <v>2.1579999999999999</v>
      </c>
      <c r="P184" s="13">
        <f t="shared" si="122"/>
        <v>0.32370000000000004</v>
      </c>
      <c r="Q184" s="13">
        <f t="shared" si="111"/>
        <v>0.55029000000000006</v>
      </c>
      <c r="R184" s="13"/>
      <c r="S184" s="13"/>
      <c r="T184" s="13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18"/>
      <c r="AF184" s="18"/>
      <c r="AG184" s="18"/>
      <c r="AH184" s="18"/>
      <c r="AI184" s="18"/>
      <c r="AJ184" s="18"/>
    </row>
    <row r="185" spans="1:36" ht="15.6" customHeight="1" x14ac:dyDescent="0.25">
      <c r="A185" s="8" t="s">
        <v>171</v>
      </c>
      <c r="B185" s="13">
        <v>6.335</v>
      </c>
      <c r="C185" s="13">
        <v>-0.19</v>
      </c>
      <c r="D185" s="13">
        <f t="shared" si="83"/>
        <v>-0.28000000000000003</v>
      </c>
      <c r="E185" s="11">
        <f t="shared" si="94"/>
        <v>-0.43000000000000005</v>
      </c>
      <c r="F185" s="11">
        <f t="shared" si="115"/>
        <v>0.15000000000000002</v>
      </c>
      <c r="G185" s="13">
        <f t="shared" si="116"/>
        <v>0.95025000000000015</v>
      </c>
      <c r="H185" s="13"/>
      <c r="I185" s="13"/>
      <c r="J185" s="20"/>
      <c r="K185" s="20"/>
      <c r="L185" s="20"/>
      <c r="M185" s="20"/>
      <c r="N185" s="20">
        <f t="shared" si="120"/>
        <v>0.15000000000000002</v>
      </c>
      <c r="O185" s="13">
        <f t="shared" si="121"/>
        <v>6.335</v>
      </c>
      <c r="P185" s="13">
        <f t="shared" si="122"/>
        <v>0.95025000000000015</v>
      </c>
      <c r="Q185" s="13">
        <f t="shared" si="111"/>
        <v>1.6154250000000001</v>
      </c>
      <c r="R185" s="13"/>
      <c r="S185" s="13"/>
      <c r="T185" s="13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18"/>
      <c r="AF185" s="18"/>
      <c r="AG185" s="18"/>
      <c r="AH185" s="18"/>
      <c r="AI185" s="18"/>
      <c r="AJ185" s="18"/>
    </row>
    <row r="186" spans="1:36" ht="15.6" customHeight="1" x14ac:dyDescent="0.25">
      <c r="A186" s="8" t="s">
        <v>172</v>
      </c>
      <c r="B186" s="13">
        <v>18.600000000000001</v>
      </c>
      <c r="C186" s="13">
        <v>-0.33</v>
      </c>
      <c r="D186" s="13">
        <f t="shared" si="83"/>
        <v>-0.42000000000000004</v>
      </c>
      <c r="E186" s="11">
        <f t="shared" si="94"/>
        <v>-0.57000000000000006</v>
      </c>
      <c r="F186" s="11">
        <f t="shared" si="115"/>
        <v>0.15000000000000002</v>
      </c>
      <c r="G186" s="13">
        <f t="shared" si="116"/>
        <v>2.7900000000000005</v>
      </c>
      <c r="H186" s="13"/>
      <c r="I186" s="13"/>
      <c r="J186" s="20"/>
      <c r="K186" s="20"/>
      <c r="L186" s="20"/>
      <c r="M186" s="20"/>
      <c r="N186" s="20">
        <f t="shared" si="120"/>
        <v>0.15000000000000002</v>
      </c>
      <c r="O186" s="13">
        <f t="shared" si="121"/>
        <v>18.600000000000001</v>
      </c>
      <c r="P186" s="13">
        <f t="shared" si="122"/>
        <v>2.7900000000000005</v>
      </c>
      <c r="Q186" s="13">
        <f t="shared" si="111"/>
        <v>4.7430000000000003</v>
      </c>
      <c r="R186" s="13"/>
      <c r="S186" s="13"/>
      <c r="T186" s="13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18"/>
      <c r="AF186" s="18"/>
      <c r="AG186" s="18"/>
      <c r="AH186" s="18"/>
      <c r="AI186" s="18"/>
      <c r="AJ186" s="18"/>
    </row>
    <row r="187" spans="1:36" ht="15.6" customHeight="1" x14ac:dyDescent="0.25">
      <c r="A187" s="8" t="s">
        <v>173</v>
      </c>
      <c r="B187" s="13">
        <v>43.061</v>
      </c>
      <c r="C187" s="13">
        <v>-0.15</v>
      </c>
      <c r="D187" s="13">
        <f t="shared" si="83"/>
        <v>-0.24</v>
      </c>
      <c r="E187" s="11">
        <f t="shared" si="94"/>
        <v>-0.39</v>
      </c>
      <c r="F187" s="11">
        <f t="shared" si="115"/>
        <v>0.15000000000000002</v>
      </c>
      <c r="G187" s="13">
        <f t="shared" si="116"/>
        <v>6.4591500000000011</v>
      </c>
      <c r="H187" s="13"/>
      <c r="I187" s="13"/>
      <c r="J187" s="20"/>
      <c r="K187" s="20"/>
      <c r="L187" s="20"/>
      <c r="M187" s="20"/>
      <c r="N187" s="20">
        <f t="shared" si="120"/>
        <v>0.15000000000000002</v>
      </c>
      <c r="O187" s="13">
        <f t="shared" si="121"/>
        <v>43.061</v>
      </c>
      <c r="P187" s="13">
        <f t="shared" si="122"/>
        <v>6.4591500000000011</v>
      </c>
      <c r="Q187" s="13">
        <f t="shared" si="111"/>
        <v>10.980555000000001</v>
      </c>
      <c r="R187" s="13"/>
      <c r="S187" s="13"/>
      <c r="T187" s="13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18"/>
      <c r="AF187" s="18"/>
      <c r="AG187" s="18"/>
      <c r="AH187" s="18"/>
      <c r="AI187" s="18"/>
      <c r="AJ187" s="18"/>
    </row>
    <row r="188" spans="1:36" ht="15.6" customHeight="1" x14ac:dyDescent="0.25">
      <c r="A188" s="8" t="s">
        <v>174</v>
      </c>
      <c r="B188" s="13">
        <v>2.105</v>
      </c>
      <c r="C188" s="13">
        <v>-0.15</v>
      </c>
      <c r="D188" s="13">
        <f t="shared" si="83"/>
        <v>-0.24</v>
      </c>
      <c r="E188" s="11">
        <f t="shared" si="94"/>
        <v>-0.39</v>
      </c>
      <c r="F188" s="11">
        <f t="shared" si="115"/>
        <v>0.15000000000000002</v>
      </c>
      <c r="G188" s="13">
        <f t="shared" si="116"/>
        <v>0.31575000000000003</v>
      </c>
      <c r="H188" s="13"/>
      <c r="I188" s="13"/>
      <c r="J188" s="20"/>
      <c r="K188" s="20"/>
      <c r="L188" s="20"/>
      <c r="M188" s="20"/>
      <c r="N188" s="20">
        <f t="shared" si="120"/>
        <v>0.15000000000000002</v>
      </c>
      <c r="O188" s="13">
        <f t="shared" si="121"/>
        <v>2.105</v>
      </c>
      <c r="P188" s="13">
        <f t="shared" si="122"/>
        <v>0.31575000000000003</v>
      </c>
      <c r="Q188" s="13">
        <f t="shared" si="111"/>
        <v>0.536775</v>
      </c>
      <c r="R188" s="13"/>
      <c r="S188" s="13"/>
      <c r="T188" s="13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18"/>
      <c r="AF188" s="18"/>
      <c r="AG188" s="18"/>
      <c r="AH188" s="18"/>
      <c r="AI188" s="18"/>
      <c r="AJ188" s="18"/>
    </row>
    <row r="189" spans="1:36" ht="15.6" customHeight="1" x14ac:dyDescent="0.25">
      <c r="A189" s="8" t="s">
        <v>175</v>
      </c>
      <c r="B189" s="13">
        <v>1.609</v>
      </c>
      <c r="C189" s="13">
        <v>-0.2</v>
      </c>
      <c r="D189" s="13">
        <f t="shared" si="83"/>
        <v>-0.29000000000000004</v>
      </c>
      <c r="E189" s="11">
        <f t="shared" si="94"/>
        <v>-0.44000000000000006</v>
      </c>
      <c r="F189" s="11">
        <f t="shared" si="115"/>
        <v>0.15000000000000002</v>
      </c>
      <c r="G189" s="13">
        <f t="shared" si="116"/>
        <v>0.24135000000000004</v>
      </c>
      <c r="H189" s="13"/>
      <c r="I189" s="13"/>
      <c r="J189" s="20"/>
      <c r="K189" s="13"/>
      <c r="L189" s="13"/>
      <c r="M189" s="13"/>
      <c r="N189" s="20">
        <f>F189</f>
        <v>0.15000000000000002</v>
      </c>
      <c r="O189" s="13">
        <f>B189</f>
        <v>1.609</v>
      </c>
      <c r="P189" s="13">
        <f t="shared" si="122"/>
        <v>0.24135000000000004</v>
      </c>
      <c r="Q189" s="13">
        <f t="shared" si="111"/>
        <v>0.41029500000000008</v>
      </c>
      <c r="R189" s="13"/>
      <c r="S189" s="13"/>
      <c r="T189" s="13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18"/>
      <c r="AF189" s="18"/>
      <c r="AG189" s="18"/>
      <c r="AH189" s="18"/>
      <c r="AI189" s="18"/>
      <c r="AJ189" s="18"/>
    </row>
    <row r="190" spans="1:36" ht="15.6" customHeight="1" x14ac:dyDescent="0.25">
      <c r="A190" s="8" t="s">
        <v>176</v>
      </c>
      <c r="B190" s="13">
        <v>3.22</v>
      </c>
      <c r="C190" s="13">
        <v>-0.35</v>
      </c>
      <c r="D190" s="13">
        <f t="shared" si="83"/>
        <v>-0.43999999999999995</v>
      </c>
      <c r="E190" s="11">
        <f t="shared" si="94"/>
        <v>-0.59</v>
      </c>
      <c r="F190" s="11">
        <f t="shared" si="115"/>
        <v>0.15000000000000002</v>
      </c>
      <c r="G190" s="13">
        <f t="shared" si="116"/>
        <v>0.4830000000000001</v>
      </c>
      <c r="H190" s="13"/>
      <c r="I190" s="13"/>
      <c r="J190" s="20"/>
      <c r="K190" s="20"/>
      <c r="L190" s="20"/>
      <c r="M190" s="20"/>
      <c r="N190" s="20">
        <f t="shared" si="120"/>
        <v>0.15000000000000002</v>
      </c>
      <c r="O190" s="13">
        <f t="shared" si="121"/>
        <v>3.22</v>
      </c>
      <c r="P190" s="13">
        <f t="shared" si="122"/>
        <v>0.4830000000000001</v>
      </c>
      <c r="Q190" s="13">
        <f t="shared" si="111"/>
        <v>0.82110000000000016</v>
      </c>
      <c r="R190" s="13"/>
      <c r="S190" s="13"/>
      <c r="T190" s="13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18"/>
      <c r="AF190" s="18"/>
      <c r="AG190" s="18"/>
      <c r="AH190" s="18"/>
      <c r="AI190" s="18"/>
      <c r="AJ190" s="18"/>
    </row>
    <row r="191" spans="1:36" ht="15.6" customHeight="1" x14ac:dyDescent="0.25">
      <c r="A191" s="8" t="s">
        <v>177</v>
      </c>
      <c r="B191" s="13">
        <v>2.5510000000000002</v>
      </c>
      <c r="C191" s="13">
        <v>-0.35</v>
      </c>
      <c r="D191" s="13">
        <f t="shared" si="83"/>
        <v>-0.43999999999999995</v>
      </c>
      <c r="E191" s="11">
        <f t="shared" si="94"/>
        <v>-0.59</v>
      </c>
      <c r="F191" s="11">
        <f t="shared" si="115"/>
        <v>0.15000000000000002</v>
      </c>
      <c r="G191" s="13">
        <f t="shared" si="116"/>
        <v>0.3826500000000001</v>
      </c>
      <c r="H191" s="13"/>
      <c r="I191" s="13"/>
      <c r="J191" s="20"/>
      <c r="K191" s="20"/>
      <c r="L191" s="20"/>
      <c r="M191" s="20"/>
      <c r="N191" s="20">
        <f t="shared" si="120"/>
        <v>0.15000000000000002</v>
      </c>
      <c r="O191" s="13">
        <f t="shared" si="121"/>
        <v>2.5510000000000002</v>
      </c>
      <c r="P191" s="13">
        <f t="shared" si="122"/>
        <v>0.3826500000000001</v>
      </c>
      <c r="Q191" s="13">
        <f t="shared" si="111"/>
        <v>0.65050500000000011</v>
      </c>
      <c r="R191" s="13"/>
      <c r="S191" s="13"/>
      <c r="T191" s="13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18"/>
      <c r="AF191" s="18"/>
      <c r="AG191" s="18"/>
      <c r="AH191" s="18"/>
      <c r="AI191" s="18"/>
      <c r="AJ191" s="18"/>
    </row>
    <row r="192" spans="1:36" ht="15.6" customHeight="1" x14ac:dyDescent="0.25">
      <c r="A192" s="8" t="s">
        <v>178</v>
      </c>
      <c r="B192" s="13">
        <v>26.940999999999999</v>
      </c>
      <c r="C192" s="13">
        <v>-0.33</v>
      </c>
      <c r="D192" s="13">
        <f t="shared" si="83"/>
        <v>-0.42000000000000004</v>
      </c>
      <c r="E192" s="11">
        <f t="shared" si="94"/>
        <v>-0.57000000000000006</v>
      </c>
      <c r="F192" s="11">
        <f t="shared" si="115"/>
        <v>0.15000000000000002</v>
      </c>
      <c r="G192" s="13">
        <f t="shared" si="116"/>
        <v>4.04115</v>
      </c>
      <c r="H192" s="13"/>
      <c r="I192" s="13"/>
      <c r="J192" s="20"/>
      <c r="K192" s="20"/>
      <c r="L192" s="20"/>
      <c r="M192" s="20"/>
      <c r="N192" s="20">
        <f t="shared" ref="N192:N197" si="123">F192</f>
        <v>0.15000000000000002</v>
      </c>
      <c r="O192" s="13">
        <f t="shared" ref="O192:O197" si="124">B192</f>
        <v>26.940999999999999</v>
      </c>
      <c r="P192" s="13">
        <f t="shared" ref="P192:P198" si="125">O192*N192</f>
        <v>4.04115</v>
      </c>
      <c r="Q192" s="13">
        <f t="shared" si="111"/>
        <v>6.869955</v>
      </c>
      <c r="R192" s="13"/>
      <c r="S192" s="13"/>
      <c r="T192" s="13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18"/>
      <c r="AF192" s="18"/>
      <c r="AG192" s="18"/>
      <c r="AH192" s="18"/>
      <c r="AI192" s="18"/>
      <c r="AJ192" s="18"/>
    </row>
    <row r="193" spans="1:36" ht="15.6" customHeight="1" x14ac:dyDescent="0.25">
      <c r="A193" s="8" t="s">
        <v>179</v>
      </c>
      <c r="B193" s="13">
        <v>8.1050000000000004</v>
      </c>
      <c r="C193" s="13">
        <v>-0.25</v>
      </c>
      <c r="D193" s="13">
        <f t="shared" si="83"/>
        <v>-0.33999999999999997</v>
      </c>
      <c r="E193" s="11">
        <f t="shared" si="94"/>
        <v>-0.49</v>
      </c>
      <c r="F193" s="11">
        <f t="shared" si="115"/>
        <v>0.15000000000000002</v>
      </c>
      <c r="G193" s="13">
        <f t="shared" si="116"/>
        <v>1.2157500000000003</v>
      </c>
      <c r="H193" s="13"/>
      <c r="I193" s="13"/>
      <c r="J193" s="20"/>
      <c r="K193" s="20"/>
      <c r="L193" s="20"/>
      <c r="M193" s="20"/>
      <c r="N193" s="20">
        <f t="shared" si="123"/>
        <v>0.15000000000000002</v>
      </c>
      <c r="O193" s="13">
        <f t="shared" si="124"/>
        <v>8.1050000000000004</v>
      </c>
      <c r="P193" s="13">
        <f t="shared" si="125"/>
        <v>1.2157500000000003</v>
      </c>
      <c r="Q193" s="13">
        <f t="shared" si="111"/>
        <v>2.0667750000000007</v>
      </c>
      <c r="R193" s="13"/>
      <c r="S193" s="13"/>
      <c r="T193" s="13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18"/>
      <c r="AF193" s="18"/>
      <c r="AG193" s="18"/>
      <c r="AH193" s="18"/>
      <c r="AI193" s="18"/>
      <c r="AJ193" s="18"/>
    </row>
    <row r="194" spans="1:36" ht="15.6" customHeight="1" x14ac:dyDescent="0.25">
      <c r="A194" s="8" t="s">
        <v>180</v>
      </c>
      <c r="B194" s="13">
        <v>1.3240000000000001</v>
      </c>
      <c r="C194" s="13">
        <v>-0.3</v>
      </c>
      <c r="D194" s="13">
        <f t="shared" si="83"/>
        <v>-0.39</v>
      </c>
      <c r="E194" s="11">
        <f t="shared" si="94"/>
        <v>-0.54</v>
      </c>
      <c r="F194" s="11">
        <f t="shared" si="115"/>
        <v>0.15000000000000002</v>
      </c>
      <c r="G194" s="13">
        <f t="shared" si="116"/>
        <v>0.19860000000000003</v>
      </c>
      <c r="H194" s="13"/>
      <c r="I194" s="13"/>
      <c r="J194" s="20"/>
      <c r="K194" s="20"/>
      <c r="L194" s="20"/>
      <c r="M194" s="20"/>
      <c r="N194" s="20">
        <f t="shared" ref="N194" si="126">F194</f>
        <v>0.15000000000000002</v>
      </c>
      <c r="O194" s="13">
        <f t="shared" ref="O194" si="127">B194</f>
        <v>1.3240000000000001</v>
      </c>
      <c r="P194" s="13">
        <f t="shared" ref="P194" si="128">O194*N194</f>
        <v>0.19860000000000003</v>
      </c>
      <c r="Q194" s="13">
        <f t="shared" si="111"/>
        <v>0.33762000000000003</v>
      </c>
      <c r="R194" s="13"/>
      <c r="S194" s="13"/>
      <c r="T194" s="13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18"/>
      <c r="AF194" s="18"/>
      <c r="AG194" s="18"/>
      <c r="AH194" s="18"/>
      <c r="AI194" s="18"/>
      <c r="AJ194" s="18"/>
    </row>
    <row r="195" spans="1:36" ht="15.6" customHeight="1" x14ac:dyDescent="0.25">
      <c r="A195" s="8" t="s">
        <v>181</v>
      </c>
      <c r="B195" s="13">
        <v>3.2629999999999999</v>
      </c>
      <c r="C195" s="13">
        <v>-0.36</v>
      </c>
      <c r="D195" s="13">
        <f t="shared" si="83"/>
        <v>-0.44999999999999996</v>
      </c>
      <c r="E195" s="11">
        <f t="shared" si="94"/>
        <v>-0.6</v>
      </c>
      <c r="F195" s="11">
        <f t="shared" si="115"/>
        <v>0.15000000000000002</v>
      </c>
      <c r="G195" s="13">
        <f t="shared" si="116"/>
        <v>0.48945000000000005</v>
      </c>
      <c r="H195" s="13"/>
      <c r="I195" s="13"/>
      <c r="J195" s="20"/>
      <c r="K195" s="20"/>
      <c r="L195" s="20"/>
      <c r="M195" s="20"/>
      <c r="N195" s="20">
        <f t="shared" si="123"/>
        <v>0.15000000000000002</v>
      </c>
      <c r="O195" s="13">
        <f t="shared" si="124"/>
        <v>3.2629999999999999</v>
      </c>
      <c r="P195" s="13">
        <f t="shared" si="125"/>
        <v>0.48945000000000005</v>
      </c>
      <c r="Q195" s="13">
        <f t="shared" si="111"/>
        <v>0.83206500000000005</v>
      </c>
      <c r="R195" s="13"/>
      <c r="S195" s="13"/>
      <c r="T195" s="13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18"/>
      <c r="AF195" s="18"/>
      <c r="AG195" s="18"/>
      <c r="AH195" s="18"/>
      <c r="AI195" s="18"/>
      <c r="AJ195" s="18"/>
    </row>
    <row r="196" spans="1:36" ht="15.6" customHeight="1" x14ac:dyDescent="0.25">
      <c r="A196" s="8" t="s">
        <v>182</v>
      </c>
      <c r="B196" s="13">
        <v>0.52800000000000002</v>
      </c>
      <c r="C196" s="13">
        <v>-0.39</v>
      </c>
      <c r="D196" s="13">
        <f t="shared" si="83"/>
        <v>-0.48</v>
      </c>
      <c r="E196" s="11">
        <f t="shared" si="94"/>
        <v>-0.63</v>
      </c>
      <c r="F196" s="11">
        <f t="shared" si="115"/>
        <v>0.15000000000000002</v>
      </c>
      <c r="G196" s="13">
        <f t="shared" si="116"/>
        <v>7.920000000000002E-2</v>
      </c>
      <c r="H196" s="13"/>
      <c r="I196" s="13"/>
      <c r="J196" s="20"/>
      <c r="K196" s="20"/>
      <c r="L196" s="20"/>
      <c r="M196" s="20"/>
      <c r="N196" s="20">
        <f t="shared" si="123"/>
        <v>0.15000000000000002</v>
      </c>
      <c r="O196" s="13">
        <f t="shared" si="124"/>
        <v>0.52800000000000002</v>
      </c>
      <c r="P196" s="13">
        <f t="shared" si="125"/>
        <v>7.920000000000002E-2</v>
      </c>
      <c r="Q196" s="13">
        <f t="shared" si="111"/>
        <v>0.13464000000000004</v>
      </c>
      <c r="R196" s="13"/>
      <c r="S196" s="13"/>
      <c r="T196" s="13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18"/>
      <c r="AF196" s="18"/>
      <c r="AG196" s="18"/>
      <c r="AH196" s="18"/>
      <c r="AI196" s="18"/>
      <c r="AJ196" s="18"/>
    </row>
    <row r="197" spans="1:36" ht="15.6" customHeight="1" x14ac:dyDescent="0.25">
      <c r="A197" s="8" t="s">
        <v>183</v>
      </c>
      <c r="B197" s="13">
        <v>5.4989999999999997</v>
      </c>
      <c r="C197" s="13">
        <v>-0.35</v>
      </c>
      <c r="D197" s="13">
        <f t="shared" si="83"/>
        <v>-0.43999999999999995</v>
      </c>
      <c r="E197" s="11">
        <f t="shared" si="94"/>
        <v>-0.59</v>
      </c>
      <c r="F197" s="11">
        <f t="shared" si="115"/>
        <v>0.15000000000000002</v>
      </c>
      <c r="G197" s="13">
        <f t="shared" si="116"/>
        <v>0.82485000000000008</v>
      </c>
      <c r="H197" s="13"/>
      <c r="I197" s="13"/>
      <c r="J197" s="20"/>
      <c r="K197" s="20"/>
      <c r="L197" s="20"/>
      <c r="M197" s="20"/>
      <c r="N197" s="20">
        <f t="shared" si="123"/>
        <v>0.15000000000000002</v>
      </c>
      <c r="O197" s="13">
        <f t="shared" si="124"/>
        <v>5.4989999999999997</v>
      </c>
      <c r="P197" s="13">
        <f t="shared" si="125"/>
        <v>0.82485000000000008</v>
      </c>
      <c r="Q197" s="13">
        <f t="shared" si="111"/>
        <v>1.4022450000000002</v>
      </c>
      <c r="R197" s="13"/>
      <c r="S197" s="13"/>
      <c r="T197" s="13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18"/>
      <c r="AF197" s="18"/>
      <c r="AG197" s="18"/>
      <c r="AH197" s="18"/>
      <c r="AI197" s="18"/>
      <c r="AJ197" s="18"/>
    </row>
    <row r="198" spans="1:36" ht="15.6" customHeight="1" x14ac:dyDescent="0.25">
      <c r="A198" s="8" t="s">
        <v>184</v>
      </c>
      <c r="B198" s="13">
        <v>1.6060000000000001</v>
      </c>
      <c r="C198" s="13">
        <v>-0.53</v>
      </c>
      <c r="D198" s="13">
        <f t="shared" si="83"/>
        <v>-0.62</v>
      </c>
      <c r="E198" s="11">
        <f t="shared" si="94"/>
        <v>-0.77</v>
      </c>
      <c r="F198" s="11">
        <f t="shared" si="115"/>
        <v>0.15000000000000002</v>
      </c>
      <c r="G198" s="13">
        <f t="shared" si="116"/>
        <v>0.24090000000000006</v>
      </c>
      <c r="H198" s="13"/>
      <c r="I198" s="13"/>
      <c r="J198" s="20"/>
      <c r="K198" s="13"/>
      <c r="L198" s="13"/>
      <c r="M198" s="13"/>
      <c r="N198" s="20">
        <f>F198</f>
        <v>0.15000000000000002</v>
      </c>
      <c r="O198" s="13">
        <f>B198</f>
        <v>1.6060000000000001</v>
      </c>
      <c r="P198" s="13">
        <f t="shared" si="125"/>
        <v>0.24090000000000006</v>
      </c>
      <c r="Q198" s="13">
        <f t="shared" si="111"/>
        <v>0.40953000000000012</v>
      </c>
      <c r="R198" s="13"/>
      <c r="S198" s="13"/>
      <c r="T198" s="13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18"/>
      <c r="AF198" s="18"/>
      <c r="AG198" s="18"/>
      <c r="AH198" s="18"/>
      <c r="AI198" s="18"/>
      <c r="AJ198" s="18"/>
    </row>
    <row r="199" spans="1:36" ht="15.6" customHeight="1" x14ac:dyDescent="0.25">
      <c r="A199" s="8" t="s">
        <v>185</v>
      </c>
      <c r="B199" s="13">
        <v>17.122</v>
      </c>
      <c r="C199" s="13">
        <v>-0.38</v>
      </c>
      <c r="D199" s="13">
        <f t="shared" si="83"/>
        <v>-0.47</v>
      </c>
      <c r="E199" s="11">
        <v>-0.83</v>
      </c>
      <c r="F199" s="11">
        <f t="shared" si="115"/>
        <v>0.36</v>
      </c>
      <c r="G199" s="13">
        <f t="shared" si="116"/>
        <v>6.1639200000000001</v>
      </c>
      <c r="H199" s="13"/>
      <c r="I199" s="13"/>
      <c r="J199" s="20"/>
      <c r="K199" s="20"/>
      <c r="L199" s="20"/>
      <c r="M199" s="20"/>
      <c r="N199" s="20">
        <f t="shared" ref="N199" si="129">F199</f>
        <v>0.36</v>
      </c>
      <c r="O199" s="13">
        <f t="shared" ref="O199" si="130">B199</f>
        <v>17.122</v>
      </c>
      <c r="P199" s="13">
        <f t="shared" ref="P199" si="131">O199*N199</f>
        <v>6.1639200000000001</v>
      </c>
      <c r="Q199" s="13">
        <f t="shared" si="111"/>
        <v>10.478664</v>
      </c>
      <c r="R199" s="13"/>
      <c r="S199" s="13"/>
      <c r="T199" s="13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18"/>
      <c r="AF199" s="18"/>
      <c r="AG199" s="18"/>
      <c r="AH199" s="18"/>
      <c r="AI199" s="18"/>
      <c r="AJ199" s="18"/>
    </row>
    <row r="200" spans="1:36" ht="15.6" customHeight="1" x14ac:dyDescent="0.25">
      <c r="A200" s="8" t="s">
        <v>186</v>
      </c>
      <c r="B200" s="13">
        <f>3.842+0.56</f>
        <v>4.4020000000000001</v>
      </c>
      <c r="C200" s="13">
        <v>-0.42</v>
      </c>
      <c r="D200" s="13">
        <f t="shared" ref="D200:D223" si="132">C200-0.09</f>
        <v>-0.51</v>
      </c>
      <c r="E200" s="11">
        <f t="shared" si="94"/>
        <v>-0.66</v>
      </c>
      <c r="F200" s="11">
        <f t="shared" si="115"/>
        <v>0.15000000000000002</v>
      </c>
      <c r="G200" s="13">
        <f t="shared" si="116"/>
        <v>0.66030000000000011</v>
      </c>
      <c r="H200" s="13"/>
      <c r="I200" s="13"/>
      <c r="J200" s="20"/>
      <c r="K200" s="20"/>
      <c r="L200" s="20"/>
      <c r="M200" s="20"/>
      <c r="N200" s="20">
        <f t="shared" ref="N200" si="133">F200</f>
        <v>0.15000000000000002</v>
      </c>
      <c r="O200" s="13">
        <f t="shared" ref="O200" si="134">B200</f>
        <v>4.4020000000000001</v>
      </c>
      <c r="P200" s="13">
        <f t="shared" ref="P200" si="135">O200*N200</f>
        <v>0.66030000000000011</v>
      </c>
      <c r="Q200" s="13">
        <f t="shared" si="111"/>
        <v>1.1225100000000001</v>
      </c>
      <c r="R200" s="13"/>
      <c r="S200" s="13"/>
      <c r="T200" s="13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18"/>
      <c r="AF200" s="18"/>
      <c r="AG200" s="18"/>
      <c r="AH200" s="18"/>
      <c r="AI200" s="18"/>
      <c r="AJ200" s="18"/>
    </row>
    <row r="201" spans="1:36" ht="15.6" customHeight="1" x14ac:dyDescent="0.25">
      <c r="A201" s="8" t="s">
        <v>187</v>
      </c>
      <c r="B201" s="13">
        <f>6.662+0.544</f>
        <v>7.2059999999999995</v>
      </c>
      <c r="C201" s="13">
        <v>-0.35</v>
      </c>
      <c r="D201" s="13">
        <f t="shared" si="132"/>
        <v>-0.43999999999999995</v>
      </c>
      <c r="E201" s="11">
        <f t="shared" si="94"/>
        <v>-0.59</v>
      </c>
      <c r="F201" s="11">
        <f t="shared" si="115"/>
        <v>0.15000000000000002</v>
      </c>
      <c r="G201" s="13">
        <f t="shared" si="116"/>
        <v>1.0809000000000002</v>
      </c>
      <c r="H201" s="13"/>
      <c r="I201" s="13"/>
      <c r="J201" s="20"/>
      <c r="K201" s="20"/>
      <c r="L201" s="20"/>
      <c r="M201" s="20"/>
      <c r="N201" s="20">
        <f t="shared" ref="N201" si="136">F201</f>
        <v>0.15000000000000002</v>
      </c>
      <c r="O201" s="13">
        <f t="shared" ref="O201" si="137">B201</f>
        <v>7.2059999999999995</v>
      </c>
      <c r="P201" s="13">
        <f t="shared" ref="P201" si="138">O201*N201</f>
        <v>1.0809000000000002</v>
      </c>
      <c r="Q201" s="13">
        <f t="shared" si="111"/>
        <v>1.8375300000000003</v>
      </c>
      <c r="R201" s="13"/>
      <c r="S201" s="13"/>
      <c r="T201" s="13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18"/>
      <c r="AF201" s="18"/>
      <c r="AG201" s="18"/>
      <c r="AH201" s="18"/>
      <c r="AI201" s="18"/>
      <c r="AJ201" s="18"/>
    </row>
    <row r="202" spans="1:36" ht="15.6" customHeight="1" x14ac:dyDescent="0.25">
      <c r="A202" s="8" t="s">
        <v>188</v>
      </c>
      <c r="B202" s="13">
        <v>7.85</v>
      </c>
      <c r="C202" s="13">
        <v>-0.41</v>
      </c>
      <c r="D202" s="13">
        <f t="shared" si="132"/>
        <v>-0.5</v>
      </c>
      <c r="E202" s="11">
        <f t="shared" si="94"/>
        <v>-0.65</v>
      </c>
      <c r="F202" s="11">
        <f t="shared" si="115"/>
        <v>0.15000000000000002</v>
      </c>
      <c r="G202" s="13">
        <f t="shared" si="116"/>
        <v>1.1775000000000002</v>
      </c>
      <c r="H202" s="13"/>
      <c r="I202" s="13"/>
      <c r="J202" s="20"/>
      <c r="K202" s="20"/>
      <c r="L202" s="20"/>
      <c r="M202" s="20"/>
      <c r="N202" s="20">
        <f t="shared" ref="N202:N205" si="139">F202</f>
        <v>0.15000000000000002</v>
      </c>
      <c r="O202" s="13">
        <f t="shared" ref="O202:O205" si="140">B202</f>
        <v>7.85</v>
      </c>
      <c r="P202" s="13">
        <f t="shared" ref="P202:P205" si="141">O202*N202</f>
        <v>1.1775000000000002</v>
      </c>
      <c r="Q202" s="13">
        <f t="shared" si="111"/>
        <v>2.0017500000000004</v>
      </c>
      <c r="R202" s="13"/>
      <c r="S202" s="13"/>
      <c r="T202" s="13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18"/>
      <c r="AF202" s="18"/>
      <c r="AG202" s="18"/>
      <c r="AH202" s="18"/>
      <c r="AI202" s="18"/>
      <c r="AJ202" s="18"/>
    </row>
    <row r="203" spans="1:36" ht="15.6" customHeight="1" x14ac:dyDescent="0.25">
      <c r="A203" s="8" t="s">
        <v>189</v>
      </c>
      <c r="B203" s="13">
        <v>0.93600000000000005</v>
      </c>
      <c r="C203" s="13">
        <v>-0.41</v>
      </c>
      <c r="D203" s="13">
        <f t="shared" si="132"/>
        <v>-0.5</v>
      </c>
      <c r="E203" s="11">
        <f t="shared" si="94"/>
        <v>-0.65</v>
      </c>
      <c r="F203" s="11">
        <f t="shared" si="115"/>
        <v>0.15000000000000002</v>
      </c>
      <c r="G203" s="13">
        <f t="shared" si="116"/>
        <v>0.14040000000000002</v>
      </c>
      <c r="H203" s="13"/>
      <c r="I203" s="13"/>
      <c r="J203" s="20"/>
      <c r="K203" s="20"/>
      <c r="L203" s="20"/>
      <c r="M203" s="20"/>
      <c r="N203" s="20">
        <f t="shared" si="139"/>
        <v>0.15000000000000002</v>
      </c>
      <c r="O203" s="13">
        <f t="shared" si="140"/>
        <v>0.93600000000000005</v>
      </c>
      <c r="P203" s="13">
        <f t="shared" si="141"/>
        <v>0.14040000000000002</v>
      </c>
      <c r="Q203" s="13">
        <f t="shared" si="111"/>
        <v>0.23868000000000003</v>
      </c>
      <c r="R203" s="13"/>
      <c r="S203" s="13"/>
      <c r="T203" s="13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18"/>
      <c r="AF203" s="18"/>
      <c r="AG203" s="18"/>
      <c r="AH203" s="18"/>
      <c r="AI203" s="18"/>
      <c r="AJ203" s="18"/>
    </row>
    <row r="204" spans="1:36" ht="15.6" customHeight="1" x14ac:dyDescent="0.25">
      <c r="A204" s="8" t="s">
        <v>190</v>
      </c>
      <c r="B204" s="13">
        <v>18.119</v>
      </c>
      <c r="C204" s="13">
        <v>-0.35</v>
      </c>
      <c r="D204" s="13">
        <f t="shared" si="132"/>
        <v>-0.43999999999999995</v>
      </c>
      <c r="E204" s="11">
        <f t="shared" si="94"/>
        <v>-0.59</v>
      </c>
      <c r="F204" s="11">
        <f t="shared" si="115"/>
        <v>0.15000000000000002</v>
      </c>
      <c r="G204" s="13">
        <f t="shared" si="116"/>
        <v>2.7178500000000003</v>
      </c>
      <c r="H204" s="13"/>
      <c r="I204" s="13"/>
      <c r="J204" s="20"/>
      <c r="K204" s="20"/>
      <c r="L204" s="20"/>
      <c r="M204" s="20"/>
      <c r="N204" s="20">
        <f t="shared" si="139"/>
        <v>0.15000000000000002</v>
      </c>
      <c r="O204" s="13">
        <f t="shared" si="140"/>
        <v>18.119</v>
      </c>
      <c r="P204" s="13">
        <f t="shared" si="141"/>
        <v>2.7178500000000003</v>
      </c>
      <c r="Q204" s="13">
        <f t="shared" si="111"/>
        <v>4.6203450000000004</v>
      </c>
      <c r="R204" s="13"/>
      <c r="S204" s="13"/>
      <c r="T204" s="13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18"/>
      <c r="AF204" s="18"/>
      <c r="AG204" s="18"/>
      <c r="AH204" s="18"/>
      <c r="AI204" s="18"/>
      <c r="AJ204" s="18"/>
    </row>
    <row r="205" spans="1:36" ht="15.6" customHeight="1" x14ac:dyDescent="0.25">
      <c r="A205" s="8" t="s">
        <v>191</v>
      </c>
      <c r="B205" s="13">
        <v>4.3680000000000003</v>
      </c>
      <c r="C205" s="13">
        <v>-0.31</v>
      </c>
      <c r="D205" s="13">
        <f t="shared" si="132"/>
        <v>-0.4</v>
      </c>
      <c r="E205" s="11">
        <f t="shared" si="94"/>
        <v>-0.55000000000000004</v>
      </c>
      <c r="F205" s="11">
        <f t="shared" si="115"/>
        <v>0.15000000000000002</v>
      </c>
      <c r="G205" s="13">
        <f t="shared" si="116"/>
        <v>0.65520000000000012</v>
      </c>
      <c r="H205" s="13"/>
      <c r="I205" s="13"/>
      <c r="J205" s="20"/>
      <c r="K205" s="20"/>
      <c r="L205" s="20"/>
      <c r="M205" s="20"/>
      <c r="N205" s="20">
        <f t="shared" si="139"/>
        <v>0.15000000000000002</v>
      </c>
      <c r="O205" s="13">
        <f t="shared" si="140"/>
        <v>4.3680000000000003</v>
      </c>
      <c r="P205" s="13">
        <f t="shared" si="141"/>
        <v>0.65520000000000012</v>
      </c>
      <c r="Q205" s="13">
        <f t="shared" si="111"/>
        <v>1.1138400000000002</v>
      </c>
      <c r="R205" s="13"/>
      <c r="S205" s="13"/>
      <c r="T205" s="13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18"/>
      <c r="AF205" s="18"/>
      <c r="AG205" s="18"/>
      <c r="AH205" s="18"/>
      <c r="AI205" s="18"/>
      <c r="AJ205" s="18"/>
    </row>
    <row r="206" spans="1:36" ht="15.6" customHeight="1" x14ac:dyDescent="0.25">
      <c r="A206" s="8" t="s">
        <v>192</v>
      </c>
      <c r="B206" s="13">
        <v>13.542</v>
      </c>
      <c r="C206" s="13">
        <v>-0.32</v>
      </c>
      <c r="D206" s="13">
        <f t="shared" si="132"/>
        <v>-0.41000000000000003</v>
      </c>
      <c r="E206" s="11">
        <f t="shared" ref="E206:E223" si="142">D206-0.15</f>
        <v>-0.56000000000000005</v>
      </c>
      <c r="F206" s="11">
        <f t="shared" si="115"/>
        <v>0.15000000000000002</v>
      </c>
      <c r="G206" s="13">
        <f t="shared" si="116"/>
        <v>2.0313000000000003</v>
      </c>
      <c r="H206" s="13"/>
      <c r="I206" s="13"/>
      <c r="J206" s="20"/>
      <c r="K206" s="20"/>
      <c r="L206" s="20"/>
      <c r="M206" s="20"/>
      <c r="N206" s="20">
        <f t="shared" ref="N206" si="143">F206</f>
        <v>0.15000000000000002</v>
      </c>
      <c r="O206" s="13">
        <f t="shared" ref="O206" si="144">B206</f>
        <v>13.542</v>
      </c>
      <c r="P206" s="13">
        <f t="shared" ref="P206" si="145">O206*N206</f>
        <v>2.0313000000000003</v>
      </c>
      <c r="Q206" s="13">
        <f t="shared" si="111"/>
        <v>3.4532100000000003</v>
      </c>
      <c r="R206" s="13"/>
      <c r="S206" s="13"/>
      <c r="T206" s="13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18"/>
      <c r="AF206" s="18"/>
      <c r="AG206" s="18"/>
      <c r="AH206" s="18"/>
      <c r="AI206" s="18"/>
      <c r="AJ206" s="18"/>
    </row>
    <row r="207" spans="1:36" ht="15.6" customHeight="1" x14ac:dyDescent="0.25">
      <c r="A207" s="8" t="s">
        <v>193</v>
      </c>
      <c r="B207" s="13">
        <v>11.365</v>
      </c>
      <c r="C207" s="13">
        <v>-0.31</v>
      </c>
      <c r="D207" s="13">
        <f t="shared" si="132"/>
        <v>-0.4</v>
      </c>
      <c r="E207" s="11">
        <f t="shared" si="142"/>
        <v>-0.55000000000000004</v>
      </c>
      <c r="F207" s="11">
        <f t="shared" si="115"/>
        <v>0.15000000000000002</v>
      </c>
      <c r="G207" s="13">
        <f t="shared" si="116"/>
        <v>1.7047500000000002</v>
      </c>
      <c r="H207" s="13"/>
      <c r="I207" s="13"/>
      <c r="J207" s="20"/>
      <c r="K207" s="20"/>
      <c r="L207" s="20"/>
      <c r="M207" s="20"/>
      <c r="N207" s="20">
        <f t="shared" ref="N207:N211" si="146">F207</f>
        <v>0.15000000000000002</v>
      </c>
      <c r="O207" s="13">
        <f t="shared" ref="O207:O211" si="147">B207</f>
        <v>11.365</v>
      </c>
      <c r="P207" s="13">
        <f t="shared" ref="P207:P211" si="148">O207*N207</f>
        <v>1.7047500000000002</v>
      </c>
      <c r="Q207" s="13">
        <f t="shared" si="111"/>
        <v>2.8980750000000004</v>
      </c>
      <c r="R207" s="13"/>
      <c r="S207" s="13"/>
      <c r="T207" s="13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18"/>
      <c r="AF207" s="18"/>
      <c r="AG207" s="18"/>
      <c r="AH207" s="18"/>
      <c r="AI207" s="18"/>
      <c r="AJ207" s="18"/>
    </row>
    <row r="208" spans="1:36" ht="15.6" customHeight="1" x14ac:dyDescent="0.25">
      <c r="A208" s="8" t="s">
        <v>194</v>
      </c>
      <c r="B208" s="13">
        <v>9.8109999999999999</v>
      </c>
      <c r="C208" s="13">
        <v>-0.33</v>
      </c>
      <c r="D208" s="13">
        <f t="shared" si="132"/>
        <v>-0.42000000000000004</v>
      </c>
      <c r="E208" s="11">
        <f t="shared" si="142"/>
        <v>-0.57000000000000006</v>
      </c>
      <c r="F208" s="11">
        <f t="shared" si="115"/>
        <v>0.15000000000000002</v>
      </c>
      <c r="G208" s="13">
        <f t="shared" si="116"/>
        <v>1.4716500000000001</v>
      </c>
      <c r="H208" s="13"/>
      <c r="I208" s="13"/>
      <c r="J208" s="20"/>
      <c r="K208" s="20"/>
      <c r="L208" s="20"/>
      <c r="M208" s="20"/>
      <c r="N208" s="20">
        <f t="shared" si="146"/>
        <v>0.15000000000000002</v>
      </c>
      <c r="O208" s="13">
        <f t="shared" si="147"/>
        <v>9.8109999999999999</v>
      </c>
      <c r="P208" s="13">
        <f t="shared" si="148"/>
        <v>1.4716500000000001</v>
      </c>
      <c r="Q208" s="13">
        <f t="shared" si="111"/>
        <v>2.5018050000000001</v>
      </c>
      <c r="R208" s="13"/>
      <c r="S208" s="13"/>
      <c r="T208" s="13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18"/>
      <c r="AF208" s="18"/>
      <c r="AG208" s="18"/>
      <c r="AH208" s="18"/>
      <c r="AI208" s="18"/>
      <c r="AJ208" s="18"/>
    </row>
    <row r="209" spans="1:36" ht="15.6" customHeight="1" x14ac:dyDescent="0.25">
      <c r="A209" s="8" t="s">
        <v>195</v>
      </c>
      <c r="B209" s="13">
        <f>2.45+1.978</f>
        <v>4.4279999999999999</v>
      </c>
      <c r="C209" s="13">
        <v>-0.28000000000000003</v>
      </c>
      <c r="D209" s="13">
        <f t="shared" si="132"/>
        <v>-0.37</v>
      </c>
      <c r="E209" s="11">
        <f t="shared" si="142"/>
        <v>-0.52</v>
      </c>
      <c r="F209" s="11">
        <f t="shared" si="115"/>
        <v>0.15000000000000002</v>
      </c>
      <c r="G209" s="13">
        <f t="shared" si="116"/>
        <v>0.66420000000000012</v>
      </c>
      <c r="H209" s="13"/>
      <c r="I209" s="13"/>
      <c r="J209" s="20"/>
      <c r="K209" s="20"/>
      <c r="L209" s="20"/>
      <c r="M209" s="20"/>
      <c r="N209" s="20">
        <f t="shared" si="146"/>
        <v>0.15000000000000002</v>
      </c>
      <c r="O209" s="13">
        <f t="shared" si="147"/>
        <v>4.4279999999999999</v>
      </c>
      <c r="P209" s="13">
        <f t="shared" si="148"/>
        <v>0.66420000000000012</v>
      </c>
      <c r="Q209" s="13">
        <f t="shared" si="111"/>
        <v>1.1291400000000003</v>
      </c>
      <c r="R209" s="13"/>
      <c r="S209" s="13"/>
      <c r="T209" s="13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18"/>
      <c r="AF209" s="18"/>
      <c r="AG209" s="18"/>
      <c r="AH209" s="18"/>
      <c r="AI209" s="18"/>
      <c r="AJ209" s="18"/>
    </row>
    <row r="210" spans="1:36" ht="15.6" customHeight="1" x14ac:dyDescent="0.25">
      <c r="A210" s="8" t="s">
        <v>196</v>
      </c>
      <c r="B210" s="13">
        <v>2.859</v>
      </c>
      <c r="C210" s="13">
        <v>-0.34</v>
      </c>
      <c r="D210" s="13">
        <f t="shared" si="132"/>
        <v>-0.43000000000000005</v>
      </c>
      <c r="E210" s="11">
        <f t="shared" si="142"/>
        <v>-0.58000000000000007</v>
      </c>
      <c r="F210" s="11">
        <f t="shared" si="115"/>
        <v>0.15000000000000002</v>
      </c>
      <c r="G210" s="13">
        <f t="shared" si="116"/>
        <v>0.42885000000000006</v>
      </c>
      <c r="H210" s="13"/>
      <c r="I210" s="13"/>
      <c r="J210" s="20"/>
      <c r="K210" s="20"/>
      <c r="L210" s="20"/>
      <c r="M210" s="20"/>
      <c r="N210" s="20">
        <f t="shared" si="146"/>
        <v>0.15000000000000002</v>
      </c>
      <c r="O210" s="13">
        <f t="shared" si="147"/>
        <v>2.859</v>
      </c>
      <c r="P210" s="13">
        <f t="shared" si="148"/>
        <v>0.42885000000000006</v>
      </c>
      <c r="Q210" s="13">
        <f t="shared" si="111"/>
        <v>0.72904500000000005</v>
      </c>
      <c r="R210" s="13"/>
      <c r="S210" s="13"/>
      <c r="T210" s="13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18"/>
      <c r="AF210" s="18"/>
      <c r="AG210" s="18"/>
      <c r="AH210" s="18"/>
      <c r="AI210" s="18"/>
      <c r="AJ210" s="18"/>
    </row>
    <row r="211" spans="1:36" ht="15.6" customHeight="1" x14ac:dyDescent="0.25">
      <c r="A211" s="8" t="s">
        <v>197</v>
      </c>
      <c r="B211" s="13">
        <v>3.149</v>
      </c>
      <c r="C211" s="13">
        <v>-0.27</v>
      </c>
      <c r="D211" s="13">
        <f t="shared" si="132"/>
        <v>-0.36</v>
      </c>
      <c r="E211" s="11">
        <f t="shared" si="142"/>
        <v>-0.51</v>
      </c>
      <c r="F211" s="11">
        <f t="shared" si="115"/>
        <v>0.15000000000000002</v>
      </c>
      <c r="G211" s="13">
        <f t="shared" si="116"/>
        <v>0.47235000000000005</v>
      </c>
      <c r="H211" s="13"/>
      <c r="I211" s="13"/>
      <c r="J211" s="20"/>
      <c r="K211" s="20"/>
      <c r="L211" s="20"/>
      <c r="M211" s="20"/>
      <c r="N211" s="20">
        <f t="shared" si="146"/>
        <v>0.15000000000000002</v>
      </c>
      <c r="O211" s="13">
        <f t="shared" si="147"/>
        <v>3.149</v>
      </c>
      <c r="P211" s="13">
        <f t="shared" si="148"/>
        <v>0.47235000000000005</v>
      </c>
      <c r="Q211" s="13">
        <f t="shared" si="111"/>
        <v>0.80299500000000001</v>
      </c>
      <c r="R211" s="13"/>
      <c r="S211" s="13"/>
      <c r="T211" s="13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18"/>
      <c r="AF211" s="18"/>
      <c r="AG211" s="18"/>
      <c r="AH211" s="18"/>
      <c r="AI211" s="18"/>
      <c r="AJ211" s="18"/>
    </row>
    <row r="212" spans="1:36" ht="15.6" customHeight="1" x14ac:dyDescent="0.25">
      <c r="A212" s="8" t="s">
        <v>198</v>
      </c>
      <c r="B212" s="13">
        <v>4.2110000000000003</v>
      </c>
      <c r="C212" s="13">
        <v>-0.34</v>
      </c>
      <c r="D212" s="13">
        <f t="shared" si="132"/>
        <v>-0.43000000000000005</v>
      </c>
      <c r="E212" s="11">
        <f t="shared" si="142"/>
        <v>-0.58000000000000007</v>
      </c>
      <c r="F212" s="11">
        <f t="shared" si="115"/>
        <v>0.15000000000000002</v>
      </c>
      <c r="G212" s="13">
        <f t="shared" si="116"/>
        <v>0.63165000000000016</v>
      </c>
      <c r="H212" s="13"/>
      <c r="I212" s="13"/>
      <c r="J212" s="20"/>
      <c r="K212" s="20"/>
      <c r="L212" s="20"/>
      <c r="M212" s="20"/>
      <c r="N212" s="20">
        <f t="shared" ref="N212" si="149">F212</f>
        <v>0.15000000000000002</v>
      </c>
      <c r="O212" s="13">
        <f t="shared" ref="O212" si="150">B212</f>
        <v>4.2110000000000003</v>
      </c>
      <c r="P212" s="13">
        <f t="shared" ref="P212" si="151">O212*N212</f>
        <v>0.63165000000000016</v>
      </c>
      <c r="Q212" s="13">
        <f t="shared" si="111"/>
        <v>1.0738050000000003</v>
      </c>
      <c r="R212" s="13"/>
      <c r="S212" s="13"/>
      <c r="T212" s="13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18"/>
      <c r="AF212" s="18"/>
      <c r="AG212" s="18"/>
      <c r="AH212" s="18"/>
      <c r="AI212" s="18"/>
      <c r="AJ212" s="18"/>
    </row>
    <row r="213" spans="1:36" ht="15.6" customHeight="1" x14ac:dyDescent="0.25">
      <c r="A213" s="8" t="s">
        <v>199</v>
      </c>
      <c r="B213" s="13">
        <v>0.58399999999999996</v>
      </c>
      <c r="C213" s="13">
        <v>-0.27</v>
      </c>
      <c r="D213" s="13">
        <f t="shared" si="132"/>
        <v>-0.36</v>
      </c>
      <c r="E213" s="11">
        <f t="shared" si="142"/>
        <v>-0.51</v>
      </c>
      <c r="F213" s="11">
        <f t="shared" si="115"/>
        <v>0.15000000000000002</v>
      </c>
      <c r="G213" s="13">
        <f t="shared" si="116"/>
        <v>8.7600000000000011E-2</v>
      </c>
      <c r="H213" s="13"/>
      <c r="I213" s="13"/>
      <c r="J213" s="20"/>
      <c r="K213" s="20"/>
      <c r="L213" s="20"/>
      <c r="M213" s="20"/>
      <c r="N213" s="20">
        <f t="shared" ref="N213" si="152">F213</f>
        <v>0.15000000000000002</v>
      </c>
      <c r="O213" s="13">
        <f t="shared" ref="O213" si="153">B213</f>
        <v>0.58399999999999996</v>
      </c>
      <c r="P213" s="13">
        <f t="shared" ref="P213" si="154">O213*N213</f>
        <v>8.7600000000000011E-2</v>
      </c>
      <c r="Q213" s="13">
        <f t="shared" si="111"/>
        <v>0.14892000000000002</v>
      </c>
      <c r="R213" s="13"/>
      <c r="S213" s="13"/>
      <c r="T213" s="13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18"/>
      <c r="AF213" s="18"/>
      <c r="AG213" s="18"/>
      <c r="AH213" s="18"/>
      <c r="AI213" s="18"/>
      <c r="AJ213" s="18"/>
    </row>
    <row r="214" spans="1:36" ht="15.6" customHeight="1" x14ac:dyDescent="0.25">
      <c r="A214" s="8" t="s">
        <v>200</v>
      </c>
      <c r="B214" s="13">
        <f>1.792+0.665</f>
        <v>2.4569999999999999</v>
      </c>
      <c r="C214" s="13">
        <v>-0.22</v>
      </c>
      <c r="D214" s="13">
        <f t="shared" si="132"/>
        <v>-0.31</v>
      </c>
      <c r="E214" s="11">
        <f t="shared" si="142"/>
        <v>-0.45999999999999996</v>
      </c>
      <c r="F214" s="11">
        <f t="shared" si="115"/>
        <v>0.14999999999999997</v>
      </c>
      <c r="G214" s="13">
        <f t="shared" si="116"/>
        <v>0.36854999999999988</v>
      </c>
      <c r="H214" s="13"/>
      <c r="I214" s="13"/>
      <c r="J214" s="20"/>
      <c r="K214" s="20"/>
      <c r="L214" s="20"/>
      <c r="M214" s="20"/>
      <c r="N214" s="20">
        <f t="shared" ref="N214" si="155">F214</f>
        <v>0.14999999999999997</v>
      </c>
      <c r="O214" s="13">
        <f t="shared" ref="O214" si="156">B214</f>
        <v>2.4569999999999999</v>
      </c>
      <c r="P214" s="13">
        <f t="shared" ref="P214" si="157">O214*N214</f>
        <v>0.36854999999999988</v>
      </c>
      <c r="Q214" s="13">
        <f t="shared" si="111"/>
        <v>0.62653499999999973</v>
      </c>
      <c r="R214" s="13"/>
      <c r="S214" s="13"/>
      <c r="T214" s="13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18"/>
      <c r="AF214" s="18"/>
      <c r="AG214" s="18"/>
      <c r="AH214" s="18"/>
      <c r="AI214" s="18"/>
      <c r="AJ214" s="18"/>
    </row>
    <row r="215" spans="1:36" ht="15.6" customHeight="1" x14ac:dyDescent="0.25">
      <c r="A215" s="8" t="s">
        <v>201</v>
      </c>
      <c r="B215" s="13">
        <v>0.75600000000000001</v>
      </c>
      <c r="C215" s="13">
        <v>-0.36</v>
      </c>
      <c r="D215" s="13">
        <f t="shared" si="132"/>
        <v>-0.44999999999999996</v>
      </c>
      <c r="E215" s="11">
        <f t="shared" si="142"/>
        <v>-0.6</v>
      </c>
      <c r="F215" s="11">
        <f t="shared" si="115"/>
        <v>0.15000000000000002</v>
      </c>
      <c r="G215" s="13">
        <f t="shared" si="116"/>
        <v>0.11340000000000001</v>
      </c>
      <c r="H215" s="13"/>
      <c r="I215" s="13"/>
      <c r="J215" s="20"/>
      <c r="K215" s="20"/>
      <c r="L215" s="20"/>
      <c r="M215" s="20"/>
      <c r="N215" s="20">
        <f t="shared" ref="N215" si="158">F215</f>
        <v>0.15000000000000002</v>
      </c>
      <c r="O215" s="13">
        <f t="shared" ref="O215" si="159">B215</f>
        <v>0.75600000000000001</v>
      </c>
      <c r="P215" s="13">
        <f t="shared" ref="P215" si="160">O215*N215</f>
        <v>0.11340000000000001</v>
      </c>
      <c r="Q215" s="13">
        <f t="shared" si="111"/>
        <v>0.19278000000000001</v>
      </c>
      <c r="R215" s="13"/>
      <c r="S215" s="13"/>
      <c r="T215" s="13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18"/>
      <c r="AF215" s="18"/>
      <c r="AG215" s="18"/>
      <c r="AH215" s="18"/>
      <c r="AI215" s="18"/>
      <c r="AJ215" s="18"/>
    </row>
    <row r="216" spans="1:36" ht="15.6" customHeight="1" x14ac:dyDescent="0.25">
      <c r="A216" s="8" t="s">
        <v>202</v>
      </c>
      <c r="B216" s="13">
        <v>41.857999999999997</v>
      </c>
      <c r="C216" s="13">
        <v>-0.31</v>
      </c>
      <c r="D216" s="13">
        <f t="shared" si="132"/>
        <v>-0.4</v>
      </c>
      <c r="E216" s="11">
        <f t="shared" si="142"/>
        <v>-0.55000000000000004</v>
      </c>
      <c r="F216" s="11">
        <f t="shared" si="115"/>
        <v>0.15000000000000002</v>
      </c>
      <c r="G216" s="13">
        <f t="shared" si="116"/>
        <v>6.2787000000000006</v>
      </c>
      <c r="H216" s="13"/>
      <c r="I216" s="13"/>
      <c r="J216" s="20"/>
      <c r="K216" s="20"/>
      <c r="L216" s="20"/>
      <c r="M216" s="20"/>
      <c r="N216" s="20">
        <f t="shared" ref="N216:N217" si="161">F216</f>
        <v>0.15000000000000002</v>
      </c>
      <c r="O216" s="13">
        <f t="shared" ref="O216:O217" si="162">B216</f>
        <v>41.857999999999997</v>
      </c>
      <c r="P216" s="13">
        <f t="shared" ref="P216:P217" si="163">O216*N216</f>
        <v>6.2787000000000006</v>
      </c>
      <c r="Q216" s="13">
        <f t="shared" si="111"/>
        <v>10.67379</v>
      </c>
      <c r="R216" s="13"/>
      <c r="S216" s="13"/>
      <c r="T216" s="13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18"/>
      <c r="AF216" s="18"/>
      <c r="AG216" s="18"/>
      <c r="AH216" s="18"/>
      <c r="AI216" s="18"/>
      <c r="AJ216" s="18"/>
    </row>
    <row r="217" spans="1:36" ht="15.6" customHeight="1" x14ac:dyDescent="0.25">
      <c r="A217" s="8" t="s">
        <v>203</v>
      </c>
      <c r="B217" s="13">
        <v>27.146000000000001</v>
      </c>
      <c r="C217" s="13">
        <v>-0.32</v>
      </c>
      <c r="D217" s="13">
        <f t="shared" si="132"/>
        <v>-0.41000000000000003</v>
      </c>
      <c r="E217" s="11">
        <f t="shared" si="142"/>
        <v>-0.56000000000000005</v>
      </c>
      <c r="F217" s="11">
        <f t="shared" si="115"/>
        <v>0.15000000000000002</v>
      </c>
      <c r="G217" s="13">
        <f t="shared" si="116"/>
        <v>4.0719000000000003</v>
      </c>
      <c r="H217" s="13"/>
      <c r="I217" s="13"/>
      <c r="J217" s="20"/>
      <c r="K217" s="20"/>
      <c r="L217" s="20"/>
      <c r="M217" s="20"/>
      <c r="N217" s="20">
        <f t="shared" si="161"/>
        <v>0.15000000000000002</v>
      </c>
      <c r="O217" s="13">
        <f t="shared" si="162"/>
        <v>27.146000000000001</v>
      </c>
      <c r="P217" s="13">
        <f t="shared" si="163"/>
        <v>4.0719000000000003</v>
      </c>
      <c r="Q217" s="13">
        <f t="shared" si="111"/>
        <v>6.9222299999999999</v>
      </c>
      <c r="R217" s="13"/>
      <c r="S217" s="13"/>
      <c r="T217" s="13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18"/>
      <c r="AF217" s="18"/>
      <c r="AG217" s="18"/>
      <c r="AH217" s="18"/>
      <c r="AI217" s="18"/>
      <c r="AJ217" s="18"/>
    </row>
    <row r="218" spans="1:36" ht="15.6" customHeight="1" x14ac:dyDescent="0.25">
      <c r="A218" s="8" t="s">
        <v>204</v>
      </c>
      <c r="B218" s="13">
        <v>42.433</v>
      </c>
      <c r="C218" s="13">
        <v>-0.3</v>
      </c>
      <c r="D218" s="13">
        <f t="shared" si="132"/>
        <v>-0.39</v>
      </c>
      <c r="E218" s="11">
        <f t="shared" si="142"/>
        <v>-0.54</v>
      </c>
      <c r="F218" s="11">
        <f t="shared" si="115"/>
        <v>0.15000000000000002</v>
      </c>
      <c r="G218" s="13">
        <f t="shared" si="116"/>
        <v>6.3649500000000012</v>
      </c>
      <c r="H218" s="13"/>
      <c r="I218" s="13"/>
      <c r="J218" s="20"/>
      <c r="K218" s="20"/>
      <c r="L218" s="20"/>
      <c r="M218" s="20"/>
      <c r="N218" s="20">
        <f t="shared" ref="N218" si="164">F218</f>
        <v>0.15000000000000002</v>
      </c>
      <c r="O218" s="13">
        <f t="shared" ref="O218" si="165">B218</f>
        <v>42.433</v>
      </c>
      <c r="P218" s="13">
        <f t="shared" ref="P218" si="166">O218*N218</f>
        <v>6.3649500000000012</v>
      </c>
      <c r="Q218" s="13">
        <f t="shared" si="111"/>
        <v>10.820415000000002</v>
      </c>
      <c r="R218" s="13"/>
      <c r="S218" s="13"/>
      <c r="T218" s="13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18"/>
      <c r="AF218" s="18"/>
      <c r="AG218" s="18"/>
      <c r="AH218" s="18"/>
      <c r="AI218" s="18"/>
      <c r="AJ218" s="18"/>
    </row>
    <row r="219" spans="1:36" ht="15.6" customHeight="1" x14ac:dyDescent="0.25">
      <c r="A219" s="8" t="s">
        <v>205</v>
      </c>
      <c r="B219" s="13">
        <v>10.816000000000001</v>
      </c>
      <c r="C219" s="13">
        <v>-0.28999999999999998</v>
      </c>
      <c r="D219" s="13">
        <f t="shared" si="132"/>
        <v>-0.38</v>
      </c>
      <c r="E219" s="11">
        <f t="shared" si="142"/>
        <v>-0.53</v>
      </c>
      <c r="F219" s="11">
        <f t="shared" si="115"/>
        <v>0.15000000000000002</v>
      </c>
      <c r="G219" s="13">
        <f>F219*B219</f>
        <v>1.6224000000000003</v>
      </c>
      <c r="H219" s="13"/>
      <c r="I219" s="13"/>
      <c r="J219" s="20"/>
      <c r="K219" s="20"/>
      <c r="L219" s="20"/>
      <c r="M219" s="20"/>
      <c r="N219" s="20">
        <f t="shared" ref="N219" si="167">F219</f>
        <v>0.15000000000000002</v>
      </c>
      <c r="O219" s="13">
        <f t="shared" ref="O219" si="168">B219</f>
        <v>10.816000000000001</v>
      </c>
      <c r="P219" s="13">
        <f t="shared" ref="P219" si="169">O219*N219</f>
        <v>1.6224000000000003</v>
      </c>
      <c r="Q219" s="13">
        <f t="shared" ref="Q219:Q267" si="170">P219*1.7</f>
        <v>2.7580800000000005</v>
      </c>
      <c r="R219" s="13"/>
      <c r="S219" s="13"/>
      <c r="T219" s="13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18"/>
      <c r="AF219" s="18"/>
      <c r="AG219" s="18"/>
      <c r="AH219" s="18"/>
      <c r="AI219" s="18"/>
      <c r="AJ219" s="18"/>
    </row>
    <row r="220" spans="1:36" ht="15.6" customHeight="1" x14ac:dyDescent="0.25">
      <c r="A220" s="8" t="s">
        <v>206</v>
      </c>
      <c r="B220" s="13">
        <f>2.522+0.514</f>
        <v>3.0359999999999996</v>
      </c>
      <c r="C220" s="13">
        <v>-0.32</v>
      </c>
      <c r="D220" s="13">
        <f t="shared" si="132"/>
        <v>-0.41000000000000003</v>
      </c>
      <c r="E220" s="11">
        <f t="shared" si="142"/>
        <v>-0.56000000000000005</v>
      </c>
      <c r="F220" s="11">
        <f t="shared" si="115"/>
        <v>0.15000000000000002</v>
      </c>
      <c r="G220" s="13">
        <f>F220*B220</f>
        <v>0.45540000000000003</v>
      </c>
      <c r="H220" s="13"/>
      <c r="I220" s="13"/>
      <c r="J220" s="20"/>
      <c r="K220" s="20"/>
      <c r="L220" s="20"/>
      <c r="M220" s="20"/>
      <c r="N220" s="20">
        <f t="shared" ref="N220" si="171">F220</f>
        <v>0.15000000000000002</v>
      </c>
      <c r="O220" s="13">
        <f t="shared" ref="O220" si="172">B220</f>
        <v>3.0359999999999996</v>
      </c>
      <c r="P220" s="13">
        <f t="shared" ref="P220" si="173">O220*N220</f>
        <v>0.45540000000000003</v>
      </c>
      <c r="Q220" s="13">
        <f t="shared" si="170"/>
        <v>0.77417999999999998</v>
      </c>
      <c r="R220" s="13"/>
      <c r="S220" s="13"/>
      <c r="T220" s="13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18"/>
      <c r="AF220" s="18"/>
      <c r="AG220" s="18"/>
      <c r="AH220" s="18"/>
      <c r="AI220" s="18"/>
      <c r="AJ220" s="18"/>
    </row>
    <row r="221" spans="1:36" ht="15.6" customHeight="1" x14ac:dyDescent="0.25">
      <c r="A221" s="8" t="s">
        <v>207</v>
      </c>
      <c r="B221" s="13">
        <v>2.8220000000000001</v>
      </c>
      <c r="C221" s="13">
        <v>-0.25</v>
      </c>
      <c r="D221" s="13">
        <f t="shared" si="132"/>
        <v>-0.33999999999999997</v>
      </c>
      <c r="E221" s="11">
        <f t="shared" si="142"/>
        <v>-0.49</v>
      </c>
      <c r="F221" s="11">
        <f t="shared" ref="F221:F223" si="174">D221-E221</f>
        <v>0.15000000000000002</v>
      </c>
      <c r="G221" s="13">
        <f t="shared" ref="G221:G223" si="175">F221*B221</f>
        <v>0.42330000000000007</v>
      </c>
      <c r="H221" s="13"/>
      <c r="I221" s="13"/>
      <c r="J221" s="20"/>
      <c r="K221" s="20"/>
      <c r="L221" s="20"/>
      <c r="M221" s="20"/>
      <c r="N221" s="20">
        <f t="shared" ref="N221" si="176">F221</f>
        <v>0.15000000000000002</v>
      </c>
      <c r="O221" s="13">
        <f t="shared" ref="O221" si="177">B221</f>
        <v>2.8220000000000001</v>
      </c>
      <c r="P221" s="13">
        <f t="shared" ref="P221" si="178">O221*N221</f>
        <v>0.42330000000000007</v>
      </c>
      <c r="Q221" s="13">
        <f t="shared" si="170"/>
        <v>0.71961000000000008</v>
      </c>
      <c r="R221" s="13"/>
      <c r="S221" s="13"/>
      <c r="T221" s="13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18"/>
      <c r="AF221" s="18"/>
      <c r="AG221" s="18"/>
      <c r="AH221" s="18"/>
      <c r="AI221" s="18"/>
      <c r="AJ221" s="18"/>
    </row>
    <row r="222" spans="1:36" ht="15.6" customHeight="1" x14ac:dyDescent="0.25">
      <c r="A222" s="8" t="s">
        <v>208</v>
      </c>
      <c r="B222" s="13">
        <v>8.5060000000000002</v>
      </c>
      <c r="C222" s="13">
        <v>-0.3</v>
      </c>
      <c r="D222" s="13">
        <f t="shared" si="132"/>
        <v>-0.39</v>
      </c>
      <c r="E222" s="11">
        <f t="shared" si="142"/>
        <v>-0.54</v>
      </c>
      <c r="F222" s="11">
        <f t="shared" si="174"/>
        <v>0.15000000000000002</v>
      </c>
      <c r="G222" s="13">
        <f t="shared" si="175"/>
        <v>1.2759000000000003</v>
      </c>
      <c r="H222" s="13"/>
      <c r="I222" s="13"/>
      <c r="J222" s="20"/>
      <c r="K222" s="20"/>
      <c r="L222" s="20"/>
      <c r="M222" s="20"/>
      <c r="N222" s="20">
        <f t="shared" ref="N222" si="179">F222</f>
        <v>0.15000000000000002</v>
      </c>
      <c r="O222" s="13">
        <f t="shared" ref="O222" si="180">B222</f>
        <v>8.5060000000000002</v>
      </c>
      <c r="P222" s="13">
        <f t="shared" ref="P222" si="181">O222*N222</f>
        <v>1.2759000000000003</v>
      </c>
      <c r="Q222" s="13">
        <f t="shared" si="170"/>
        <v>2.1690300000000002</v>
      </c>
      <c r="R222" s="13"/>
      <c r="S222" s="13"/>
      <c r="T222" s="13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18"/>
      <c r="AF222" s="18"/>
      <c r="AG222" s="18"/>
      <c r="AH222" s="18"/>
      <c r="AI222" s="18"/>
      <c r="AJ222" s="18"/>
    </row>
    <row r="223" spans="1:36" ht="15.6" customHeight="1" x14ac:dyDescent="0.25">
      <c r="A223" s="8" t="s">
        <v>209</v>
      </c>
      <c r="B223" s="13">
        <v>2.4969999999999999</v>
      </c>
      <c r="C223" s="13">
        <v>-0.3</v>
      </c>
      <c r="D223" s="13">
        <f t="shared" si="132"/>
        <v>-0.39</v>
      </c>
      <c r="E223" s="11">
        <f t="shared" si="142"/>
        <v>-0.54</v>
      </c>
      <c r="F223" s="11">
        <f t="shared" si="174"/>
        <v>0.15000000000000002</v>
      </c>
      <c r="G223" s="13">
        <f t="shared" si="175"/>
        <v>0.37455000000000005</v>
      </c>
      <c r="H223" s="13"/>
      <c r="I223" s="13"/>
      <c r="J223" s="20"/>
      <c r="K223" s="20"/>
      <c r="L223" s="20"/>
      <c r="M223" s="20"/>
      <c r="N223" s="20">
        <f t="shared" ref="N223" si="182">F223</f>
        <v>0.15000000000000002</v>
      </c>
      <c r="O223" s="13">
        <f t="shared" ref="O223" si="183">B223</f>
        <v>2.4969999999999999</v>
      </c>
      <c r="P223" s="13">
        <f t="shared" ref="P223" si="184">O223*N223</f>
        <v>0.37455000000000005</v>
      </c>
      <c r="Q223" s="13">
        <f t="shared" si="170"/>
        <v>0.63673500000000005</v>
      </c>
      <c r="R223" s="13"/>
      <c r="S223" s="13"/>
      <c r="T223" s="13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18"/>
      <c r="AF223" s="18"/>
      <c r="AG223" s="18"/>
      <c r="AH223" s="18"/>
      <c r="AI223" s="18"/>
      <c r="AJ223" s="18"/>
    </row>
    <row r="224" spans="1:36" ht="15.6" customHeight="1" x14ac:dyDescent="0.25">
      <c r="A224" s="8" t="s">
        <v>210</v>
      </c>
      <c r="B224" s="13">
        <v>9.2059999999999995</v>
      </c>
      <c r="C224" s="13">
        <v>-0.33</v>
      </c>
      <c r="D224" s="13">
        <f t="shared" ref="D224:D235" si="185">C224-0.09</f>
        <v>-0.42000000000000004</v>
      </c>
      <c r="E224" s="11">
        <f t="shared" ref="E224:E235" si="186">D224-0.15</f>
        <v>-0.57000000000000006</v>
      </c>
      <c r="F224" s="11">
        <f t="shared" ref="F224:F235" si="187">D224-E224</f>
        <v>0.15000000000000002</v>
      </c>
      <c r="G224" s="13">
        <f t="shared" ref="G224:G235" si="188">F224*B224</f>
        <v>1.3809000000000002</v>
      </c>
      <c r="H224" s="13"/>
      <c r="I224" s="13"/>
      <c r="J224" s="20"/>
      <c r="K224" s="20"/>
      <c r="L224" s="20"/>
      <c r="M224" s="20"/>
      <c r="N224" s="20">
        <f t="shared" ref="N224" si="189">F224</f>
        <v>0.15000000000000002</v>
      </c>
      <c r="O224" s="13">
        <f t="shared" ref="O224" si="190">B224</f>
        <v>9.2059999999999995</v>
      </c>
      <c r="P224" s="13">
        <f t="shared" ref="P224" si="191">O224*N224</f>
        <v>1.3809000000000002</v>
      </c>
      <c r="Q224" s="13">
        <f t="shared" si="170"/>
        <v>2.3475300000000003</v>
      </c>
      <c r="R224" s="13"/>
      <c r="S224" s="13"/>
      <c r="T224" s="13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18"/>
      <c r="AF224" s="18"/>
      <c r="AG224" s="18"/>
      <c r="AH224" s="18"/>
      <c r="AI224" s="18"/>
      <c r="AJ224" s="18"/>
    </row>
    <row r="225" spans="1:36" ht="15.6" customHeight="1" x14ac:dyDescent="0.25">
      <c r="A225" s="8" t="s">
        <v>211</v>
      </c>
      <c r="B225" s="13">
        <v>2.073</v>
      </c>
      <c r="C225" s="13">
        <v>-0.34</v>
      </c>
      <c r="D225" s="13">
        <f t="shared" si="185"/>
        <v>-0.43000000000000005</v>
      </c>
      <c r="E225" s="11">
        <f t="shared" si="186"/>
        <v>-0.58000000000000007</v>
      </c>
      <c r="F225" s="11">
        <f t="shared" si="187"/>
        <v>0.15000000000000002</v>
      </c>
      <c r="G225" s="13">
        <f t="shared" si="188"/>
        <v>0.31095000000000006</v>
      </c>
      <c r="H225" s="13"/>
      <c r="I225" s="13"/>
      <c r="J225" s="20"/>
      <c r="K225" s="20"/>
      <c r="L225" s="20"/>
      <c r="M225" s="20"/>
      <c r="N225" s="20">
        <f t="shared" ref="N225" si="192">F225</f>
        <v>0.15000000000000002</v>
      </c>
      <c r="O225" s="13">
        <f t="shared" ref="O225" si="193">B225</f>
        <v>2.073</v>
      </c>
      <c r="P225" s="13">
        <f t="shared" ref="P225" si="194">O225*N225</f>
        <v>0.31095000000000006</v>
      </c>
      <c r="Q225" s="13">
        <f t="shared" si="170"/>
        <v>0.52861500000000006</v>
      </c>
      <c r="R225" s="13"/>
      <c r="S225" s="13"/>
      <c r="T225" s="13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18"/>
      <c r="AF225" s="18"/>
      <c r="AG225" s="18"/>
      <c r="AH225" s="18"/>
      <c r="AI225" s="18"/>
      <c r="AJ225" s="18"/>
    </row>
    <row r="226" spans="1:36" ht="15.6" customHeight="1" x14ac:dyDescent="0.25">
      <c r="A226" s="8" t="s">
        <v>212</v>
      </c>
      <c r="B226" s="13">
        <v>9.1479999999999997</v>
      </c>
      <c r="C226" s="13">
        <v>-0.32</v>
      </c>
      <c r="D226" s="13">
        <f t="shared" si="185"/>
        <v>-0.41000000000000003</v>
      </c>
      <c r="E226" s="11">
        <f t="shared" si="186"/>
        <v>-0.56000000000000005</v>
      </c>
      <c r="F226" s="11">
        <f t="shared" si="187"/>
        <v>0.15000000000000002</v>
      </c>
      <c r="G226" s="13">
        <f t="shared" si="188"/>
        <v>1.3722000000000001</v>
      </c>
      <c r="H226" s="13"/>
      <c r="I226" s="13"/>
      <c r="J226" s="20"/>
      <c r="K226" s="20"/>
      <c r="L226" s="20"/>
      <c r="M226" s="20"/>
      <c r="N226" s="20">
        <f t="shared" ref="N226" si="195">F226</f>
        <v>0.15000000000000002</v>
      </c>
      <c r="O226" s="13">
        <f t="shared" ref="O226" si="196">B226</f>
        <v>9.1479999999999997</v>
      </c>
      <c r="P226" s="13">
        <f t="shared" ref="P226" si="197">O226*N226</f>
        <v>1.3722000000000001</v>
      </c>
      <c r="Q226" s="13">
        <f t="shared" si="170"/>
        <v>2.3327400000000003</v>
      </c>
      <c r="R226" s="13"/>
      <c r="S226" s="13"/>
      <c r="T226" s="13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18"/>
      <c r="AF226" s="18"/>
      <c r="AG226" s="18"/>
      <c r="AH226" s="18"/>
      <c r="AI226" s="18"/>
      <c r="AJ226" s="18"/>
    </row>
    <row r="227" spans="1:36" ht="15.6" customHeight="1" x14ac:dyDescent="0.25">
      <c r="A227" s="8" t="s">
        <v>213</v>
      </c>
      <c r="B227" s="13">
        <v>7.3109999999999999</v>
      </c>
      <c r="C227" s="13">
        <v>-0.31</v>
      </c>
      <c r="D227" s="13">
        <f t="shared" si="185"/>
        <v>-0.4</v>
      </c>
      <c r="E227" s="11">
        <f t="shared" si="186"/>
        <v>-0.55000000000000004</v>
      </c>
      <c r="F227" s="11">
        <f t="shared" si="187"/>
        <v>0.15000000000000002</v>
      </c>
      <c r="G227" s="13">
        <f t="shared" si="188"/>
        <v>1.0966500000000001</v>
      </c>
      <c r="H227" s="13"/>
      <c r="I227" s="13"/>
      <c r="J227" s="20"/>
      <c r="K227" s="20"/>
      <c r="L227" s="20"/>
      <c r="M227" s="20"/>
      <c r="N227" s="20">
        <f t="shared" ref="N227" si="198">F227</f>
        <v>0.15000000000000002</v>
      </c>
      <c r="O227" s="13">
        <f t="shared" ref="O227" si="199">B227</f>
        <v>7.3109999999999999</v>
      </c>
      <c r="P227" s="13">
        <f t="shared" ref="P227" si="200">O227*N227</f>
        <v>1.0966500000000001</v>
      </c>
      <c r="Q227" s="13">
        <f t="shared" si="170"/>
        <v>1.8643050000000001</v>
      </c>
      <c r="R227" s="13"/>
      <c r="S227" s="13"/>
      <c r="T227" s="13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18"/>
      <c r="AF227" s="18"/>
      <c r="AG227" s="18"/>
      <c r="AH227" s="18"/>
      <c r="AI227" s="18"/>
      <c r="AJ227" s="18"/>
    </row>
    <row r="228" spans="1:36" ht="15.6" customHeight="1" x14ac:dyDescent="0.25">
      <c r="A228" s="8" t="s">
        <v>214</v>
      </c>
      <c r="B228" s="13">
        <v>1.234</v>
      </c>
      <c r="C228" s="13">
        <v>-0.42</v>
      </c>
      <c r="D228" s="13">
        <f t="shared" si="185"/>
        <v>-0.51</v>
      </c>
      <c r="E228" s="11">
        <f t="shared" si="186"/>
        <v>-0.66</v>
      </c>
      <c r="F228" s="11">
        <f t="shared" si="187"/>
        <v>0.15000000000000002</v>
      </c>
      <c r="G228" s="13">
        <f t="shared" si="188"/>
        <v>0.18510000000000001</v>
      </c>
      <c r="H228" s="13"/>
      <c r="I228" s="13"/>
      <c r="J228" s="20"/>
      <c r="K228" s="20"/>
      <c r="L228" s="20"/>
      <c r="M228" s="20"/>
      <c r="N228" s="20">
        <f t="shared" ref="N228:N229" si="201">F228</f>
        <v>0.15000000000000002</v>
      </c>
      <c r="O228" s="13">
        <f t="shared" ref="O228:O229" si="202">B228</f>
        <v>1.234</v>
      </c>
      <c r="P228" s="13">
        <f t="shared" ref="P228:P229" si="203">O228*N228</f>
        <v>0.18510000000000001</v>
      </c>
      <c r="Q228" s="13">
        <f t="shared" si="170"/>
        <v>0.31467000000000001</v>
      </c>
      <c r="R228" s="13"/>
      <c r="S228" s="13"/>
      <c r="T228" s="13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18"/>
      <c r="AF228" s="18"/>
      <c r="AG228" s="18"/>
      <c r="AH228" s="18"/>
      <c r="AI228" s="18"/>
      <c r="AJ228" s="18"/>
    </row>
    <row r="229" spans="1:36" ht="15.6" customHeight="1" x14ac:dyDescent="0.25">
      <c r="A229" s="8" t="s">
        <v>215</v>
      </c>
      <c r="B229" s="13">
        <v>2.35</v>
      </c>
      <c r="C229" s="13">
        <v>-0.27</v>
      </c>
      <c r="D229" s="13">
        <f t="shared" si="185"/>
        <v>-0.36</v>
      </c>
      <c r="E229" s="11">
        <f t="shared" si="186"/>
        <v>-0.51</v>
      </c>
      <c r="F229" s="11">
        <f t="shared" si="187"/>
        <v>0.15000000000000002</v>
      </c>
      <c r="G229" s="13">
        <f t="shared" si="188"/>
        <v>0.35250000000000009</v>
      </c>
      <c r="H229" s="13"/>
      <c r="I229" s="13"/>
      <c r="J229" s="20"/>
      <c r="K229" s="20"/>
      <c r="L229" s="20"/>
      <c r="M229" s="20"/>
      <c r="N229" s="20">
        <f t="shared" si="201"/>
        <v>0.15000000000000002</v>
      </c>
      <c r="O229" s="13">
        <f t="shared" si="202"/>
        <v>2.35</v>
      </c>
      <c r="P229" s="13">
        <f t="shared" si="203"/>
        <v>0.35250000000000009</v>
      </c>
      <c r="Q229" s="13">
        <f t="shared" si="170"/>
        <v>0.59925000000000017</v>
      </c>
      <c r="R229" s="13"/>
      <c r="S229" s="13"/>
      <c r="T229" s="13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18"/>
      <c r="AF229" s="18"/>
      <c r="AG229" s="18"/>
      <c r="AH229" s="18"/>
      <c r="AI229" s="18"/>
      <c r="AJ229" s="18"/>
    </row>
    <row r="230" spans="1:36" ht="15.6" customHeight="1" x14ac:dyDescent="0.25">
      <c r="A230" s="8" t="s">
        <v>216</v>
      </c>
      <c r="B230" s="13">
        <f>12.632-4.1</f>
        <v>8.532</v>
      </c>
      <c r="C230" s="13">
        <v>-0.44</v>
      </c>
      <c r="D230" s="13">
        <f t="shared" si="185"/>
        <v>-0.53</v>
      </c>
      <c r="E230" s="11">
        <f t="shared" si="186"/>
        <v>-0.68</v>
      </c>
      <c r="F230" s="11">
        <f t="shared" si="187"/>
        <v>0.15000000000000002</v>
      </c>
      <c r="G230" s="13">
        <f t="shared" si="188"/>
        <v>1.2798000000000003</v>
      </c>
      <c r="H230" s="13"/>
      <c r="I230" s="13"/>
      <c r="J230" s="20"/>
      <c r="K230" s="20"/>
      <c r="L230" s="20"/>
      <c r="M230" s="20"/>
      <c r="N230" s="20">
        <f t="shared" ref="N230" si="204">F230</f>
        <v>0.15000000000000002</v>
      </c>
      <c r="O230" s="13">
        <f t="shared" ref="O230" si="205">B230</f>
        <v>8.532</v>
      </c>
      <c r="P230" s="13">
        <f t="shared" ref="P230" si="206">O230*N230</f>
        <v>1.2798000000000003</v>
      </c>
      <c r="Q230" s="13">
        <f t="shared" si="170"/>
        <v>2.1756600000000006</v>
      </c>
      <c r="R230" s="13"/>
      <c r="S230" s="13"/>
      <c r="T230" s="13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18"/>
      <c r="AF230" s="18"/>
      <c r="AG230" s="18"/>
      <c r="AH230" s="18"/>
      <c r="AI230" s="18"/>
      <c r="AJ230" s="18"/>
    </row>
    <row r="231" spans="1:36" ht="15.6" customHeight="1" x14ac:dyDescent="0.25">
      <c r="A231" s="8" t="s">
        <v>217</v>
      </c>
      <c r="B231" s="13">
        <v>2.0619999999999998</v>
      </c>
      <c r="C231" s="13">
        <v>-0.47</v>
      </c>
      <c r="D231" s="13">
        <f t="shared" si="185"/>
        <v>-0.55999999999999994</v>
      </c>
      <c r="E231" s="11">
        <f t="shared" si="186"/>
        <v>-0.71</v>
      </c>
      <c r="F231" s="11">
        <f t="shared" si="187"/>
        <v>0.15000000000000002</v>
      </c>
      <c r="G231" s="13">
        <f t="shared" si="188"/>
        <v>0.30930000000000002</v>
      </c>
      <c r="H231" s="13"/>
      <c r="I231" s="13"/>
      <c r="J231" s="20"/>
      <c r="K231" s="20"/>
      <c r="L231" s="20"/>
      <c r="M231" s="20"/>
      <c r="N231" s="20">
        <f t="shared" ref="N231" si="207">F231</f>
        <v>0.15000000000000002</v>
      </c>
      <c r="O231" s="13">
        <f t="shared" ref="O231" si="208">B231</f>
        <v>2.0619999999999998</v>
      </c>
      <c r="P231" s="13">
        <f t="shared" ref="P231" si="209">O231*N231</f>
        <v>0.30930000000000002</v>
      </c>
      <c r="Q231" s="13">
        <f t="shared" si="170"/>
        <v>0.52581</v>
      </c>
      <c r="R231" s="13"/>
      <c r="S231" s="13"/>
      <c r="T231" s="13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18"/>
      <c r="AF231" s="18"/>
      <c r="AG231" s="18"/>
      <c r="AH231" s="18"/>
      <c r="AI231" s="18"/>
      <c r="AJ231" s="18"/>
    </row>
    <row r="232" spans="1:36" ht="15.6" customHeight="1" x14ac:dyDescent="0.25">
      <c r="A232" s="8" t="s">
        <v>218</v>
      </c>
      <c r="B232" s="13">
        <v>1.788</v>
      </c>
      <c r="C232" s="13">
        <v>-0.44</v>
      </c>
      <c r="D232" s="13">
        <f t="shared" si="185"/>
        <v>-0.53</v>
      </c>
      <c r="E232" s="11">
        <f t="shared" si="186"/>
        <v>-0.68</v>
      </c>
      <c r="F232" s="11">
        <f t="shared" si="187"/>
        <v>0.15000000000000002</v>
      </c>
      <c r="G232" s="13">
        <f t="shared" si="188"/>
        <v>0.26820000000000005</v>
      </c>
      <c r="H232" s="13"/>
      <c r="I232" s="13"/>
      <c r="J232" s="20"/>
      <c r="K232" s="20"/>
      <c r="L232" s="20"/>
      <c r="M232" s="20"/>
      <c r="N232" s="20">
        <f t="shared" ref="N232:N234" si="210">F232</f>
        <v>0.15000000000000002</v>
      </c>
      <c r="O232" s="13">
        <f t="shared" ref="O232:O234" si="211">B232</f>
        <v>1.788</v>
      </c>
      <c r="P232" s="13">
        <f t="shared" ref="P232:P234" si="212">O232*N232</f>
        <v>0.26820000000000005</v>
      </c>
      <c r="Q232" s="13">
        <f t="shared" si="170"/>
        <v>0.45594000000000007</v>
      </c>
      <c r="R232" s="13"/>
      <c r="S232" s="13"/>
      <c r="T232" s="13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18"/>
      <c r="AF232" s="18"/>
      <c r="AG232" s="18"/>
      <c r="AH232" s="18"/>
      <c r="AI232" s="18"/>
      <c r="AJ232" s="18"/>
    </row>
    <row r="233" spans="1:36" ht="15.6" customHeight="1" x14ac:dyDescent="0.25">
      <c r="A233" s="8" t="s">
        <v>219</v>
      </c>
      <c r="B233" s="13">
        <v>1.3</v>
      </c>
      <c r="C233" s="13">
        <v>-0.42</v>
      </c>
      <c r="D233" s="13">
        <f t="shared" si="185"/>
        <v>-0.51</v>
      </c>
      <c r="E233" s="11">
        <f t="shared" si="186"/>
        <v>-0.66</v>
      </c>
      <c r="F233" s="11">
        <f t="shared" si="187"/>
        <v>0.15000000000000002</v>
      </c>
      <c r="G233" s="13">
        <f t="shared" si="188"/>
        <v>0.19500000000000003</v>
      </c>
      <c r="H233" s="13"/>
      <c r="I233" s="13"/>
      <c r="J233" s="20"/>
      <c r="K233" s="20"/>
      <c r="L233" s="20"/>
      <c r="M233" s="20"/>
      <c r="N233" s="20">
        <f t="shared" si="210"/>
        <v>0.15000000000000002</v>
      </c>
      <c r="O233" s="13">
        <f t="shared" si="211"/>
        <v>1.3</v>
      </c>
      <c r="P233" s="13">
        <f t="shared" si="212"/>
        <v>0.19500000000000003</v>
      </c>
      <c r="Q233" s="13">
        <f t="shared" si="170"/>
        <v>0.33150000000000007</v>
      </c>
      <c r="R233" s="13"/>
      <c r="S233" s="13"/>
      <c r="T233" s="13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18"/>
      <c r="AF233" s="18"/>
      <c r="AG233" s="18"/>
      <c r="AH233" s="18"/>
      <c r="AI233" s="18"/>
      <c r="AJ233" s="18"/>
    </row>
    <row r="234" spans="1:36" ht="15.6" customHeight="1" x14ac:dyDescent="0.25">
      <c r="A234" s="8" t="s">
        <v>220</v>
      </c>
      <c r="B234" s="13">
        <v>6.2389999999999999</v>
      </c>
      <c r="C234" s="13">
        <v>-0.45</v>
      </c>
      <c r="D234" s="13">
        <f t="shared" si="185"/>
        <v>-0.54</v>
      </c>
      <c r="E234" s="11">
        <f t="shared" si="186"/>
        <v>-0.69000000000000006</v>
      </c>
      <c r="F234" s="11">
        <f t="shared" si="187"/>
        <v>0.15000000000000002</v>
      </c>
      <c r="G234" s="13">
        <f t="shared" si="188"/>
        <v>0.93585000000000007</v>
      </c>
      <c r="H234" s="13"/>
      <c r="I234" s="13"/>
      <c r="J234" s="20"/>
      <c r="K234" s="20"/>
      <c r="L234" s="20"/>
      <c r="M234" s="20"/>
      <c r="N234" s="20">
        <f t="shared" si="210"/>
        <v>0.15000000000000002</v>
      </c>
      <c r="O234" s="13">
        <f t="shared" si="211"/>
        <v>6.2389999999999999</v>
      </c>
      <c r="P234" s="13">
        <f t="shared" si="212"/>
        <v>0.93585000000000007</v>
      </c>
      <c r="Q234" s="13">
        <f t="shared" si="170"/>
        <v>1.5909450000000001</v>
      </c>
      <c r="R234" s="13"/>
      <c r="S234" s="13"/>
      <c r="T234" s="13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18"/>
      <c r="AF234" s="18"/>
      <c r="AG234" s="18"/>
      <c r="AH234" s="18"/>
      <c r="AI234" s="18"/>
      <c r="AJ234" s="18"/>
    </row>
    <row r="235" spans="1:36" ht="15.6" customHeight="1" x14ac:dyDescent="0.25">
      <c r="A235" s="8" t="s">
        <v>221</v>
      </c>
      <c r="B235" s="13">
        <v>2.7629999999999999</v>
      </c>
      <c r="C235" s="13">
        <v>-0.43</v>
      </c>
      <c r="D235" s="13">
        <f t="shared" si="185"/>
        <v>-0.52</v>
      </c>
      <c r="E235" s="11">
        <f t="shared" si="186"/>
        <v>-0.67</v>
      </c>
      <c r="F235" s="11">
        <f t="shared" si="187"/>
        <v>0.15000000000000002</v>
      </c>
      <c r="G235" s="13">
        <f t="shared" si="188"/>
        <v>0.41445000000000004</v>
      </c>
      <c r="H235" s="13"/>
      <c r="I235" s="13"/>
      <c r="J235" s="20"/>
      <c r="K235" s="20"/>
      <c r="L235" s="20"/>
      <c r="M235" s="20"/>
      <c r="N235" s="20">
        <f t="shared" ref="N235:N236" si="213">F235</f>
        <v>0.15000000000000002</v>
      </c>
      <c r="O235" s="13">
        <f t="shared" ref="O235:O236" si="214">B235</f>
        <v>2.7629999999999999</v>
      </c>
      <c r="P235" s="13">
        <f t="shared" ref="P235:P236" si="215">O235*N235</f>
        <v>0.41445000000000004</v>
      </c>
      <c r="Q235" s="13">
        <f t="shared" si="170"/>
        <v>0.704565</v>
      </c>
      <c r="R235" s="13"/>
      <c r="S235" s="13"/>
      <c r="T235" s="13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18"/>
      <c r="AF235" s="18"/>
      <c r="AG235" s="18"/>
      <c r="AH235" s="18"/>
      <c r="AI235" s="18"/>
      <c r="AJ235" s="18"/>
    </row>
    <row r="236" spans="1:36" ht="15.6" customHeight="1" x14ac:dyDescent="0.25">
      <c r="A236" s="8" t="s">
        <v>222</v>
      </c>
      <c r="B236" s="13">
        <v>0.78400000000000003</v>
      </c>
      <c r="C236" s="13">
        <v>-0.43</v>
      </c>
      <c r="D236" s="13">
        <f t="shared" ref="D236:D244" si="216">C236-0.09</f>
        <v>-0.52</v>
      </c>
      <c r="E236" s="11">
        <f t="shared" ref="E236:E244" si="217">D236-0.15</f>
        <v>-0.67</v>
      </c>
      <c r="F236" s="11">
        <f t="shared" ref="F236:F244" si="218">D236-E236</f>
        <v>0.15000000000000002</v>
      </c>
      <c r="G236" s="13">
        <f t="shared" ref="G236:G244" si="219">F236*B236</f>
        <v>0.11760000000000002</v>
      </c>
      <c r="H236" s="13"/>
      <c r="I236" s="13"/>
      <c r="J236" s="20"/>
      <c r="K236" s="20"/>
      <c r="L236" s="20"/>
      <c r="M236" s="20"/>
      <c r="N236" s="20">
        <f t="shared" si="213"/>
        <v>0.15000000000000002</v>
      </c>
      <c r="O236" s="13">
        <f t="shared" si="214"/>
        <v>0.78400000000000003</v>
      </c>
      <c r="P236" s="13">
        <f t="shared" si="215"/>
        <v>0.11760000000000002</v>
      </c>
      <c r="Q236" s="13">
        <f t="shared" si="170"/>
        <v>0.19992000000000004</v>
      </c>
      <c r="R236" s="13"/>
      <c r="S236" s="13"/>
      <c r="T236" s="13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18"/>
      <c r="AF236" s="18"/>
      <c r="AG236" s="18"/>
      <c r="AH236" s="18"/>
      <c r="AI236" s="18"/>
      <c r="AJ236" s="18"/>
    </row>
    <row r="237" spans="1:36" ht="15.6" customHeight="1" x14ac:dyDescent="0.25">
      <c r="A237" s="8" t="s">
        <v>223</v>
      </c>
      <c r="B237" s="13">
        <v>3.593</v>
      </c>
      <c r="C237" s="13">
        <v>-0.43</v>
      </c>
      <c r="D237" s="13">
        <f t="shared" si="216"/>
        <v>-0.52</v>
      </c>
      <c r="E237" s="11">
        <f t="shared" si="217"/>
        <v>-0.67</v>
      </c>
      <c r="F237" s="11">
        <f t="shared" si="218"/>
        <v>0.15000000000000002</v>
      </c>
      <c r="G237" s="13">
        <f t="shared" si="219"/>
        <v>0.53895000000000004</v>
      </c>
      <c r="H237" s="13"/>
      <c r="I237" s="13"/>
      <c r="J237" s="20"/>
      <c r="K237" s="20"/>
      <c r="L237" s="20"/>
      <c r="M237" s="20"/>
      <c r="N237" s="20">
        <f t="shared" ref="N237" si="220">F237</f>
        <v>0.15000000000000002</v>
      </c>
      <c r="O237" s="13">
        <f t="shared" ref="O237" si="221">B237</f>
        <v>3.593</v>
      </c>
      <c r="P237" s="13">
        <f t="shared" ref="P237" si="222">O237*N237</f>
        <v>0.53895000000000004</v>
      </c>
      <c r="Q237" s="13">
        <f t="shared" si="170"/>
        <v>0.916215</v>
      </c>
      <c r="R237" s="13"/>
      <c r="S237" s="13"/>
      <c r="T237" s="13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18"/>
      <c r="AF237" s="18"/>
      <c r="AG237" s="18"/>
      <c r="AH237" s="18"/>
      <c r="AI237" s="18"/>
      <c r="AJ237" s="18"/>
    </row>
    <row r="238" spans="1:36" ht="15.6" customHeight="1" x14ac:dyDescent="0.25">
      <c r="A238" s="8" t="s">
        <v>224</v>
      </c>
      <c r="B238" s="13">
        <v>1.2430000000000001</v>
      </c>
      <c r="C238" s="13">
        <v>-0.44</v>
      </c>
      <c r="D238" s="13">
        <f t="shared" si="216"/>
        <v>-0.53</v>
      </c>
      <c r="E238" s="11">
        <f t="shared" si="217"/>
        <v>-0.68</v>
      </c>
      <c r="F238" s="11">
        <f t="shared" si="218"/>
        <v>0.15000000000000002</v>
      </c>
      <c r="G238" s="13">
        <f t="shared" si="219"/>
        <v>0.18645000000000003</v>
      </c>
      <c r="H238" s="13"/>
      <c r="I238" s="13"/>
      <c r="J238" s="20"/>
      <c r="K238" s="20"/>
      <c r="L238" s="20"/>
      <c r="M238" s="20"/>
      <c r="N238" s="20">
        <f t="shared" ref="N238" si="223">F238</f>
        <v>0.15000000000000002</v>
      </c>
      <c r="O238" s="13">
        <f t="shared" ref="O238" si="224">B238</f>
        <v>1.2430000000000001</v>
      </c>
      <c r="P238" s="13">
        <f t="shared" ref="P238" si="225">O238*N238</f>
        <v>0.18645000000000003</v>
      </c>
      <c r="Q238" s="13">
        <f t="shared" si="170"/>
        <v>0.31696500000000005</v>
      </c>
      <c r="R238" s="13"/>
      <c r="S238" s="13"/>
      <c r="T238" s="13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18"/>
      <c r="AF238" s="18"/>
      <c r="AG238" s="18"/>
      <c r="AH238" s="18"/>
      <c r="AI238" s="18"/>
      <c r="AJ238" s="18"/>
    </row>
    <row r="239" spans="1:36" ht="15.6" customHeight="1" x14ac:dyDescent="0.25">
      <c r="A239" s="8" t="s">
        <v>225</v>
      </c>
      <c r="B239" s="13">
        <v>26.256</v>
      </c>
      <c r="C239" s="13">
        <v>-0.42</v>
      </c>
      <c r="D239" s="13">
        <f t="shared" si="216"/>
        <v>-0.51</v>
      </c>
      <c r="E239" s="11">
        <f t="shared" si="217"/>
        <v>-0.66</v>
      </c>
      <c r="F239" s="11">
        <f t="shared" si="218"/>
        <v>0.15000000000000002</v>
      </c>
      <c r="G239" s="13">
        <f t="shared" si="219"/>
        <v>3.9384000000000006</v>
      </c>
      <c r="H239" s="13"/>
      <c r="I239" s="13"/>
      <c r="J239" s="20"/>
      <c r="K239" s="20"/>
      <c r="L239" s="20"/>
      <c r="M239" s="20"/>
      <c r="N239" s="20">
        <f t="shared" ref="N239" si="226">F239</f>
        <v>0.15000000000000002</v>
      </c>
      <c r="O239" s="13">
        <f t="shared" ref="O239" si="227">B239</f>
        <v>26.256</v>
      </c>
      <c r="P239" s="13">
        <f t="shared" ref="P239" si="228">O239*N239</f>
        <v>3.9384000000000006</v>
      </c>
      <c r="Q239" s="13">
        <f t="shared" si="170"/>
        <v>6.6952800000000012</v>
      </c>
      <c r="R239" s="13"/>
      <c r="S239" s="13"/>
      <c r="T239" s="13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18"/>
      <c r="AF239" s="18"/>
      <c r="AG239" s="18"/>
      <c r="AH239" s="18"/>
      <c r="AI239" s="18"/>
      <c r="AJ239" s="18"/>
    </row>
    <row r="240" spans="1:36" ht="15.6" customHeight="1" x14ac:dyDescent="0.25">
      <c r="A240" s="8" t="s">
        <v>226</v>
      </c>
      <c r="B240" s="13">
        <v>0.78900000000000003</v>
      </c>
      <c r="C240" s="13">
        <v>-0.47</v>
      </c>
      <c r="D240" s="13">
        <f t="shared" si="216"/>
        <v>-0.55999999999999994</v>
      </c>
      <c r="E240" s="11">
        <f t="shared" si="217"/>
        <v>-0.71</v>
      </c>
      <c r="F240" s="11">
        <f t="shared" si="218"/>
        <v>0.15000000000000002</v>
      </c>
      <c r="G240" s="13">
        <f t="shared" si="219"/>
        <v>0.11835000000000002</v>
      </c>
      <c r="H240" s="13"/>
      <c r="I240" s="13"/>
      <c r="J240" s="20"/>
      <c r="K240" s="20"/>
      <c r="L240" s="20"/>
      <c r="M240" s="20"/>
      <c r="N240" s="20">
        <f t="shared" ref="N240:N242" si="229">F240</f>
        <v>0.15000000000000002</v>
      </c>
      <c r="O240" s="13">
        <f t="shared" ref="O240:O242" si="230">B240</f>
        <v>0.78900000000000003</v>
      </c>
      <c r="P240" s="13">
        <f t="shared" ref="P240:P242" si="231">O240*N240</f>
        <v>0.11835000000000002</v>
      </c>
      <c r="Q240" s="13">
        <f t="shared" si="170"/>
        <v>0.20119500000000004</v>
      </c>
      <c r="R240" s="13"/>
      <c r="S240" s="13"/>
      <c r="T240" s="13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18"/>
      <c r="AF240" s="18"/>
      <c r="AG240" s="18"/>
      <c r="AH240" s="18"/>
      <c r="AI240" s="18"/>
      <c r="AJ240" s="18"/>
    </row>
    <row r="241" spans="1:36" ht="15.6" customHeight="1" x14ac:dyDescent="0.25">
      <c r="A241" s="8" t="s">
        <v>227</v>
      </c>
      <c r="B241" s="13">
        <v>2.218</v>
      </c>
      <c r="C241" s="13">
        <v>-0.47</v>
      </c>
      <c r="D241" s="13">
        <f t="shared" si="216"/>
        <v>-0.55999999999999994</v>
      </c>
      <c r="E241" s="11">
        <f t="shared" si="217"/>
        <v>-0.71</v>
      </c>
      <c r="F241" s="11">
        <f t="shared" si="218"/>
        <v>0.15000000000000002</v>
      </c>
      <c r="G241" s="13">
        <f t="shared" si="219"/>
        <v>0.33270000000000005</v>
      </c>
      <c r="H241" s="13"/>
      <c r="I241" s="13"/>
      <c r="J241" s="20"/>
      <c r="K241" s="20"/>
      <c r="L241" s="20"/>
      <c r="M241" s="20"/>
      <c r="N241" s="20">
        <f t="shared" si="229"/>
        <v>0.15000000000000002</v>
      </c>
      <c r="O241" s="13">
        <f t="shared" si="230"/>
        <v>2.218</v>
      </c>
      <c r="P241" s="13">
        <f t="shared" si="231"/>
        <v>0.33270000000000005</v>
      </c>
      <c r="Q241" s="13">
        <f t="shared" si="170"/>
        <v>0.56559000000000004</v>
      </c>
      <c r="R241" s="13"/>
      <c r="S241" s="13"/>
      <c r="T241" s="13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18"/>
      <c r="AF241" s="18"/>
      <c r="AG241" s="18"/>
      <c r="AH241" s="18"/>
      <c r="AI241" s="18"/>
      <c r="AJ241" s="18"/>
    </row>
    <row r="242" spans="1:36" ht="15.6" customHeight="1" x14ac:dyDescent="0.25">
      <c r="A242" s="8" t="s">
        <v>228</v>
      </c>
      <c r="B242" s="13">
        <v>0.8</v>
      </c>
      <c r="C242" s="13">
        <v>-0.49</v>
      </c>
      <c r="D242" s="13">
        <f t="shared" si="216"/>
        <v>-0.57999999999999996</v>
      </c>
      <c r="E242" s="11">
        <f t="shared" si="217"/>
        <v>-0.73</v>
      </c>
      <c r="F242" s="11">
        <f t="shared" si="218"/>
        <v>0.15000000000000002</v>
      </c>
      <c r="G242" s="13">
        <f t="shared" si="219"/>
        <v>0.12000000000000002</v>
      </c>
      <c r="H242" s="13"/>
      <c r="I242" s="13"/>
      <c r="J242" s="20"/>
      <c r="K242" s="20"/>
      <c r="L242" s="20"/>
      <c r="M242" s="20"/>
      <c r="N242" s="20">
        <f t="shared" si="229"/>
        <v>0.15000000000000002</v>
      </c>
      <c r="O242" s="13">
        <f t="shared" si="230"/>
        <v>0.8</v>
      </c>
      <c r="P242" s="13">
        <f t="shared" si="231"/>
        <v>0.12000000000000002</v>
      </c>
      <c r="Q242" s="13">
        <f t="shared" si="170"/>
        <v>0.20400000000000004</v>
      </c>
      <c r="R242" s="13"/>
      <c r="S242" s="13"/>
      <c r="T242" s="13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18"/>
      <c r="AF242" s="18"/>
      <c r="AG242" s="18"/>
      <c r="AH242" s="18"/>
      <c r="AI242" s="18"/>
      <c r="AJ242" s="18"/>
    </row>
    <row r="243" spans="1:36" ht="15.6" customHeight="1" x14ac:dyDescent="0.25">
      <c r="A243" s="8" t="s">
        <v>229</v>
      </c>
      <c r="B243" s="13">
        <v>3.1539999999999999</v>
      </c>
      <c r="C243" s="13">
        <v>-0.4</v>
      </c>
      <c r="D243" s="13">
        <f t="shared" si="216"/>
        <v>-0.49</v>
      </c>
      <c r="E243" s="11">
        <f t="shared" si="217"/>
        <v>-0.64</v>
      </c>
      <c r="F243" s="11">
        <f t="shared" si="218"/>
        <v>0.15000000000000002</v>
      </c>
      <c r="G243" s="13">
        <f t="shared" si="219"/>
        <v>0.47310000000000008</v>
      </c>
      <c r="H243" s="13"/>
      <c r="I243" s="13"/>
      <c r="J243" s="20"/>
      <c r="K243" s="20"/>
      <c r="L243" s="20"/>
      <c r="M243" s="20"/>
      <c r="N243" s="20">
        <f t="shared" ref="N243" si="232">F243</f>
        <v>0.15000000000000002</v>
      </c>
      <c r="O243" s="13">
        <f t="shared" ref="O243" si="233">B243</f>
        <v>3.1539999999999999</v>
      </c>
      <c r="P243" s="13">
        <f t="shared" ref="P243" si="234">O243*N243</f>
        <v>0.47310000000000008</v>
      </c>
      <c r="Q243" s="13">
        <f t="shared" si="170"/>
        <v>0.80427000000000015</v>
      </c>
      <c r="R243" s="13"/>
      <c r="S243" s="13"/>
      <c r="T243" s="13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18"/>
      <c r="AF243" s="18"/>
      <c r="AG243" s="18"/>
      <c r="AH243" s="18"/>
      <c r="AI243" s="18"/>
      <c r="AJ243" s="18"/>
    </row>
    <row r="244" spans="1:36" ht="15.6" customHeight="1" x14ac:dyDescent="0.25">
      <c r="A244" s="8" t="s">
        <v>230</v>
      </c>
      <c r="B244" s="13">
        <v>0.78400000000000003</v>
      </c>
      <c r="C244" s="13">
        <v>-0.44</v>
      </c>
      <c r="D244" s="13">
        <f t="shared" si="216"/>
        <v>-0.53</v>
      </c>
      <c r="E244" s="11">
        <f t="shared" si="217"/>
        <v>-0.68</v>
      </c>
      <c r="F244" s="11">
        <f t="shared" si="218"/>
        <v>0.15000000000000002</v>
      </c>
      <c r="G244" s="13">
        <f t="shared" si="219"/>
        <v>0.11760000000000002</v>
      </c>
      <c r="H244" s="13"/>
      <c r="I244" s="13"/>
      <c r="J244" s="20"/>
      <c r="K244" s="20"/>
      <c r="L244" s="20"/>
      <c r="M244" s="20"/>
      <c r="N244" s="20">
        <f t="shared" ref="N244:N246" si="235">F244</f>
        <v>0.15000000000000002</v>
      </c>
      <c r="O244" s="13">
        <f t="shared" ref="O244:O246" si="236">B244</f>
        <v>0.78400000000000003</v>
      </c>
      <c r="P244" s="13">
        <f t="shared" ref="P244:P246" si="237">O244*N244</f>
        <v>0.11760000000000002</v>
      </c>
      <c r="Q244" s="13">
        <f t="shared" si="170"/>
        <v>0.19992000000000004</v>
      </c>
      <c r="R244" s="13"/>
      <c r="S244" s="13"/>
      <c r="T244" s="13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18"/>
      <c r="AF244" s="18"/>
      <c r="AG244" s="18"/>
      <c r="AH244" s="18"/>
      <c r="AI244" s="18"/>
      <c r="AJ244" s="18"/>
    </row>
    <row r="245" spans="1:36" ht="15.6" customHeight="1" x14ac:dyDescent="0.25">
      <c r="A245" s="8" t="s">
        <v>231</v>
      </c>
      <c r="B245" s="13">
        <v>0.73699999999999999</v>
      </c>
      <c r="C245" s="13">
        <v>-0.44</v>
      </c>
      <c r="D245" s="13">
        <f t="shared" ref="D245:D249" si="238">C245-0.09</f>
        <v>-0.53</v>
      </c>
      <c r="E245" s="11">
        <f t="shared" ref="E245:E249" si="239">D245-0.15</f>
        <v>-0.68</v>
      </c>
      <c r="F245" s="11">
        <f t="shared" ref="F245:F249" si="240">D245-E245</f>
        <v>0.15000000000000002</v>
      </c>
      <c r="G245" s="13">
        <f t="shared" ref="G245:G249" si="241">F245*B245</f>
        <v>0.11055000000000001</v>
      </c>
      <c r="H245" s="13"/>
      <c r="I245" s="13"/>
      <c r="J245" s="20"/>
      <c r="K245" s="20"/>
      <c r="L245" s="20"/>
      <c r="M245" s="20"/>
      <c r="N245" s="20">
        <f t="shared" si="235"/>
        <v>0.15000000000000002</v>
      </c>
      <c r="O245" s="13">
        <f t="shared" si="236"/>
        <v>0.73699999999999999</v>
      </c>
      <c r="P245" s="13">
        <f t="shared" si="237"/>
        <v>0.11055000000000001</v>
      </c>
      <c r="Q245" s="13">
        <f t="shared" si="170"/>
        <v>0.18793500000000002</v>
      </c>
      <c r="R245" s="13"/>
      <c r="S245" s="13"/>
      <c r="T245" s="13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18"/>
      <c r="AF245" s="18"/>
      <c r="AG245" s="18"/>
      <c r="AH245" s="18"/>
      <c r="AI245" s="18"/>
      <c r="AJ245" s="18"/>
    </row>
    <row r="246" spans="1:36" ht="15.6" customHeight="1" x14ac:dyDescent="0.25">
      <c r="A246" s="8" t="s">
        <v>232</v>
      </c>
      <c r="B246" s="13">
        <v>0.77100000000000002</v>
      </c>
      <c r="C246" s="13">
        <v>-0.49</v>
      </c>
      <c r="D246" s="13">
        <f t="shared" si="238"/>
        <v>-0.57999999999999996</v>
      </c>
      <c r="E246" s="11">
        <f t="shared" si="239"/>
        <v>-0.73</v>
      </c>
      <c r="F246" s="11">
        <f t="shared" si="240"/>
        <v>0.15000000000000002</v>
      </c>
      <c r="G246" s="13">
        <f t="shared" si="241"/>
        <v>0.11565000000000002</v>
      </c>
      <c r="H246" s="13"/>
      <c r="I246" s="13"/>
      <c r="J246" s="20"/>
      <c r="K246" s="20"/>
      <c r="L246" s="20"/>
      <c r="M246" s="20"/>
      <c r="N246" s="20">
        <f t="shared" si="235"/>
        <v>0.15000000000000002</v>
      </c>
      <c r="O246" s="13">
        <f t="shared" si="236"/>
        <v>0.77100000000000002</v>
      </c>
      <c r="P246" s="13">
        <f t="shared" si="237"/>
        <v>0.11565000000000002</v>
      </c>
      <c r="Q246" s="13">
        <f t="shared" si="170"/>
        <v>0.19660500000000003</v>
      </c>
      <c r="R246" s="13"/>
      <c r="S246" s="13"/>
      <c r="T246" s="13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18"/>
      <c r="AF246" s="18"/>
      <c r="AG246" s="18"/>
      <c r="AH246" s="18"/>
      <c r="AI246" s="18"/>
      <c r="AJ246" s="18"/>
    </row>
    <row r="247" spans="1:36" ht="15.6" customHeight="1" x14ac:dyDescent="0.25">
      <c r="A247" s="8" t="s">
        <v>233</v>
      </c>
      <c r="B247" s="13">
        <v>0.70799999999999996</v>
      </c>
      <c r="C247" s="13">
        <v>-0.44</v>
      </c>
      <c r="D247" s="13">
        <f t="shared" si="238"/>
        <v>-0.53</v>
      </c>
      <c r="E247" s="11">
        <f t="shared" si="239"/>
        <v>-0.68</v>
      </c>
      <c r="F247" s="11">
        <f t="shared" si="240"/>
        <v>0.15000000000000002</v>
      </c>
      <c r="G247" s="13">
        <f t="shared" si="241"/>
        <v>0.10620000000000002</v>
      </c>
      <c r="H247" s="13"/>
      <c r="I247" s="13"/>
      <c r="J247" s="20"/>
      <c r="K247" s="20"/>
      <c r="L247" s="20"/>
      <c r="M247" s="20"/>
      <c r="N247" s="20">
        <f t="shared" ref="N247:N248" si="242">F247</f>
        <v>0.15000000000000002</v>
      </c>
      <c r="O247" s="13">
        <f t="shared" ref="O247:O248" si="243">B247</f>
        <v>0.70799999999999996</v>
      </c>
      <c r="P247" s="13">
        <f t="shared" ref="P247:P248" si="244">O247*N247</f>
        <v>0.10620000000000002</v>
      </c>
      <c r="Q247" s="13">
        <f t="shared" si="170"/>
        <v>0.18054000000000003</v>
      </c>
      <c r="R247" s="13"/>
      <c r="S247" s="13"/>
      <c r="T247" s="13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18"/>
      <c r="AF247" s="18"/>
      <c r="AG247" s="18"/>
      <c r="AH247" s="18"/>
      <c r="AI247" s="18"/>
      <c r="AJ247" s="18"/>
    </row>
    <row r="248" spans="1:36" ht="15.6" customHeight="1" x14ac:dyDescent="0.25">
      <c r="A248" s="8" t="s">
        <v>234</v>
      </c>
      <c r="B248" s="13">
        <v>2.117</v>
      </c>
      <c r="C248" s="13">
        <v>-0.47</v>
      </c>
      <c r="D248" s="13">
        <f t="shared" si="238"/>
        <v>-0.55999999999999994</v>
      </c>
      <c r="E248" s="11">
        <f t="shared" si="239"/>
        <v>-0.71</v>
      </c>
      <c r="F248" s="11">
        <f t="shared" si="240"/>
        <v>0.15000000000000002</v>
      </c>
      <c r="G248" s="13">
        <f t="shared" si="241"/>
        <v>0.31755000000000005</v>
      </c>
      <c r="H248" s="13"/>
      <c r="I248" s="13"/>
      <c r="J248" s="20"/>
      <c r="K248" s="20"/>
      <c r="L248" s="20"/>
      <c r="M248" s="20"/>
      <c r="N248" s="20">
        <f t="shared" si="242"/>
        <v>0.15000000000000002</v>
      </c>
      <c r="O248" s="13">
        <f t="shared" si="243"/>
        <v>2.117</v>
      </c>
      <c r="P248" s="13">
        <f t="shared" si="244"/>
        <v>0.31755000000000005</v>
      </c>
      <c r="Q248" s="13">
        <f t="shared" si="170"/>
        <v>0.53983500000000006</v>
      </c>
      <c r="R248" s="13"/>
      <c r="S248" s="13"/>
      <c r="T248" s="13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18"/>
      <c r="AF248" s="18"/>
      <c r="AG248" s="18"/>
      <c r="AH248" s="18"/>
      <c r="AI248" s="18"/>
      <c r="AJ248" s="18"/>
    </row>
    <row r="249" spans="1:36" ht="15.6" customHeight="1" x14ac:dyDescent="0.25">
      <c r="A249" s="8" t="s">
        <v>235</v>
      </c>
      <c r="B249" s="13">
        <v>0.75700000000000001</v>
      </c>
      <c r="C249" s="13">
        <v>-0.48</v>
      </c>
      <c r="D249" s="13">
        <f t="shared" si="238"/>
        <v>-0.56999999999999995</v>
      </c>
      <c r="E249" s="11">
        <f t="shared" si="239"/>
        <v>-0.72</v>
      </c>
      <c r="F249" s="11">
        <f t="shared" si="240"/>
        <v>0.15000000000000002</v>
      </c>
      <c r="G249" s="13">
        <f t="shared" si="241"/>
        <v>0.11355000000000001</v>
      </c>
      <c r="H249" s="13"/>
      <c r="I249" s="13"/>
      <c r="J249" s="20"/>
      <c r="K249" s="20"/>
      <c r="L249" s="20"/>
      <c r="M249" s="20"/>
      <c r="N249" s="20">
        <f t="shared" ref="N249:N252" si="245">F249</f>
        <v>0.15000000000000002</v>
      </c>
      <c r="O249" s="13">
        <f t="shared" ref="O249:O252" si="246">B249</f>
        <v>0.75700000000000001</v>
      </c>
      <c r="P249" s="13">
        <f t="shared" ref="P249:P252" si="247">O249*N249</f>
        <v>0.11355000000000001</v>
      </c>
      <c r="Q249" s="13">
        <f t="shared" si="170"/>
        <v>0.19303500000000001</v>
      </c>
      <c r="R249" s="13"/>
      <c r="S249" s="13"/>
      <c r="T249" s="13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18"/>
      <c r="AF249" s="18"/>
      <c r="AG249" s="18"/>
      <c r="AH249" s="18"/>
      <c r="AI249" s="18"/>
      <c r="AJ249" s="18"/>
    </row>
    <row r="250" spans="1:36" ht="15.6" customHeight="1" x14ac:dyDescent="0.25">
      <c r="A250" s="8" t="s">
        <v>236</v>
      </c>
      <c r="B250" s="13">
        <v>2.169</v>
      </c>
      <c r="C250" s="13">
        <v>-0.48</v>
      </c>
      <c r="D250" s="13">
        <f t="shared" ref="D250:D257" si="248">C250-0.09</f>
        <v>-0.56999999999999995</v>
      </c>
      <c r="E250" s="11">
        <f t="shared" ref="E250:E257" si="249">D250-0.15</f>
        <v>-0.72</v>
      </c>
      <c r="F250" s="11">
        <f t="shared" ref="F250:F257" si="250">D250-E250</f>
        <v>0.15000000000000002</v>
      </c>
      <c r="G250" s="13">
        <f t="shared" ref="G250:G257" si="251">F250*B250</f>
        <v>0.32535000000000003</v>
      </c>
      <c r="H250" s="13"/>
      <c r="I250" s="13"/>
      <c r="J250" s="20"/>
      <c r="K250" s="20"/>
      <c r="L250" s="20"/>
      <c r="M250" s="20"/>
      <c r="N250" s="20">
        <f t="shared" si="245"/>
        <v>0.15000000000000002</v>
      </c>
      <c r="O250" s="13">
        <f t="shared" si="246"/>
        <v>2.169</v>
      </c>
      <c r="P250" s="13">
        <f t="shared" si="247"/>
        <v>0.32535000000000003</v>
      </c>
      <c r="Q250" s="13">
        <f t="shared" si="170"/>
        <v>0.553095</v>
      </c>
      <c r="R250" s="13"/>
      <c r="S250" s="13"/>
      <c r="T250" s="13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18"/>
      <c r="AF250" s="18"/>
      <c r="AG250" s="18"/>
      <c r="AH250" s="18"/>
      <c r="AI250" s="18"/>
      <c r="AJ250" s="18"/>
    </row>
    <row r="251" spans="1:36" ht="15.6" customHeight="1" x14ac:dyDescent="0.25">
      <c r="A251" s="8" t="s">
        <v>237</v>
      </c>
      <c r="B251" s="13">
        <v>1.778</v>
      </c>
      <c r="C251" s="13">
        <v>-0.49</v>
      </c>
      <c r="D251" s="13">
        <f t="shared" si="248"/>
        <v>-0.57999999999999996</v>
      </c>
      <c r="E251" s="11">
        <f t="shared" si="249"/>
        <v>-0.73</v>
      </c>
      <c r="F251" s="11">
        <f t="shared" si="250"/>
        <v>0.15000000000000002</v>
      </c>
      <c r="G251" s="13">
        <f t="shared" si="251"/>
        <v>0.26670000000000005</v>
      </c>
      <c r="H251" s="13"/>
      <c r="I251" s="13"/>
      <c r="J251" s="20"/>
      <c r="K251" s="20"/>
      <c r="L251" s="20"/>
      <c r="M251" s="20"/>
      <c r="N251" s="20">
        <f t="shared" si="245"/>
        <v>0.15000000000000002</v>
      </c>
      <c r="O251" s="13">
        <f t="shared" si="246"/>
        <v>1.778</v>
      </c>
      <c r="P251" s="13">
        <f t="shared" si="247"/>
        <v>0.26670000000000005</v>
      </c>
      <c r="Q251" s="13">
        <f t="shared" si="170"/>
        <v>0.45339000000000007</v>
      </c>
      <c r="R251" s="13"/>
      <c r="S251" s="13"/>
      <c r="T251" s="13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18"/>
      <c r="AF251" s="18"/>
      <c r="AG251" s="18"/>
      <c r="AH251" s="18"/>
      <c r="AI251" s="18"/>
      <c r="AJ251" s="18"/>
    </row>
    <row r="252" spans="1:36" ht="15.6" customHeight="1" x14ac:dyDescent="0.25">
      <c r="A252" s="8" t="s">
        <v>238</v>
      </c>
      <c r="B252" s="13">
        <v>1.1339999999999999</v>
      </c>
      <c r="C252" s="13">
        <v>-0.49</v>
      </c>
      <c r="D252" s="13">
        <f t="shared" si="248"/>
        <v>-0.57999999999999996</v>
      </c>
      <c r="E252" s="11">
        <f t="shared" si="249"/>
        <v>-0.73</v>
      </c>
      <c r="F252" s="11">
        <f t="shared" si="250"/>
        <v>0.15000000000000002</v>
      </c>
      <c r="G252" s="13">
        <f t="shared" si="251"/>
        <v>0.1701</v>
      </c>
      <c r="H252" s="13"/>
      <c r="I252" s="13"/>
      <c r="J252" s="20"/>
      <c r="K252" s="20"/>
      <c r="L252" s="20"/>
      <c r="M252" s="20"/>
      <c r="N252" s="20">
        <f t="shared" si="245"/>
        <v>0.15000000000000002</v>
      </c>
      <c r="O252" s="13">
        <f t="shared" si="246"/>
        <v>1.1339999999999999</v>
      </c>
      <c r="P252" s="13">
        <f t="shared" si="247"/>
        <v>0.1701</v>
      </c>
      <c r="Q252" s="13">
        <f t="shared" si="170"/>
        <v>0.28916999999999998</v>
      </c>
      <c r="R252" s="13"/>
      <c r="S252" s="13"/>
      <c r="T252" s="13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18"/>
      <c r="AF252" s="18"/>
      <c r="AG252" s="18"/>
      <c r="AH252" s="18"/>
      <c r="AI252" s="18"/>
      <c r="AJ252" s="18"/>
    </row>
    <row r="253" spans="1:36" ht="15.6" customHeight="1" x14ac:dyDescent="0.25">
      <c r="A253" s="8" t="s">
        <v>239</v>
      </c>
      <c r="B253" s="13">
        <v>1.3879999999999999</v>
      </c>
      <c r="C253" s="13">
        <v>-0.47</v>
      </c>
      <c r="D253" s="13">
        <f t="shared" si="248"/>
        <v>-0.55999999999999994</v>
      </c>
      <c r="E253" s="11">
        <f t="shared" si="249"/>
        <v>-0.71</v>
      </c>
      <c r="F253" s="11">
        <f t="shared" si="250"/>
        <v>0.15000000000000002</v>
      </c>
      <c r="G253" s="13">
        <f t="shared" si="251"/>
        <v>0.20820000000000002</v>
      </c>
      <c r="H253" s="13"/>
      <c r="I253" s="13"/>
      <c r="J253" s="20"/>
      <c r="K253" s="20"/>
      <c r="L253" s="20"/>
      <c r="M253" s="20"/>
      <c r="N253" s="20">
        <f t="shared" ref="N253:N254" si="252">F253</f>
        <v>0.15000000000000002</v>
      </c>
      <c r="O253" s="13">
        <f t="shared" ref="O253:O254" si="253">B253</f>
        <v>1.3879999999999999</v>
      </c>
      <c r="P253" s="13">
        <f t="shared" ref="P253:P254" si="254">O253*N253</f>
        <v>0.20820000000000002</v>
      </c>
      <c r="Q253" s="13">
        <f t="shared" si="170"/>
        <v>0.35394000000000003</v>
      </c>
      <c r="R253" s="13"/>
      <c r="S253" s="13"/>
      <c r="T253" s="13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18"/>
      <c r="AF253" s="18"/>
      <c r="AG253" s="18"/>
      <c r="AH253" s="18"/>
      <c r="AI253" s="18"/>
      <c r="AJ253" s="18"/>
    </row>
    <row r="254" spans="1:36" ht="15.6" customHeight="1" x14ac:dyDescent="0.25">
      <c r="A254" s="8" t="s">
        <v>240</v>
      </c>
      <c r="B254" s="13">
        <v>1.7969999999999999</v>
      </c>
      <c r="C254" s="13">
        <v>-0.46</v>
      </c>
      <c r="D254" s="13">
        <f t="shared" si="248"/>
        <v>-0.55000000000000004</v>
      </c>
      <c r="E254" s="11">
        <f t="shared" si="249"/>
        <v>-0.70000000000000007</v>
      </c>
      <c r="F254" s="11">
        <f t="shared" si="250"/>
        <v>0.15000000000000002</v>
      </c>
      <c r="G254" s="13">
        <f t="shared" si="251"/>
        <v>0.26955000000000001</v>
      </c>
      <c r="H254" s="13"/>
      <c r="I254" s="13"/>
      <c r="J254" s="20"/>
      <c r="K254" s="20"/>
      <c r="L254" s="20"/>
      <c r="M254" s="20"/>
      <c r="N254" s="20">
        <f t="shared" si="252"/>
        <v>0.15000000000000002</v>
      </c>
      <c r="O254" s="13">
        <f t="shared" si="253"/>
        <v>1.7969999999999999</v>
      </c>
      <c r="P254" s="13">
        <f t="shared" si="254"/>
        <v>0.26955000000000001</v>
      </c>
      <c r="Q254" s="13">
        <f t="shared" si="170"/>
        <v>0.458235</v>
      </c>
      <c r="R254" s="13"/>
      <c r="S254" s="13"/>
      <c r="T254" s="13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18"/>
      <c r="AF254" s="18"/>
      <c r="AG254" s="18"/>
      <c r="AH254" s="18"/>
      <c r="AI254" s="18"/>
      <c r="AJ254" s="18"/>
    </row>
    <row r="255" spans="1:36" ht="15.6" customHeight="1" x14ac:dyDescent="0.25">
      <c r="A255" s="8" t="s">
        <v>241</v>
      </c>
      <c r="B255" s="13">
        <v>1.206</v>
      </c>
      <c r="C255" s="13">
        <v>-0.51</v>
      </c>
      <c r="D255" s="13">
        <f t="shared" si="248"/>
        <v>-0.6</v>
      </c>
      <c r="E255" s="11">
        <f t="shared" si="249"/>
        <v>-0.75</v>
      </c>
      <c r="F255" s="11">
        <f t="shared" si="250"/>
        <v>0.15000000000000002</v>
      </c>
      <c r="G255" s="13">
        <f t="shared" si="251"/>
        <v>0.18090000000000003</v>
      </c>
      <c r="H255" s="13"/>
      <c r="I255" s="13"/>
      <c r="J255" s="20"/>
      <c r="K255" s="20"/>
      <c r="L255" s="20"/>
      <c r="M255" s="20"/>
      <c r="N255" s="20">
        <f t="shared" ref="N255:N256" si="255">F255</f>
        <v>0.15000000000000002</v>
      </c>
      <c r="O255" s="13">
        <f t="shared" ref="O255:O256" si="256">B255</f>
        <v>1.206</v>
      </c>
      <c r="P255" s="13">
        <f t="shared" ref="P255:P256" si="257">O255*N255</f>
        <v>0.18090000000000003</v>
      </c>
      <c r="Q255" s="13">
        <f t="shared" si="170"/>
        <v>0.30753000000000003</v>
      </c>
      <c r="R255" s="13"/>
      <c r="S255" s="13"/>
      <c r="T255" s="13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18"/>
      <c r="AF255" s="18"/>
      <c r="AG255" s="18"/>
      <c r="AH255" s="18"/>
      <c r="AI255" s="18"/>
      <c r="AJ255" s="18"/>
    </row>
    <row r="256" spans="1:36" ht="15.6" customHeight="1" x14ac:dyDescent="0.25">
      <c r="A256" s="8" t="s">
        <v>242</v>
      </c>
      <c r="B256" s="13">
        <v>2.0329999999999999</v>
      </c>
      <c r="C256" s="13">
        <v>-0.48</v>
      </c>
      <c r="D256" s="13">
        <f t="shared" si="248"/>
        <v>-0.56999999999999995</v>
      </c>
      <c r="E256" s="11">
        <f t="shared" si="249"/>
        <v>-0.72</v>
      </c>
      <c r="F256" s="11">
        <f t="shared" si="250"/>
        <v>0.15000000000000002</v>
      </c>
      <c r="G256" s="13">
        <f t="shared" si="251"/>
        <v>0.30495000000000005</v>
      </c>
      <c r="H256" s="13"/>
      <c r="I256" s="13"/>
      <c r="J256" s="20"/>
      <c r="K256" s="20"/>
      <c r="L256" s="20"/>
      <c r="M256" s="20"/>
      <c r="N256" s="20">
        <f t="shared" si="255"/>
        <v>0.15000000000000002</v>
      </c>
      <c r="O256" s="13">
        <f t="shared" si="256"/>
        <v>2.0329999999999999</v>
      </c>
      <c r="P256" s="13">
        <f t="shared" si="257"/>
        <v>0.30495000000000005</v>
      </c>
      <c r="Q256" s="13">
        <f t="shared" si="170"/>
        <v>0.51841500000000007</v>
      </c>
      <c r="R256" s="13"/>
      <c r="S256" s="13"/>
      <c r="T256" s="13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18"/>
      <c r="AF256" s="18"/>
      <c r="AG256" s="18"/>
      <c r="AH256" s="18"/>
      <c r="AI256" s="18"/>
      <c r="AJ256" s="18"/>
    </row>
    <row r="257" spans="1:36" ht="15.6" customHeight="1" x14ac:dyDescent="0.25">
      <c r="A257" s="8" t="s">
        <v>243</v>
      </c>
      <c r="B257" s="13">
        <v>1.022</v>
      </c>
      <c r="C257" s="13">
        <v>-0.48</v>
      </c>
      <c r="D257" s="13">
        <f t="shared" si="248"/>
        <v>-0.56999999999999995</v>
      </c>
      <c r="E257" s="11">
        <f t="shared" si="249"/>
        <v>-0.72</v>
      </c>
      <c r="F257" s="11">
        <f t="shared" si="250"/>
        <v>0.15000000000000002</v>
      </c>
      <c r="G257" s="13">
        <f t="shared" si="251"/>
        <v>0.15330000000000002</v>
      </c>
      <c r="H257" s="13"/>
      <c r="I257" s="13"/>
      <c r="J257" s="20"/>
      <c r="K257" s="20"/>
      <c r="L257" s="20"/>
      <c r="M257" s="20"/>
      <c r="N257" s="20">
        <f t="shared" ref="N257:N258" si="258">F257</f>
        <v>0.15000000000000002</v>
      </c>
      <c r="O257" s="13">
        <f t="shared" ref="O257:O258" si="259">B257</f>
        <v>1.022</v>
      </c>
      <c r="P257" s="13">
        <f t="shared" ref="P257:P258" si="260">O257*N257</f>
        <v>0.15330000000000002</v>
      </c>
      <c r="Q257" s="13">
        <f t="shared" si="170"/>
        <v>0.26061000000000001</v>
      </c>
      <c r="R257" s="13"/>
      <c r="S257" s="13"/>
      <c r="T257" s="13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18"/>
      <c r="AF257" s="18"/>
      <c r="AG257" s="18"/>
      <c r="AH257" s="18"/>
      <c r="AI257" s="18"/>
      <c r="AJ257" s="18"/>
    </row>
    <row r="258" spans="1:36" ht="15.6" customHeight="1" x14ac:dyDescent="0.25">
      <c r="A258" s="8" t="s">
        <v>244</v>
      </c>
      <c r="B258" s="13">
        <v>5.1909999999999998</v>
      </c>
      <c r="C258" s="13">
        <v>-0.49</v>
      </c>
      <c r="D258" s="13">
        <f t="shared" ref="D258:D268" si="261">C258-0.09</f>
        <v>-0.57999999999999996</v>
      </c>
      <c r="E258" s="11">
        <f t="shared" ref="E258:E267" si="262">D258-0.15</f>
        <v>-0.73</v>
      </c>
      <c r="F258" s="11">
        <f t="shared" ref="F258:F268" si="263">D258-E258</f>
        <v>0.15000000000000002</v>
      </c>
      <c r="G258" s="13">
        <f t="shared" ref="G258:G267" si="264">F258*B258</f>
        <v>0.77865000000000006</v>
      </c>
      <c r="H258" s="13"/>
      <c r="I258" s="13"/>
      <c r="J258" s="20"/>
      <c r="K258" s="20"/>
      <c r="L258" s="20"/>
      <c r="M258" s="20"/>
      <c r="N258" s="20">
        <f t="shared" si="258"/>
        <v>0.15000000000000002</v>
      </c>
      <c r="O258" s="13">
        <f t="shared" si="259"/>
        <v>5.1909999999999998</v>
      </c>
      <c r="P258" s="13">
        <f t="shared" si="260"/>
        <v>0.77865000000000006</v>
      </c>
      <c r="Q258" s="13">
        <f t="shared" si="170"/>
        <v>1.3237050000000001</v>
      </c>
      <c r="R258" s="13"/>
      <c r="S258" s="13"/>
      <c r="T258" s="13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18"/>
      <c r="AF258" s="18"/>
      <c r="AG258" s="18"/>
      <c r="AH258" s="18"/>
      <c r="AI258" s="18"/>
      <c r="AJ258" s="18"/>
    </row>
    <row r="259" spans="1:36" ht="15.6" customHeight="1" x14ac:dyDescent="0.25">
      <c r="A259" s="8" t="s">
        <v>245</v>
      </c>
      <c r="B259" s="13">
        <v>0.89</v>
      </c>
      <c r="C259" s="13">
        <v>-0.52</v>
      </c>
      <c r="D259" s="13">
        <f t="shared" si="261"/>
        <v>-0.61</v>
      </c>
      <c r="E259" s="11">
        <f t="shared" si="262"/>
        <v>-0.76</v>
      </c>
      <c r="F259" s="11">
        <f t="shared" si="263"/>
        <v>0.15000000000000002</v>
      </c>
      <c r="G259" s="13">
        <f t="shared" si="264"/>
        <v>0.13350000000000004</v>
      </c>
      <c r="H259" s="13"/>
      <c r="I259" s="13"/>
      <c r="J259" s="20"/>
      <c r="K259" s="20"/>
      <c r="L259" s="20"/>
      <c r="M259" s="20"/>
      <c r="N259" s="20">
        <f t="shared" ref="N259:N263" si="265">F259</f>
        <v>0.15000000000000002</v>
      </c>
      <c r="O259" s="13">
        <f t="shared" ref="O259:O263" si="266">B259</f>
        <v>0.89</v>
      </c>
      <c r="P259" s="13">
        <f t="shared" ref="P259:P263" si="267">O259*N259</f>
        <v>0.13350000000000004</v>
      </c>
      <c r="Q259" s="13">
        <f t="shared" si="170"/>
        <v>0.22695000000000004</v>
      </c>
      <c r="R259" s="13"/>
      <c r="S259" s="13"/>
      <c r="T259" s="13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18"/>
      <c r="AF259" s="18"/>
      <c r="AG259" s="18"/>
      <c r="AH259" s="18"/>
      <c r="AI259" s="18"/>
      <c r="AJ259" s="18"/>
    </row>
    <row r="260" spans="1:36" ht="15.6" customHeight="1" x14ac:dyDescent="0.25">
      <c r="A260" s="8" t="s">
        <v>246</v>
      </c>
      <c r="B260" s="13">
        <v>1.8839999999999999</v>
      </c>
      <c r="C260" s="13">
        <v>-0.47</v>
      </c>
      <c r="D260" s="13">
        <f t="shared" si="261"/>
        <v>-0.55999999999999994</v>
      </c>
      <c r="E260" s="11">
        <f t="shared" si="262"/>
        <v>-0.71</v>
      </c>
      <c r="F260" s="11">
        <f t="shared" si="263"/>
        <v>0.15000000000000002</v>
      </c>
      <c r="G260" s="13">
        <f t="shared" si="264"/>
        <v>0.28260000000000002</v>
      </c>
      <c r="H260" s="13"/>
      <c r="I260" s="13"/>
      <c r="J260" s="20"/>
      <c r="K260" s="20"/>
      <c r="L260" s="20"/>
      <c r="M260" s="20"/>
      <c r="N260" s="20">
        <f t="shared" si="265"/>
        <v>0.15000000000000002</v>
      </c>
      <c r="O260" s="13">
        <f t="shared" si="266"/>
        <v>1.8839999999999999</v>
      </c>
      <c r="P260" s="13">
        <f t="shared" si="267"/>
        <v>0.28260000000000002</v>
      </c>
      <c r="Q260" s="13">
        <f t="shared" si="170"/>
        <v>0.48042000000000001</v>
      </c>
      <c r="R260" s="13"/>
      <c r="S260" s="13"/>
      <c r="T260" s="13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18"/>
      <c r="AF260" s="18"/>
      <c r="AG260" s="18"/>
      <c r="AH260" s="18"/>
      <c r="AI260" s="18"/>
      <c r="AJ260" s="18"/>
    </row>
    <row r="261" spans="1:36" ht="15.6" customHeight="1" x14ac:dyDescent="0.25">
      <c r="A261" s="8" t="s">
        <v>247</v>
      </c>
      <c r="B261" s="13">
        <v>1.036</v>
      </c>
      <c r="C261" s="13">
        <v>-0.48</v>
      </c>
      <c r="D261" s="13">
        <f t="shared" si="261"/>
        <v>-0.56999999999999995</v>
      </c>
      <c r="E261" s="11">
        <f t="shared" si="262"/>
        <v>-0.72</v>
      </c>
      <c r="F261" s="11">
        <f t="shared" si="263"/>
        <v>0.15000000000000002</v>
      </c>
      <c r="G261" s="13">
        <f t="shared" si="264"/>
        <v>0.15540000000000004</v>
      </c>
      <c r="H261" s="13"/>
      <c r="I261" s="13"/>
      <c r="J261" s="20"/>
      <c r="K261" s="20"/>
      <c r="L261" s="20"/>
      <c r="M261" s="20"/>
      <c r="N261" s="20">
        <f t="shared" si="265"/>
        <v>0.15000000000000002</v>
      </c>
      <c r="O261" s="13">
        <f t="shared" si="266"/>
        <v>1.036</v>
      </c>
      <c r="P261" s="13">
        <f t="shared" si="267"/>
        <v>0.15540000000000004</v>
      </c>
      <c r="Q261" s="13">
        <f t="shared" si="170"/>
        <v>0.26418000000000008</v>
      </c>
      <c r="R261" s="13"/>
      <c r="S261" s="13"/>
      <c r="T261" s="13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18"/>
      <c r="AF261" s="18"/>
      <c r="AG261" s="18"/>
      <c r="AH261" s="18"/>
      <c r="AI261" s="18"/>
      <c r="AJ261" s="18"/>
    </row>
    <row r="262" spans="1:36" ht="15.6" customHeight="1" x14ac:dyDescent="0.25">
      <c r="A262" s="8" t="s">
        <v>248</v>
      </c>
      <c r="B262" s="13">
        <v>0.66200000000000003</v>
      </c>
      <c r="C262" s="13">
        <v>-0.52</v>
      </c>
      <c r="D262" s="13">
        <f t="shared" si="261"/>
        <v>-0.61</v>
      </c>
      <c r="E262" s="11">
        <f t="shared" si="262"/>
        <v>-0.76</v>
      </c>
      <c r="F262" s="11">
        <f t="shared" si="263"/>
        <v>0.15000000000000002</v>
      </c>
      <c r="G262" s="13">
        <f t="shared" si="264"/>
        <v>9.9300000000000013E-2</v>
      </c>
      <c r="H262" s="13"/>
      <c r="I262" s="13"/>
      <c r="J262" s="20"/>
      <c r="K262" s="20"/>
      <c r="L262" s="20"/>
      <c r="M262" s="20"/>
      <c r="N262" s="20">
        <f t="shared" si="265"/>
        <v>0.15000000000000002</v>
      </c>
      <c r="O262" s="13">
        <f t="shared" si="266"/>
        <v>0.66200000000000003</v>
      </c>
      <c r="P262" s="13">
        <f t="shared" si="267"/>
        <v>9.9300000000000013E-2</v>
      </c>
      <c r="Q262" s="13">
        <f t="shared" si="170"/>
        <v>0.16881000000000002</v>
      </c>
      <c r="R262" s="13"/>
      <c r="S262" s="13"/>
      <c r="T262" s="13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18"/>
      <c r="AF262" s="18"/>
      <c r="AG262" s="18"/>
      <c r="AH262" s="18"/>
      <c r="AI262" s="18"/>
      <c r="AJ262" s="18"/>
    </row>
    <row r="263" spans="1:36" ht="15.6" customHeight="1" x14ac:dyDescent="0.25">
      <c r="A263" s="8" t="s">
        <v>256</v>
      </c>
      <c r="B263" s="13">
        <v>1.597</v>
      </c>
      <c r="C263" s="13">
        <v>-0.52</v>
      </c>
      <c r="D263" s="13">
        <f t="shared" si="261"/>
        <v>-0.61</v>
      </c>
      <c r="E263" s="11">
        <f t="shared" si="262"/>
        <v>-0.76</v>
      </c>
      <c r="F263" s="11">
        <f t="shared" si="263"/>
        <v>0.15000000000000002</v>
      </c>
      <c r="G263" s="13">
        <f t="shared" si="264"/>
        <v>0.23955000000000004</v>
      </c>
      <c r="H263" s="13"/>
      <c r="I263" s="13"/>
      <c r="J263" s="20"/>
      <c r="K263" s="20"/>
      <c r="L263" s="20"/>
      <c r="M263" s="20"/>
      <c r="N263" s="20">
        <f t="shared" si="265"/>
        <v>0.15000000000000002</v>
      </c>
      <c r="O263" s="13">
        <f t="shared" si="266"/>
        <v>1.597</v>
      </c>
      <c r="P263" s="13">
        <f t="shared" si="267"/>
        <v>0.23955000000000004</v>
      </c>
      <c r="Q263" s="13">
        <f t="shared" si="170"/>
        <v>0.40723500000000007</v>
      </c>
      <c r="R263" s="13"/>
      <c r="S263" s="13"/>
      <c r="T263" s="13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18"/>
      <c r="AF263" s="18"/>
      <c r="AG263" s="18"/>
      <c r="AH263" s="18"/>
      <c r="AI263" s="18"/>
      <c r="AJ263" s="18"/>
    </row>
    <row r="264" spans="1:36" ht="15.6" customHeight="1" x14ac:dyDescent="0.25">
      <c r="A264" s="8" t="s">
        <v>257</v>
      </c>
      <c r="B264" s="13">
        <v>4.0010000000000003</v>
      </c>
      <c r="C264" s="13">
        <v>-0.25</v>
      </c>
      <c r="D264" s="13">
        <f t="shared" si="261"/>
        <v>-0.33999999999999997</v>
      </c>
      <c r="E264" s="11">
        <f t="shared" si="262"/>
        <v>-0.49</v>
      </c>
      <c r="F264" s="11">
        <f t="shared" si="263"/>
        <v>0.15000000000000002</v>
      </c>
      <c r="G264" s="13">
        <f t="shared" si="264"/>
        <v>0.60015000000000018</v>
      </c>
      <c r="H264" s="13"/>
      <c r="I264" s="13"/>
      <c r="J264" s="20"/>
      <c r="K264" s="20"/>
      <c r="L264" s="20"/>
      <c r="M264" s="20"/>
      <c r="N264" s="20">
        <f t="shared" ref="N264" si="268">F264</f>
        <v>0.15000000000000002</v>
      </c>
      <c r="O264" s="13">
        <f t="shared" ref="O264" si="269">B264</f>
        <v>4.0010000000000003</v>
      </c>
      <c r="P264" s="13">
        <f t="shared" ref="P264" si="270">O264*N264</f>
        <v>0.60015000000000018</v>
      </c>
      <c r="Q264" s="13">
        <f t="shared" si="170"/>
        <v>1.0202550000000004</v>
      </c>
      <c r="R264" s="13"/>
      <c r="S264" s="13"/>
      <c r="T264" s="13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18"/>
      <c r="AF264" s="18"/>
      <c r="AG264" s="18"/>
      <c r="AH264" s="18"/>
      <c r="AI264" s="18"/>
      <c r="AJ264" s="18"/>
    </row>
    <row r="265" spans="1:36" ht="15.6" customHeight="1" x14ac:dyDescent="0.25">
      <c r="A265" s="8" t="s">
        <v>258</v>
      </c>
      <c r="B265" s="13">
        <v>3.883</v>
      </c>
      <c r="C265" s="13">
        <v>-0.47</v>
      </c>
      <c r="D265" s="13">
        <f t="shared" si="261"/>
        <v>-0.55999999999999994</v>
      </c>
      <c r="E265" s="11">
        <f t="shared" si="262"/>
        <v>-0.71</v>
      </c>
      <c r="F265" s="11">
        <f t="shared" si="263"/>
        <v>0.15000000000000002</v>
      </c>
      <c r="G265" s="13">
        <f t="shared" si="264"/>
        <v>0.58245000000000013</v>
      </c>
      <c r="H265" s="13"/>
      <c r="I265" s="13"/>
      <c r="J265" s="20"/>
      <c r="K265" s="20"/>
      <c r="L265" s="20"/>
      <c r="M265" s="20"/>
      <c r="N265" s="20">
        <f t="shared" ref="N265" si="271">F265</f>
        <v>0.15000000000000002</v>
      </c>
      <c r="O265" s="13">
        <f t="shared" ref="O265" si="272">B265</f>
        <v>3.883</v>
      </c>
      <c r="P265" s="13">
        <f t="shared" ref="P265" si="273">O265*N265</f>
        <v>0.58245000000000013</v>
      </c>
      <c r="Q265" s="13">
        <f t="shared" si="170"/>
        <v>0.99016500000000018</v>
      </c>
      <c r="R265" s="13"/>
      <c r="S265" s="13"/>
      <c r="T265" s="13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18"/>
      <c r="AF265" s="18"/>
      <c r="AG265" s="18"/>
      <c r="AH265" s="18"/>
      <c r="AI265" s="18"/>
      <c r="AJ265" s="18"/>
    </row>
    <row r="266" spans="1:36" ht="15.6" customHeight="1" x14ac:dyDescent="0.25">
      <c r="A266" s="8" t="s">
        <v>259</v>
      </c>
      <c r="B266" s="13">
        <v>0.79500000000000004</v>
      </c>
      <c r="C266" s="13">
        <v>-0.44</v>
      </c>
      <c r="D266" s="13">
        <f t="shared" si="261"/>
        <v>-0.53</v>
      </c>
      <c r="E266" s="11">
        <f t="shared" si="262"/>
        <v>-0.68</v>
      </c>
      <c r="F266" s="11">
        <f t="shared" si="263"/>
        <v>0.15000000000000002</v>
      </c>
      <c r="G266" s="13">
        <f t="shared" si="264"/>
        <v>0.11925000000000002</v>
      </c>
      <c r="H266" s="13"/>
      <c r="I266" s="13"/>
      <c r="J266" s="20"/>
      <c r="K266" s="20"/>
      <c r="L266" s="20"/>
      <c r="M266" s="20"/>
      <c r="N266" s="20">
        <f t="shared" ref="N266:N267" si="274">F266</f>
        <v>0.15000000000000002</v>
      </c>
      <c r="O266" s="13">
        <f t="shared" ref="O266:O267" si="275">B266</f>
        <v>0.79500000000000004</v>
      </c>
      <c r="P266" s="13">
        <f t="shared" ref="P266:P267" si="276">O266*N266</f>
        <v>0.11925000000000002</v>
      </c>
      <c r="Q266" s="13">
        <f t="shared" si="170"/>
        <v>0.20272500000000004</v>
      </c>
      <c r="R266" s="13"/>
      <c r="S266" s="13"/>
      <c r="T266" s="13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18"/>
      <c r="AF266" s="18"/>
      <c r="AG266" s="18"/>
      <c r="AH266" s="18"/>
      <c r="AI266" s="18"/>
      <c r="AJ266" s="18"/>
    </row>
    <row r="267" spans="1:36" ht="15.6" customHeight="1" x14ac:dyDescent="0.25">
      <c r="A267" s="8" t="s">
        <v>260</v>
      </c>
      <c r="B267" s="13">
        <v>1.3260000000000001</v>
      </c>
      <c r="C267" s="13">
        <v>-0.47</v>
      </c>
      <c r="D267" s="13">
        <f t="shared" si="261"/>
        <v>-0.55999999999999994</v>
      </c>
      <c r="E267" s="11">
        <f t="shared" si="262"/>
        <v>-0.71</v>
      </c>
      <c r="F267" s="11">
        <f t="shared" si="263"/>
        <v>0.15000000000000002</v>
      </c>
      <c r="G267" s="13">
        <f t="shared" si="264"/>
        <v>0.19890000000000005</v>
      </c>
      <c r="H267" s="13"/>
      <c r="I267" s="13"/>
      <c r="J267" s="20"/>
      <c r="K267" s="20"/>
      <c r="L267" s="20"/>
      <c r="M267" s="20"/>
      <c r="N267" s="20">
        <f t="shared" si="274"/>
        <v>0.15000000000000002</v>
      </c>
      <c r="O267" s="13">
        <f t="shared" si="275"/>
        <v>1.3260000000000001</v>
      </c>
      <c r="P267" s="13">
        <f t="shared" si="276"/>
        <v>0.19890000000000005</v>
      </c>
      <c r="Q267" s="13">
        <f t="shared" si="170"/>
        <v>0.3381300000000001</v>
      </c>
      <c r="R267" s="13"/>
      <c r="S267" s="13"/>
      <c r="T267" s="13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18"/>
      <c r="AF267" s="18"/>
      <c r="AG267" s="18"/>
      <c r="AH267" s="18"/>
      <c r="AI267" s="18"/>
      <c r="AJ267" s="18"/>
    </row>
    <row r="268" spans="1:36" ht="15.6" customHeight="1" x14ac:dyDescent="0.25">
      <c r="A268" s="8" t="s">
        <v>261</v>
      </c>
      <c r="B268" s="13">
        <v>4.0999999999999996</v>
      </c>
      <c r="C268" s="13">
        <v>0.39</v>
      </c>
      <c r="D268" s="13">
        <f t="shared" si="261"/>
        <v>0.30000000000000004</v>
      </c>
      <c r="E268" s="11">
        <f>D268-0.5</f>
        <v>-0.19999999999999996</v>
      </c>
      <c r="F268" s="11">
        <f t="shared" si="263"/>
        <v>0.5</v>
      </c>
      <c r="G268" s="13">
        <f t="shared" ref="G268:G272" si="277">F268*B268</f>
        <v>2.0499999999999998</v>
      </c>
      <c r="H268" s="13"/>
      <c r="I268" s="13"/>
      <c r="J268" s="20"/>
      <c r="K268" s="20"/>
      <c r="L268" s="20"/>
      <c r="M268" s="20"/>
      <c r="N268" s="20"/>
      <c r="O268" s="13"/>
      <c r="P268" s="13"/>
      <c r="Q268" s="13"/>
      <c r="R268" s="20"/>
      <c r="S268" s="13"/>
      <c r="T268" s="13"/>
      <c r="U268" s="20"/>
      <c r="V268" s="20"/>
      <c r="W268" s="20"/>
      <c r="X268" s="20"/>
      <c r="Y268" s="20">
        <v>0.5</v>
      </c>
      <c r="Z268" s="20">
        <f>B268</f>
        <v>4.0999999999999996</v>
      </c>
      <c r="AA268" s="20">
        <f>Z268*Y268</f>
        <v>2.0499999999999998</v>
      </c>
      <c r="AB268" s="20"/>
      <c r="AC268" s="20"/>
      <c r="AD268" s="20"/>
      <c r="AE268" s="18"/>
      <c r="AF268" s="18"/>
      <c r="AG268" s="18"/>
      <c r="AH268" s="18"/>
      <c r="AI268" s="18"/>
      <c r="AJ268" s="18"/>
    </row>
    <row r="269" spans="1:36" ht="15.6" customHeight="1" x14ac:dyDescent="0.25">
      <c r="A269" s="8" t="s">
        <v>262</v>
      </c>
      <c r="B269" s="13">
        <v>4.0999999999999996</v>
      </c>
      <c r="C269" s="13">
        <v>0.26</v>
      </c>
      <c r="D269" s="13">
        <f t="shared" ref="D269:D316" si="278">C269-0.09</f>
        <v>0.17</v>
      </c>
      <c r="E269" s="11">
        <f t="shared" ref="E269:E274" si="279">D269-0.5</f>
        <v>-0.32999999999999996</v>
      </c>
      <c r="F269" s="11">
        <f t="shared" ref="F269:F306" si="280">D269-E269</f>
        <v>0.5</v>
      </c>
      <c r="G269" s="13">
        <f t="shared" si="277"/>
        <v>2.0499999999999998</v>
      </c>
      <c r="H269" s="13"/>
      <c r="I269" s="13"/>
      <c r="J269" s="20"/>
      <c r="K269" s="20"/>
      <c r="L269" s="20"/>
      <c r="M269" s="20"/>
      <c r="N269" s="20"/>
      <c r="O269" s="13"/>
      <c r="P269" s="13"/>
      <c r="Q269" s="13"/>
      <c r="R269" s="20"/>
      <c r="S269" s="13"/>
      <c r="T269" s="13"/>
      <c r="U269" s="20"/>
      <c r="V269" s="20"/>
      <c r="W269" s="20"/>
      <c r="X269" s="20"/>
      <c r="Y269" s="20">
        <v>0.5</v>
      </c>
      <c r="Z269" s="20">
        <f t="shared" ref="Z269:Z279" si="281">B269</f>
        <v>4.0999999999999996</v>
      </c>
      <c r="AA269" s="20">
        <f t="shared" ref="AA269:AA279" si="282">Z269*Y269</f>
        <v>2.0499999999999998</v>
      </c>
      <c r="AB269" s="20"/>
      <c r="AC269" s="20"/>
      <c r="AD269" s="20"/>
      <c r="AE269" s="18"/>
      <c r="AF269" s="18"/>
      <c r="AG269" s="18"/>
      <c r="AH269" s="18"/>
      <c r="AI269" s="18"/>
      <c r="AJ269" s="18"/>
    </row>
    <row r="270" spans="1:36" ht="15.6" customHeight="1" x14ac:dyDescent="0.25">
      <c r="A270" s="8" t="s">
        <v>270</v>
      </c>
      <c r="B270" s="13">
        <v>4.0999999999999996</v>
      </c>
      <c r="C270" s="13">
        <v>0.05</v>
      </c>
      <c r="D270" s="13">
        <f t="shared" si="278"/>
        <v>-3.9999999999999994E-2</v>
      </c>
      <c r="E270" s="11">
        <f t="shared" si="279"/>
        <v>-0.54</v>
      </c>
      <c r="F270" s="11">
        <f t="shared" si="280"/>
        <v>0.5</v>
      </c>
      <c r="G270" s="13">
        <f t="shared" si="277"/>
        <v>2.0499999999999998</v>
      </c>
      <c r="H270" s="13"/>
      <c r="I270" s="13"/>
      <c r="J270" s="20"/>
      <c r="K270" s="20"/>
      <c r="L270" s="20"/>
      <c r="M270" s="20"/>
      <c r="N270" s="20"/>
      <c r="O270" s="13"/>
      <c r="P270" s="13"/>
      <c r="Q270" s="13"/>
      <c r="R270" s="20"/>
      <c r="S270" s="13"/>
      <c r="T270" s="13"/>
      <c r="U270" s="20"/>
      <c r="V270" s="20"/>
      <c r="W270" s="20"/>
      <c r="X270" s="20"/>
      <c r="Y270" s="20">
        <v>0.5</v>
      </c>
      <c r="Z270" s="20">
        <f t="shared" si="281"/>
        <v>4.0999999999999996</v>
      </c>
      <c r="AA270" s="20">
        <f t="shared" si="282"/>
        <v>2.0499999999999998</v>
      </c>
      <c r="AB270" s="20"/>
      <c r="AC270" s="20"/>
      <c r="AD270" s="20"/>
      <c r="AE270" s="18"/>
      <c r="AF270" s="18"/>
      <c r="AG270" s="18"/>
      <c r="AH270" s="18"/>
      <c r="AI270" s="18"/>
      <c r="AJ270" s="18"/>
    </row>
    <row r="271" spans="1:36" ht="15.6" customHeight="1" x14ac:dyDescent="0.25">
      <c r="A271" s="8" t="s">
        <v>271</v>
      </c>
      <c r="B271" s="13">
        <v>4.0999999999999996</v>
      </c>
      <c r="C271" s="13">
        <v>-0.21</v>
      </c>
      <c r="D271" s="13">
        <f t="shared" si="278"/>
        <v>-0.3</v>
      </c>
      <c r="E271" s="11">
        <f t="shared" si="279"/>
        <v>-0.8</v>
      </c>
      <c r="F271" s="11">
        <f t="shared" si="280"/>
        <v>0.5</v>
      </c>
      <c r="G271" s="13">
        <f t="shared" si="277"/>
        <v>2.0499999999999998</v>
      </c>
      <c r="H271" s="13"/>
      <c r="I271" s="13"/>
      <c r="J271" s="20"/>
      <c r="K271" s="20"/>
      <c r="L271" s="20"/>
      <c r="M271" s="20"/>
      <c r="N271" s="20"/>
      <c r="O271" s="13"/>
      <c r="P271" s="13"/>
      <c r="Q271" s="13"/>
      <c r="R271" s="20"/>
      <c r="S271" s="13"/>
      <c r="T271" s="13"/>
      <c r="U271" s="20"/>
      <c r="V271" s="20"/>
      <c r="W271" s="20"/>
      <c r="X271" s="20"/>
      <c r="Y271" s="20">
        <v>0.5</v>
      </c>
      <c r="Z271" s="20">
        <f t="shared" si="281"/>
        <v>4.0999999999999996</v>
      </c>
      <c r="AA271" s="20">
        <f t="shared" si="282"/>
        <v>2.0499999999999998</v>
      </c>
      <c r="AB271" s="20"/>
      <c r="AC271" s="20"/>
      <c r="AD271" s="20"/>
      <c r="AE271" s="18"/>
      <c r="AF271" s="18"/>
      <c r="AG271" s="18"/>
      <c r="AH271" s="18"/>
      <c r="AI271" s="18"/>
      <c r="AJ271" s="18"/>
    </row>
    <row r="272" spans="1:36" ht="15.6" customHeight="1" x14ac:dyDescent="0.25">
      <c r="A272" s="8" t="s">
        <v>272</v>
      </c>
      <c r="B272" s="13">
        <v>4.0999999999999996</v>
      </c>
      <c r="C272" s="13">
        <v>-0.22</v>
      </c>
      <c r="D272" s="13">
        <f t="shared" si="278"/>
        <v>-0.31</v>
      </c>
      <c r="E272" s="11">
        <f t="shared" si="279"/>
        <v>-0.81</v>
      </c>
      <c r="F272" s="11">
        <f t="shared" si="280"/>
        <v>0.5</v>
      </c>
      <c r="G272" s="13">
        <f t="shared" si="277"/>
        <v>2.0499999999999998</v>
      </c>
      <c r="H272" s="13"/>
      <c r="I272" s="13"/>
      <c r="J272" s="20"/>
      <c r="K272" s="20"/>
      <c r="L272" s="20"/>
      <c r="M272" s="20"/>
      <c r="N272" s="20"/>
      <c r="O272" s="13"/>
      <c r="P272" s="13"/>
      <c r="Q272" s="13"/>
      <c r="R272" s="20"/>
      <c r="S272" s="13"/>
      <c r="T272" s="13"/>
      <c r="U272" s="20"/>
      <c r="V272" s="20"/>
      <c r="W272" s="20"/>
      <c r="X272" s="20"/>
      <c r="Y272" s="20">
        <v>0.5</v>
      </c>
      <c r="Z272" s="20">
        <f t="shared" si="281"/>
        <v>4.0999999999999996</v>
      </c>
      <c r="AA272" s="20">
        <f t="shared" si="282"/>
        <v>2.0499999999999998</v>
      </c>
      <c r="AB272" s="20"/>
      <c r="AC272" s="20"/>
      <c r="AD272" s="20"/>
      <c r="AE272" s="18"/>
      <c r="AF272" s="18"/>
      <c r="AG272" s="18"/>
      <c r="AH272" s="18"/>
      <c r="AI272" s="18"/>
      <c r="AJ272" s="18"/>
    </row>
    <row r="273" spans="1:36" ht="15.6" customHeight="1" x14ac:dyDescent="0.25">
      <c r="A273" s="8" t="s">
        <v>273</v>
      </c>
      <c r="B273" s="13">
        <v>4.0999999999999996</v>
      </c>
      <c r="C273" s="13">
        <v>-0.37</v>
      </c>
      <c r="D273" s="13">
        <f t="shared" si="278"/>
        <v>-0.45999999999999996</v>
      </c>
      <c r="E273" s="11">
        <f t="shared" si="279"/>
        <v>-0.96</v>
      </c>
      <c r="F273" s="11">
        <f t="shared" si="280"/>
        <v>0.5</v>
      </c>
      <c r="G273" s="13">
        <f t="shared" ref="G273:G282" si="283">F273*B273</f>
        <v>2.0499999999999998</v>
      </c>
      <c r="H273" s="13"/>
      <c r="I273" s="13"/>
      <c r="J273" s="20"/>
      <c r="K273" s="20"/>
      <c r="L273" s="20"/>
      <c r="M273" s="20"/>
      <c r="N273" s="20"/>
      <c r="O273" s="13"/>
      <c r="P273" s="13"/>
      <c r="Q273" s="13"/>
      <c r="R273" s="20"/>
      <c r="S273" s="13"/>
      <c r="T273" s="13"/>
      <c r="U273" s="20"/>
      <c r="V273" s="20"/>
      <c r="W273" s="20"/>
      <c r="X273" s="20"/>
      <c r="Y273" s="20">
        <v>0.5</v>
      </c>
      <c r="Z273" s="20">
        <f t="shared" si="281"/>
        <v>4.0999999999999996</v>
      </c>
      <c r="AA273" s="20">
        <f t="shared" si="282"/>
        <v>2.0499999999999998</v>
      </c>
      <c r="AB273" s="20"/>
      <c r="AC273" s="20"/>
      <c r="AD273" s="20"/>
      <c r="AE273" s="18"/>
      <c r="AF273" s="18"/>
      <c r="AG273" s="18"/>
      <c r="AH273" s="18"/>
      <c r="AI273" s="18"/>
      <c r="AJ273" s="18"/>
    </row>
    <row r="274" spans="1:36" ht="15.6" customHeight="1" x14ac:dyDescent="0.25">
      <c r="A274" s="8" t="s">
        <v>274</v>
      </c>
      <c r="B274" s="13">
        <v>4.0999999999999996</v>
      </c>
      <c r="C274" s="13">
        <v>-0.34</v>
      </c>
      <c r="D274" s="13">
        <f t="shared" si="278"/>
        <v>-0.43000000000000005</v>
      </c>
      <c r="E274" s="11">
        <f t="shared" si="279"/>
        <v>-0.93</v>
      </c>
      <c r="F274" s="11">
        <f t="shared" si="280"/>
        <v>0.5</v>
      </c>
      <c r="G274" s="13">
        <f t="shared" si="283"/>
        <v>2.0499999999999998</v>
      </c>
      <c r="H274" s="13"/>
      <c r="I274" s="13"/>
      <c r="J274" s="20"/>
      <c r="K274" s="20"/>
      <c r="L274" s="20"/>
      <c r="M274" s="20"/>
      <c r="N274" s="20"/>
      <c r="O274" s="13"/>
      <c r="P274" s="13"/>
      <c r="Q274" s="13"/>
      <c r="R274" s="20"/>
      <c r="S274" s="13"/>
      <c r="T274" s="13"/>
      <c r="U274" s="20"/>
      <c r="V274" s="20"/>
      <c r="W274" s="20"/>
      <c r="X274" s="20"/>
      <c r="Y274" s="20">
        <v>0.5</v>
      </c>
      <c r="Z274" s="20">
        <f t="shared" si="281"/>
        <v>4.0999999999999996</v>
      </c>
      <c r="AA274" s="20">
        <f t="shared" si="282"/>
        <v>2.0499999999999998</v>
      </c>
      <c r="AB274" s="20"/>
      <c r="AC274" s="20"/>
      <c r="AD274" s="20"/>
      <c r="AE274" s="18"/>
      <c r="AF274" s="18"/>
      <c r="AG274" s="18"/>
      <c r="AH274" s="18"/>
      <c r="AI274" s="18"/>
      <c r="AJ274" s="18"/>
    </row>
    <row r="275" spans="1:36" ht="15.6" customHeight="1" x14ac:dyDescent="0.25">
      <c r="A275" s="8" t="s">
        <v>277</v>
      </c>
      <c r="B275" s="13">
        <v>5.5650000000000004</v>
      </c>
      <c r="C275" s="13">
        <v>0.52</v>
      </c>
      <c r="D275" s="13">
        <f t="shared" si="278"/>
        <v>0.43000000000000005</v>
      </c>
      <c r="E275" s="11">
        <v>0.14000000000000001</v>
      </c>
      <c r="F275" s="11">
        <f t="shared" si="280"/>
        <v>0.29000000000000004</v>
      </c>
      <c r="G275" s="13">
        <f t="shared" si="283"/>
        <v>1.6138500000000002</v>
      </c>
      <c r="H275" s="13"/>
      <c r="I275" s="13"/>
      <c r="J275" s="20"/>
      <c r="K275" s="20"/>
      <c r="L275" s="20"/>
      <c r="M275" s="20"/>
      <c r="N275" s="20"/>
      <c r="O275" s="13"/>
      <c r="P275" s="13"/>
      <c r="Q275" s="13"/>
      <c r="R275" s="13"/>
      <c r="S275" s="13"/>
      <c r="T275" s="13"/>
      <c r="U275" s="20"/>
      <c r="V275" s="20"/>
      <c r="W275" s="20"/>
      <c r="X275" s="20"/>
      <c r="Y275" s="20">
        <f>F275</f>
        <v>0.29000000000000004</v>
      </c>
      <c r="Z275" s="20">
        <f t="shared" si="281"/>
        <v>5.5650000000000004</v>
      </c>
      <c r="AA275" s="20">
        <f t="shared" si="282"/>
        <v>1.6138500000000002</v>
      </c>
      <c r="AB275" s="20"/>
      <c r="AC275" s="20"/>
      <c r="AD275" s="20"/>
      <c r="AE275" s="18"/>
      <c r="AF275" s="18"/>
      <c r="AG275" s="18"/>
      <c r="AH275" s="18"/>
      <c r="AI275" s="18"/>
      <c r="AJ275" s="18"/>
    </row>
    <row r="276" spans="1:36" ht="15.6" customHeight="1" x14ac:dyDescent="0.25">
      <c r="A276" s="8" t="s">
        <v>278</v>
      </c>
      <c r="B276" s="13">
        <v>14.77</v>
      </c>
      <c r="C276" s="13">
        <v>0.17</v>
      </c>
      <c r="D276" s="13">
        <f t="shared" si="278"/>
        <v>8.0000000000000016E-2</v>
      </c>
      <c r="E276" s="11">
        <f>0.29-0.4</f>
        <v>-0.11000000000000004</v>
      </c>
      <c r="F276" s="11">
        <f t="shared" si="280"/>
        <v>0.19000000000000006</v>
      </c>
      <c r="G276" s="13">
        <f t="shared" si="283"/>
        <v>2.8063000000000007</v>
      </c>
      <c r="H276" s="13"/>
      <c r="I276" s="13"/>
      <c r="J276" s="20"/>
      <c r="K276" s="20"/>
      <c r="L276" s="20"/>
      <c r="M276" s="20"/>
      <c r="N276" s="20"/>
      <c r="O276" s="13"/>
      <c r="P276" s="13"/>
      <c r="Q276" s="13"/>
      <c r="R276" s="13"/>
      <c r="S276" s="13"/>
      <c r="T276" s="13"/>
      <c r="U276" s="20"/>
      <c r="V276" s="20"/>
      <c r="W276" s="20"/>
      <c r="X276" s="20"/>
      <c r="Y276" s="20">
        <f>F276</f>
        <v>0.19000000000000006</v>
      </c>
      <c r="Z276" s="20">
        <f t="shared" si="281"/>
        <v>14.77</v>
      </c>
      <c r="AA276" s="20">
        <f t="shared" si="282"/>
        <v>2.8063000000000007</v>
      </c>
      <c r="AB276" s="20"/>
      <c r="AC276" s="20"/>
      <c r="AD276" s="20"/>
      <c r="AE276" s="18"/>
      <c r="AF276" s="18"/>
      <c r="AG276" s="18"/>
      <c r="AH276" s="18"/>
      <c r="AI276" s="18"/>
      <c r="AJ276" s="18"/>
    </row>
    <row r="277" spans="1:36" ht="15.6" customHeight="1" x14ac:dyDescent="0.25">
      <c r="A277" s="8" t="s">
        <v>279</v>
      </c>
      <c r="B277" s="13">
        <v>35.100999999999999</v>
      </c>
      <c r="C277" s="13">
        <v>0.31</v>
      </c>
      <c r="D277" s="13">
        <f t="shared" si="278"/>
        <v>0.22</v>
      </c>
      <c r="E277" s="11">
        <v>-0.13</v>
      </c>
      <c r="F277" s="11">
        <f t="shared" si="280"/>
        <v>0.35</v>
      </c>
      <c r="G277" s="13">
        <f t="shared" si="283"/>
        <v>12.285349999999999</v>
      </c>
      <c r="H277" s="13"/>
      <c r="I277" s="13"/>
      <c r="J277" s="20"/>
      <c r="K277" s="20"/>
      <c r="L277" s="20"/>
      <c r="M277" s="20"/>
      <c r="N277" s="20"/>
      <c r="O277" s="13"/>
      <c r="P277" s="13"/>
      <c r="Q277" s="13"/>
      <c r="R277" s="13"/>
      <c r="S277" s="13"/>
      <c r="T277" s="13"/>
      <c r="U277" s="20"/>
      <c r="V277" s="20"/>
      <c r="W277" s="20"/>
      <c r="X277" s="20"/>
      <c r="Y277" s="20">
        <f t="shared" ref="Y277:Y279" si="284">F277</f>
        <v>0.35</v>
      </c>
      <c r="Z277" s="20">
        <f t="shared" si="281"/>
        <v>35.100999999999999</v>
      </c>
      <c r="AA277" s="20">
        <f t="shared" si="282"/>
        <v>12.285349999999999</v>
      </c>
      <c r="AB277" s="20"/>
      <c r="AC277" s="20"/>
      <c r="AD277" s="20"/>
      <c r="AE277" s="18"/>
      <c r="AF277" s="18"/>
      <c r="AG277" s="18"/>
      <c r="AH277" s="18"/>
      <c r="AI277" s="18"/>
      <c r="AJ277" s="18"/>
    </row>
    <row r="278" spans="1:36" ht="15.6" customHeight="1" x14ac:dyDescent="0.25">
      <c r="A278" s="8" t="s">
        <v>280</v>
      </c>
      <c r="B278" s="13">
        <v>36.884999999999998</v>
      </c>
      <c r="C278" s="13">
        <v>0.23</v>
      </c>
      <c r="D278" s="13">
        <f t="shared" si="278"/>
        <v>0.14000000000000001</v>
      </c>
      <c r="E278" s="11">
        <f>0.24-0.4</f>
        <v>-0.16000000000000003</v>
      </c>
      <c r="F278" s="11">
        <f t="shared" si="280"/>
        <v>0.30000000000000004</v>
      </c>
      <c r="G278" s="13">
        <f t="shared" si="283"/>
        <v>11.065500000000002</v>
      </c>
      <c r="H278" s="13"/>
      <c r="I278" s="13"/>
      <c r="J278" s="20"/>
      <c r="K278" s="20"/>
      <c r="L278" s="20"/>
      <c r="M278" s="20"/>
      <c r="N278" s="20"/>
      <c r="O278" s="13"/>
      <c r="P278" s="13"/>
      <c r="Q278" s="13"/>
      <c r="R278" s="13"/>
      <c r="S278" s="13"/>
      <c r="T278" s="13"/>
      <c r="U278" s="20"/>
      <c r="V278" s="20"/>
      <c r="W278" s="20"/>
      <c r="X278" s="20"/>
      <c r="Y278" s="20">
        <f t="shared" si="284"/>
        <v>0.30000000000000004</v>
      </c>
      <c r="Z278" s="20">
        <f t="shared" si="281"/>
        <v>36.884999999999998</v>
      </c>
      <c r="AA278" s="20">
        <f t="shared" si="282"/>
        <v>11.065500000000002</v>
      </c>
      <c r="AB278" s="20"/>
      <c r="AC278" s="20"/>
      <c r="AD278" s="20"/>
      <c r="AE278" s="18"/>
      <c r="AF278" s="18"/>
      <c r="AG278" s="18"/>
      <c r="AH278" s="18"/>
      <c r="AI278" s="18"/>
      <c r="AJ278" s="18"/>
    </row>
    <row r="279" spans="1:36" ht="15.6" customHeight="1" x14ac:dyDescent="0.25">
      <c r="A279" s="8" t="s">
        <v>281</v>
      </c>
      <c r="B279" s="13">
        <v>15.121</v>
      </c>
      <c r="C279" s="13">
        <v>0.15</v>
      </c>
      <c r="D279" s="13">
        <f t="shared" si="278"/>
        <v>0.06</v>
      </c>
      <c r="E279" s="11">
        <f>C279-0.4</f>
        <v>-0.25</v>
      </c>
      <c r="F279" s="11">
        <f t="shared" si="280"/>
        <v>0.31</v>
      </c>
      <c r="G279" s="13">
        <f t="shared" si="283"/>
        <v>4.6875100000000005</v>
      </c>
      <c r="H279" s="13"/>
      <c r="I279" s="13"/>
      <c r="J279" s="20"/>
      <c r="K279" s="20"/>
      <c r="L279" s="20"/>
      <c r="M279" s="20"/>
      <c r="N279" s="20"/>
      <c r="O279" s="13"/>
      <c r="P279" s="13"/>
      <c r="Q279" s="13"/>
      <c r="R279" s="13"/>
      <c r="S279" s="13"/>
      <c r="T279" s="13"/>
      <c r="U279" s="20"/>
      <c r="V279" s="20"/>
      <c r="W279" s="20"/>
      <c r="X279" s="20"/>
      <c r="Y279" s="20">
        <f t="shared" si="284"/>
        <v>0.31</v>
      </c>
      <c r="Z279" s="20">
        <f t="shared" si="281"/>
        <v>15.121</v>
      </c>
      <c r="AA279" s="20">
        <f t="shared" si="282"/>
        <v>4.6875100000000005</v>
      </c>
      <c r="AB279" s="20"/>
      <c r="AC279" s="20"/>
      <c r="AD279" s="20"/>
      <c r="AE279" s="18"/>
      <c r="AF279" s="18"/>
      <c r="AG279" s="18"/>
      <c r="AH279" s="18"/>
      <c r="AI279" s="18"/>
      <c r="AJ279" s="18"/>
    </row>
    <row r="280" spans="1:36" ht="15.6" customHeight="1" x14ac:dyDescent="0.25">
      <c r="A280" s="8" t="s">
        <v>282</v>
      </c>
      <c r="B280" s="13">
        <v>12.81</v>
      </c>
      <c r="C280" s="13">
        <v>-0.15</v>
      </c>
      <c r="D280" s="13">
        <f t="shared" si="278"/>
        <v>-0.24</v>
      </c>
      <c r="E280" s="11">
        <f>-0.01-0.4</f>
        <v>-0.41000000000000003</v>
      </c>
      <c r="F280" s="11">
        <f t="shared" si="280"/>
        <v>0.17000000000000004</v>
      </c>
      <c r="G280" s="13">
        <f t="shared" si="283"/>
        <v>2.1777000000000006</v>
      </c>
      <c r="H280" s="13"/>
      <c r="I280" s="13"/>
      <c r="J280" s="20"/>
      <c r="K280" s="20"/>
      <c r="L280" s="20"/>
      <c r="M280" s="20"/>
      <c r="N280" s="20"/>
      <c r="O280" s="13"/>
      <c r="P280" s="13"/>
      <c r="Q280" s="13"/>
      <c r="R280" s="13"/>
      <c r="S280" s="13"/>
      <c r="T280" s="13"/>
      <c r="U280" s="20"/>
      <c r="V280" s="20"/>
      <c r="W280" s="20"/>
      <c r="X280" s="20"/>
      <c r="Y280" s="20">
        <f t="shared" ref="Y280:Y283" si="285">F280</f>
        <v>0.17000000000000004</v>
      </c>
      <c r="Z280" s="20">
        <f t="shared" ref="Z280:Z283" si="286">B280</f>
        <v>12.81</v>
      </c>
      <c r="AA280" s="20">
        <f t="shared" ref="AA280:AA283" si="287">Z280*Y280</f>
        <v>2.1777000000000006</v>
      </c>
      <c r="AB280" s="20"/>
      <c r="AC280" s="20"/>
      <c r="AD280" s="20"/>
      <c r="AE280" s="18"/>
      <c r="AF280" s="18"/>
      <c r="AG280" s="18"/>
      <c r="AH280" s="18"/>
      <c r="AI280" s="18"/>
      <c r="AJ280" s="18"/>
    </row>
    <row r="281" spans="1:36" ht="15.6" customHeight="1" x14ac:dyDescent="0.25">
      <c r="A281" s="8" t="s">
        <v>283</v>
      </c>
      <c r="B281" s="13">
        <v>26.683</v>
      </c>
      <c r="C281" s="13">
        <v>-0.06</v>
      </c>
      <c r="D281" s="13">
        <f t="shared" si="278"/>
        <v>-0.15</v>
      </c>
      <c r="E281" s="11">
        <f>D281-0.4</f>
        <v>-0.55000000000000004</v>
      </c>
      <c r="F281" s="11">
        <f t="shared" si="280"/>
        <v>0.4</v>
      </c>
      <c r="G281" s="13">
        <f t="shared" si="283"/>
        <v>10.673200000000001</v>
      </c>
      <c r="H281" s="13"/>
      <c r="I281" s="13"/>
      <c r="J281" s="20"/>
      <c r="K281" s="20"/>
      <c r="L281" s="20"/>
      <c r="M281" s="20"/>
      <c r="N281" s="20"/>
      <c r="O281" s="13"/>
      <c r="P281" s="13"/>
      <c r="Q281" s="13"/>
      <c r="R281" s="13"/>
      <c r="S281" s="13"/>
      <c r="T281" s="13"/>
      <c r="U281" s="20"/>
      <c r="V281" s="20"/>
      <c r="W281" s="20"/>
      <c r="X281" s="20"/>
      <c r="Y281" s="20">
        <f t="shared" si="285"/>
        <v>0.4</v>
      </c>
      <c r="Z281" s="20">
        <f t="shared" si="286"/>
        <v>26.683</v>
      </c>
      <c r="AA281" s="20">
        <f t="shared" si="287"/>
        <v>10.673200000000001</v>
      </c>
      <c r="AB281" s="20"/>
      <c r="AC281" s="20"/>
      <c r="AD281" s="20"/>
      <c r="AE281" s="18"/>
      <c r="AF281" s="18"/>
      <c r="AG281" s="18"/>
      <c r="AH281" s="18"/>
      <c r="AI281" s="18"/>
      <c r="AJ281" s="18"/>
    </row>
    <row r="282" spans="1:36" ht="15.6" customHeight="1" x14ac:dyDescent="0.25">
      <c r="A282" s="8" t="s">
        <v>284</v>
      </c>
      <c r="B282" s="13">
        <v>21.545000000000002</v>
      </c>
      <c r="C282" s="13">
        <v>0.03</v>
      </c>
      <c r="D282" s="13">
        <f t="shared" si="278"/>
        <v>-0.06</v>
      </c>
      <c r="E282" s="11">
        <f>-0.03-0.4</f>
        <v>-0.43000000000000005</v>
      </c>
      <c r="F282" s="11">
        <f t="shared" si="280"/>
        <v>0.37000000000000005</v>
      </c>
      <c r="G282" s="13">
        <f t="shared" si="283"/>
        <v>7.9716500000000021</v>
      </c>
      <c r="H282" s="13"/>
      <c r="I282" s="13"/>
      <c r="J282" s="20"/>
      <c r="K282" s="20"/>
      <c r="L282" s="20"/>
      <c r="M282" s="20"/>
      <c r="N282" s="20"/>
      <c r="O282" s="13"/>
      <c r="P282" s="13"/>
      <c r="Q282" s="13"/>
      <c r="R282" s="13"/>
      <c r="S282" s="13"/>
      <c r="T282" s="13"/>
      <c r="U282" s="20"/>
      <c r="V282" s="20"/>
      <c r="W282" s="20"/>
      <c r="X282" s="20"/>
      <c r="Y282" s="20">
        <f t="shared" si="285"/>
        <v>0.37000000000000005</v>
      </c>
      <c r="Z282" s="20">
        <f t="shared" si="286"/>
        <v>21.545000000000002</v>
      </c>
      <c r="AA282" s="20">
        <f t="shared" si="287"/>
        <v>7.9716500000000021</v>
      </c>
      <c r="AB282" s="20"/>
      <c r="AC282" s="20"/>
      <c r="AD282" s="20"/>
      <c r="AE282" s="18"/>
      <c r="AF282" s="18"/>
      <c r="AG282" s="18"/>
      <c r="AH282" s="18"/>
      <c r="AI282" s="18"/>
      <c r="AJ282" s="18"/>
    </row>
    <row r="283" spans="1:36" ht="15.6" customHeight="1" x14ac:dyDescent="0.25">
      <c r="A283" s="8" t="s">
        <v>285</v>
      </c>
      <c r="B283" s="13">
        <v>19.106999999999999</v>
      </c>
      <c r="C283" s="13">
        <v>-0.01</v>
      </c>
      <c r="D283" s="13">
        <f t="shared" si="278"/>
        <v>-9.9999999999999992E-2</v>
      </c>
      <c r="E283" s="11">
        <f>-0.03-0.4</f>
        <v>-0.43000000000000005</v>
      </c>
      <c r="F283" s="11">
        <f t="shared" si="280"/>
        <v>0.33000000000000007</v>
      </c>
      <c r="G283" s="13">
        <f t="shared" ref="G283:G290" si="288">F283*B283</f>
        <v>6.3053100000000013</v>
      </c>
      <c r="H283" s="13"/>
      <c r="I283" s="13"/>
      <c r="J283" s="20"/>
      <c r="K283" s="20"/>
      <c r="L283" s="20"/>
      <c r="M283" s="20"/>
      <c r="N283" s="20"/>
      <c r="O283" s="13"/>
      <c r="P283" s="13"/>
      <c r="Q283" s="13"/>
      <c r="R283" s="13"/>
      <c r="S283" s="13"/>
      <c r="T283" s="13"/>
      <c r="U283" s="20"/>
      <c r="V283" s="20"/>
      <c r="W283" s="20"/>
      <c r="X283" s="20"/>
      <c r="Y283" s="20">
        <f t="shared" si="285"/>
        <v>0.33000000000000007</v>
      </c>
      <c r="Z283" s="20">
        <f t="shared" si="286"/>
        <v>19.106999999999999</v>
      </c>
      <c r="AA283" s="20">
        <f t="shared" si="287"/>
        <v>6.3053100000000013</v>
      </c>
      <c r="AB283" s="20"/>
      <c r="AC283" s="20"/>
      <c r="AD283" s="20"/>
      <c r="AE283" s="18"/>
      <c r="AF283" s="18"/>
      <c r="AG283" s="18"/>
      <c r="AH283" s="18"/>
      <c r="AI283" s="18"/>
      <c r="AJ283" s="18"/>
    </row>
    <row r="284" spans="1:36" ht="15.6" customHeight="1" x14ac:dyDescent="0.25">
      <c r="A284" s="8" t="s">
        <v>286</v>
      </c>
      <c r="B284" s="13">
        <v>19.181000000000001</v>
      </c>
      <c r="C284" s="13">
        <v>0.06</v>
      </c>
      <c r="D284" s="13">
        <f t="shared" si="278"/>
        <v>-0.03</v>
      </c>
      <c r="E284" s="11">
        <f>-0.095-0.4</f>
        <v>-0.495</v>
      </c>
      <c r="F284" s="11">
        <f t="shared" si="280"/>
        <v>0.46499999999999997</v>
      </c>
      <c r="G284" s="13">
        <f t="shared" si="288"/>
        <v>8.9191649999999996</v>
      </c>
      <c r="H284" s="13"/>
      <c r="I284" s="13"/>
      <c r="J284" s="20"/>
      <c r="K284" s="20"/>
      <c r="L284" s="20"/>
      <c r="M284" s="20"/>
      <c r="N284" s="20"/>
      <c r="O284" s="13"/>
      <c r="P284" s="13"/>
      <c r="Q284" s="13"/>
      <c r="R284" s="13"/>
      <c r="S284" s="13"/>
      <c r="T284" s="13"/>
      <c r="U284" s="20"/>
      <c r="V284" s="20"/>
      <c r="W284" s="20"/>
      <c r="X284" s="20"/>
      <c r="Y284" s="20">
        <f t="shared" ref="Y284" si="289">F284</f>
        <v>0.46499999999999997</v>
      </c>
      <c r="Z284" s="20">
        <f t="shared" ref="Z284" si="290">B284</f>
        <v>19.181000000000001</v>
      </c>
      <c r="AA284" s="20">
        <f t="shared" ref="AA284" si="291">Z284*Y284</f>
        <v>8.9191649999999996</v>
      </c>
      <c r="AB284" s="20"/>
      <c r="AC284" s="20"/>
      <c r="AD284" s="20"/>
      <c r="AE284" s="18"/>
      <c r="AF284" s="18"/>
      <c r="AG284" s="18"/>
      <c r="AH284" s="18"/>
      <c r="AI284" s="18"/>
      <c r="AJ284" s="18"/>
    </row>
    <row r="285" spans="1:36" ht="15.6" customHeight="1" x14ac:dyDescent="0.25">
      <c r="A285" s="8" t="s">
        <v>287</v>
      </c>
      <c r="B285" s="13">
        <v>18.702000000000002</v>
      </c>
      <c r="C285" s="13">
        <v>-0.12</v>
      </c>
      <c r="D285" s="13">
        <f t="shared" si="278"/>
        <v>-0.21</v>
      </c>
      <c r="E285" s="11">
        <f>-0.125-0.4</f>
        <v>-0.52500000000000002</v>
      </c>
      <c r="F285" s="11">
        <f t="shared" si="280"/>
        <v>0.31500000000000006</v>
      </c>
      <c r="G285" s="13">
        <f t="shared" si="288"/>
        <v>5.8911300000000013</v>
      </c>
      <c r="H285" s="13"/>
      <c r="I285" s="13"/>
      <c r="J285" s="20"/>
      <c r="K285" s="20"/>
      <c r="L285" s="20"/>
      <c r="M285" s="20"/>
      <c r="N285" s="20"/>
      <c r="O285" s="13"/>
      <c r="P285" s="13"/>
      <c r="Q285" s="13"/>
      <c r="R285" s="13"/>
      <c r="S285" s="13"/>
      <c r="T285" s="13"/>
      <c r="U285" s="20"/>
      <c r="V285" s="20"/>
      <c r="W285" s="20"/>
      <c r="X285" s="20"/>
      <c r="Y285" s="20">
        <f t="shared" ref="Y285:Y306" si="292">F285</f>
        <v>0.31500000000000006</v>
      </c>
      <c r="Z285" s="20">
        <f t="shared" ref="Z285:Z291" si="293">B285</f>
        <v>18.702000000000002</v>
      </c>
      <c r="AA285" s="20">
        <f t="shared" ref="AA285:AA291" si="294">Z285*Y285</f>
        <v>5.8911300000000013</v>
      </c>
      <c r="AB285" s="20"/>
      <c r="AC285" s="20"/>
      <c r="AD285" s="20"/>
      <c r="AE285" s="18"/>
      <c r="AF285" s="18"/>
      <c r="AG285" s="18"/>
      <c r="AH285" s="18"/>
      <c r="AI285" s="18"/>
      <c r="AJ285" s="18"/>
    </row>
    <row r="286" spans="1:36" ht="15.6" customHeight="1" x14ac:dyDescent="0.25">
      <c r="A286" s="8" t="s">
        <v>288</v>
      </c>
      <c r="B286" s="13">
        <v>19.244</v>
      </c>
      <c r="C286" s="13">
        <v>-0.12</v>
      </c>
      <c r="D286" s="13">
        <f t="shared" si="278"/>
        <v>-0.21</v>
      </c>
      <c r="E286" s="11">
        <f>-0.12-0.4</f>
        <v>-0.52</v>
      </c>
      <c r="F286" s="11">
        <f t="shared" si="280"/>
        <v>0.31000000000000005</v>
      </c>
      <c r="G286" s="13">
        <f t="shared" si="288"/>
        <v>5.9656400000000014</v>
      </c>
      <c r="H286" s="13"/>
      <c r="I286" s="13"/>
      <c r="J286" s="20"/>
      <c r="K286" s="20"/>
      <c r="L286" s="20"/>
      <c r="M286" s="20"/>
      <c r="N286" s="20"/>
      <c r="O286" s="13"/>
      <c r="P286" s="13"/>
      <c r="Q286" s="13"/>
      <c r="R286" s="13"/>
      <c r="S286" s="13"/>
      <c r="T286" s="13"/>
      <c r="U286" s="20"/>
      <c r="V286" s="20"/>
      <c r="W286" s="20"/>
      <c r="X286" s="20"/>
      <c r="Y286" s="20">
        <f t="shared" si="292"/>
        <v>0.31000000000000005</v>
      </c>
      <c r="Z286" s="20">
        <f t="shared" si="293"/>
        <v>19.244</v>
      </c>
      <c r="AA286" s="20">
        <f t="shared" si="294"/>
        <v>5.9656400000000014</v>
      </c>
      <c r="AB286" s="20"/>
      <c r="AC286" s="20"/>
      <c r="AD286" s="20"/>
      <c r="AE286" s="18"/>
      <c r="AF286" s="18"/>
      <c r="AG286" s="18"/>
      <c r="AH286" s="18"/>
      <c r="AI286" s="18"/>
      <c r="AJ286" s="18"/>
    </row>
    <row r="287" spans="1:36" ht="15.6" customHeight="1" x14ac:dyDescent="0.25">
      <c r="A287" s="8" t="s">
        <v>289</v>
      </c>
      <c r="B287" s="13">
        <v>19.245999999999999</v>
      </c>
      <c r="C287" s="13">
        <v>-0.12</v>
      </c>
      <c r="D287" s="13">
        <f t="shared" si="278"/>
        <v>-0.21</v>
      </c>
      <c r="E287" s="11">
        <v>-0.52</v>
      </c>
      <c r="F287" s="11">
        <f t="shared" si="280"/>
        <v>0.31000000000000005</v>
      </c>
      <c r="G287" s="13">
        <f t="shared" si="288"/>
        <v>5.966260000000001</v>
      </c>
      <c r="H287" s="13"/>
      <c r="I287" s="13"/>
      <c r="J287" s="20"/>
      <c r="K287" s="20"/>
      <c r="L287" s="20"/>
      <c r="M287" s="20"/>
      <c r="N287" s="20"/>
      <c r="O287" s="13"/>
      <c r="P287" s="13"/>
      <c r="Q287" s="13"/>
      <c r="R287" s="13"/>
      <c r="S287" s="13"/>
      <c r="T287" s="13"/>
      <c r="U287" s="20"/>
      <c r="V287" s="20"/>
      <c r="W287" s="20"/>
      <c r="X287" s="20"/>
      <c r="Y287" s="20">
        <f t="shared" si="292"/>
        <v>0.31000000000000005</v>
      </c>
      <c r="Z287" s="20">
        <f t="shared" si="293"/>
        <v>19.245999999999999</v>
      </c>
      <c r="AA287" s="20">
        <f t="shared" si="294"/>
        <v>5.966260000000001</v>
      </c>
      <c r="AB287" s="20"/>
      <c r="AC287" s="20"/>
      <c r="AD287" s="20"/>
      <c r="AE287" s="18"/>
      <c r="AF287" s="18"/>
      <c r="AG287" s="18"/>
      <c r="AH287" s="18"/>
      <c r="AI287" s="18"/>
      <c r="AJ287" s="18"/>
    </row>
    <row r="288" spans="1:36" ht="15.6" customHeight="1" x14ac:dyDescent="0.25">
      <c r="A288" s="8" t="s">
        <v>290</v>
      </c>
      <c r="B288" s="13">
        <v>25.334</v>
      </c>
      <c r="C288" s="13">
        <v>-0.15</v>
      </c>
      <c r="D288" s="13">
        <f t="shared" si="278"/>
        <v>-0.24</v>
      </c>
      <c r="E288" s="11">
        <f>D288-0.4</f>
        <v>-0.64</v>
      </c>
      <c r="F288" s="11">
        <f t="shared" si="280"/>
        <v>0.4</v>
      </c>
      <c r="G288" s="13">
        <f t="shared" si="288"/>
        <v>10.133600000000001</v>
      </c>
      <c r="H288" s="13"/>
      <c r="I288" s="13"/>
      <c r="J288" s="20"/>
      <c r="K288" s="20"/>
      <c r="L288" s="20"/>
      <c r="M288" s="20"/>
      <c r="N288" s="20"/>
      <c r="O288" s="13"/>
      <c r="P288" s="13"/>
      <c r="Q288" s="13"/>
      <c r="R288" s="13"/>
      <c r="S288" s="13"/>
      <c r="T288" s="13"/>
      <c r="U288" s="20"/>
      <c r="V288" s="20"/>
      <c r="W288" s="20"/>
      <c r="X288" s="20"/>
      <c r="Y288" s="20">
        <f t="shared" si="292"/>
        <v>0.4</v>
      </c>
      <c r="Z288" s="20">
        <f t="shared" si="293"/>
        <v>25.334</v>
      </c>
      <c r="AA288" s="20">
        <f t="shared" si="294"/>
        <v>10.133600000000001</v>
      </c>
      <c r="AB288" s="20"/>
      <c r="AC288" s="20"/>
      <c r="AD288" s="20"/>
      <c r="AE288" s="18"/>
      <c r="AF288" s="18"/>
      <c r="AG288" s="18"/>
      <c r="AH288" s="18"/>
      <c r="AI288" s="18"/>
      <c r="AJ288" s="18"/>
    </row>
    <row r="289" spans="1:36" ht="15.6" customHeight="1" x14ac:dyDescent="0.25">
      <c r="A289" s="8" t="s">
        <v>291</v>
      </c>
      <c r="B289" s="13">
        <v>16.113</v>
      </c>
      <c r="C289" s="13">
        <v>-0.17</v>
      </c>
      <c r="D289" s="13">
        <f t="shared" si="278"/>
        <v>-0.26</v>
      </c>
      <c r="E289" s="11">
        <f>D289-0.4</f>
        <v>-0.66</v>
      </c>
      <c r="F289" s="11">
        <f t="shared" si="280"/>
        <v>0.4</v>
      </c>
      <c r="G289" s="13">
        <f t="shared" si="288"/>
        <v>6.4451999999999998</v>
      </c>
      <c r="H289" s="13"/>
      <c r="I289" s="13"/>
      <c r="J289" s="20"/>
      <c r="K289" s="20"/>
      <c r="L289" s="20"/>
      <c r="M289" s="20"/>
      <c r="N289" s="20"/>
      <c r="O289" s="13"/>
      <c r="P289" s="13"/>
      <c r="Q289" s="13"/>
      <c r="R289" s="13"/>
      <c r="S289" s="13"/>
      <c r="T289" s="13"/>
      <c r="U289" s="20"/>
      <c r="V289" s="20"/>
      <c r="W289" s="20"/>
      <c r="X289" s="20"/>
      <c r="Y289" s="20">
        <f t="shared" si="292"/>
        <v>0.4</v>
      </c>
      <c r="Z289" s="20">
        <f t="shared" si="293"/>
        <v>16.113</v>
      </c>
      <c r="AA289" s="20">
        <f t="shared" si="294"/>
        <v>6.4451999999999998</v>
      </c>
      <c r="AB289" s="20"/>
      <c r="AC289" s="20"/>
      <c r="AD289" s="20"/>
      <c r="AE289" s="18"/>
      <c r="AF289" s="18"/>
      <c r="AG289" s="18"/>
      <c r="AH289" s="18"/>
      <c r="AI289" s="18"/>
      <c r="AJ289" s="18"/>
    </row>
    <row r="290" spans="1:36" ht="15.6" customHeight="1" x14ac:dyDescent="0.25">
      <c r="A290" s="8" t="s">
        <v>292</v>
      </c>
      <c r="B290" s="13">
        <f>133.398-55.935</f>
        <v>77.462999999999994</v>
      </c>
      <c r="C290" s="13">
        <v>0.01</v>
      </c>
      <c r="D290" s="13">
        <f t="shared" si="278"/>
        <v>-0.08</v>
      </c>
      <c r="E290" s="11">
        <f t="shared" ref="E290:E291" si="295">D290-0.4</f>
        <v>-0.48000000000000004</v>
      </c>
      <c r="F290" s="11">
        <f t="shared" si="280"/>
        <v>0.4</v>
      </c>
      <c r="G290" s="13">
        <f t="shared" si="288"/>
        <v>30.985199999999999</v>
      </c>
      <c r="H290" s="13"/>
      <c r="I290" s="13"/>
      <c r="J290" s="20"/>
      <c r="K290" s="20"/>
      <c r="L290" s="20"/>
      <c r="M290" s="20"/>
      <c r="N290" s="20"/>
      <c r="O290" s="13"/>
      <c r="P290" s="13"/>
      <c r="Q290" s="13"/>
      <c r="R290" s="13"/>
      <c r="S290" s="13"/>
      <c r="T290" s="13"/>
      <c r="U290" s="20"/>
      <c r="V290" s="20"/>
      <c r="W290" s="20"/>
      <c r="X290" s="20"/>
      <c r="Y290" s="20">
        <f t="shared" si="292"/>
        <v>0.4</v>
      </c>
      <c r="Z290" s="20">
        <f t="shared" si="293"/>
        <v>77.462999999999994</v>
      </c>
      <c r="AA290" s="20">
        <f t="shared" si="294"/>
        <v>30.985199999999999</v>
      </c>
      <c r="AB290" s="20"/>
      <c r="AC290" s="20"/>
      <c r="AD290" s="20"/>
      <c r="AE290" s="18"/>
      <c r="AF290" s="18"/>
      <c r="AG290" s="18"/>
      <c r="AH290" s="18"/>
      <c r="AI290" s="18"/>
      <c r="AJ290" s="18"/>
    </row>
    <row r="291" spans="1:36" ht="15.6" customHeight="1" x14ac:dyDescent="0.25">
      <c r="A291" s="8" t="s">
        <v>293</v>
      </c>
      <c r="B291" s="13">
        <f>185.56-82.059</f>
        <v>103.501</v>
      </c>
      <c r="C291" s="13">
        <v>-0.02</v>
      </c>
      <c r="D291" s="13">
        <f t="shared" si="278"/>
        <v>-0.11</v>
      </c>
      <c r="E291" s="11">
        <f t="shared" si="295"/>
        <v>-0.51</v>
      </c>
      <c r="F291" s="11">
        <f t="shared" si="280"/>
        <v>0.4</v>
      </c>
      <c r="G291" s="13">
        <f t="shared" ref="G291:G306" si="296">F291*B291</f>
        <v>41.400400000000005</v>
      </c>
      <c r="H291" s="13"/>
      <c r="I291" s="13"/>
      <c r="J291" s="20"/>
      <c r="K291" s="20"/>
      <c r="L291" s="20"/>
      <c r="M291" s="20"/>
      <c r="N291" s="20"/>
      <c r="O291" s="13"/>
      <c r="P291" s="13"/>
      <c r="Q291" s="13"/>
      <c r="R291" s="13"/>
      <c r="S291" s="13"/>
      <c r="T291" s="13"/>
      <c r="U291" s="20"/>
      <c r="V291" s="20"/>
      <c r="W291" s="20"/>
      <c r="X291" s="20"/>
      <c r="Y291" s="20">
        <f t="shared" si="292"/>
        <v>0.4</v>
      </c>
      <c r="Z291" s="20">
        <f t="shared" si="293"/>
        <v>103.501</v>
      </c>
      <c r="AA291" s="20">
        <f t="shared" si="294"/>
        <v>41.400400000000005</v>
      </c>
      <c r="AB291" s="20"/>
      <c r="AC291" s="20"/>
      <c r="AD291" s="20"/>
      <c r="AE291" s="18"/>
      <c r="AF291" s="18"/>
      <c r="AG291" s="18"/>
      <c r="AH291" s="18"/>
      <c r="AI291" s="18"/>
      <c r="AJ291" s="18"/>
    </row>
    <row r="292" spans="1:36" ht="15.6" customHeight="1" x14ac:dyDescent="0.25">
      <c r="A292" s="8" t="s">
        <v>294</v>
      </c>
      <c r="B292" s="13">
        <v>21.478999999999999</v>
      </c>
      <c r="C292" s="13">
        <v>-0.15</v>
      </c>
      <c r="D292" s="13">
        <f t="shared" si="278"/>
        <v>-0.24</v>
      </c>
      <c r="E292" s="11">
        <f t="shared" ref="E292:E306" si="297">D292-0.4</f>
        <v>-0.64</v>
      </c>
      <c r="F292" s="11">
        <f t="shared" si="280"/>
        <v>0.4</v>
      </c>
      <c r="G292" s="13">
        <f t="shared" si="296"/>
        <v>8.5915999999999997</v>
      </c>
      <c r="H292" s="13"/>
      <c r="I292" s="13"/>
      <c r="J292" s="20"/>
      <c r="K292" s="20"/>
      <c r="L292" s="20"/>
      <c r="M292" s="20"/>
      <c r="N292" s="20"/>
      <c r="O292" s="13"/>
      <c r="P292" s="13"/>
      <c r="Q292" s="13"/>
      <c r="R292" s="13"/>
      <c r="S292" s="13"/>
      <c r="T292" s="13"/>
      <c r="U292" s="20"/>
      <c r="V292" s="20"/>
      <c r="W292" s="20"/>
      <c r="X292" s="20"/>
      <c r="Y292" s="20">
        <f t="shared" si="292"/>
        <v>0.4</v>
      </c>
      <c r="Z292" s="20">
        <f t="shared" ref="Z292:Z306" si="298">B292</f>
        <v>21.478999999999999</v>
      </c>
      <c r="AA292" s="20">
        <f t="shared" ref="AA292:AA306" si="299">Z292*Y292</f>
        <v>8.5915999999999997</v>
      </c>
      <c r="AB292" s="20"/>
      <c r="AC292" s="20"/>
      <c r="AD292" s="20"/>
      <c r="AE292" s="18"/>
      <c r="AF292" s="18"/>
      <c r="AG292" s="18"/>
      <c r="AH292" s="18"/>
      <c r="AI292" s="18"/>
      <c r="AJ292" s="18"/>
    </row>
    <row r="293" spans="1:36" ht="15.6" customHeight="1" x14ac:dyDescent="0.25">
      <c r="A293" s="8" t="s">
        <v>295</v>
      </c>
      <c r="B293" s="13">
        <v>25.606999999999999</v>
      </c>
      <c r="C293" s="13">
        <v>-0.23</v>
      </c>
      <c r="D293" s="13">
        <f t="shared" si="278"/>
        <v>-0.32</v>
      </c>
      <c r="E293" s="11">
        <f t="shared" si="297"/>
        <v>-0.72</v>
      </c>
      <c r="F293" s="11">
        <f t="shared" si="280"/>
        <v>0.39999999999999997</v>
      </c>
      <c r="G293" s="13">
        <f t="shared" si="296"/>
        <v>10.242799999999999</v>
      </c>
      <c r="H293" s="13"/>
      <c r="I293" s="13"/>
      <c r="J293" s="20"/>
      <c r="K293" s="20"/>
      <c r="L293" s="20"/>
      <c r="M293" s="20"/>
      <c r="N293" s="20"/>
      <c r="O293" s="13"/>
      <c r="P293" s="13"/>
      <c r="Q293" s="13"/>
      <c r="R293" s="13"/>
      <c r="S293" s="13"/>
      <c r="T293" s="13"/>
      <c r="U293" s="20"/>
      <c r="V293" s="20"/>
      <c r="W293" s="20"/>
      <c r="X293" s="20"/>
      <c r="Y293" s="20">
        <f t="shared" si="292"/>
        <v>0.39999999999999997</v>
      </c>
      <c r="Z293" s="20">
        <f t="shared" si="298"/>
        <v>25.606999999999999</v>
      </c>
      <c r="AA293" s="20">
        <f t="shared" si="299"/>
        <v>10.242799999999999</v>
      </c>
      <c r="AB293" s="20"/>
      <c r="AC293" s="20"/>
      <c r="AD293" s="20"/>
      <c r="AE293" s="18"/>
      <c r="AF293" s="18"/>
      <c r="AG293" s="18"/>
      <c r="AH293" s="18"/>
      <c r="AI293" s="18"/>
      <c r="AJ293" s="18"/>
    </row>
    <row r="294" spans="1:36" ht="15.6" customHeight="1" x14ac:dyDescent="0.25">
      <c r="A294" s="8" t="s">
        <v>296</v>
      </c>
      <c r="B294" s="13">
        <v>6.4359999999999999</v>
      </c>
      <c r="C294" s="13">
        <v>-0.23</v>
      </c>
      <c r="D294" s="13">
        <f t="shared" si="278"/>
        <v>-0.32</v>
      </c>
      <c r="E294" s="11">
        <f t="shared" si="297"/>
        <v>-0.72</v>
      </c>
      <c r="F294" s="11">
        <f t="shared" si="280"/>
        <v>0.39999999999999997</v>
      </c>
      <c r="G294" s="13">
        <f t="shared" si="296"/>
        <v>2.5743999999999998</v>
      </c>
      <c r="H294" s="13"/>
      <c r="I294" s="13"/>
      <c r="J294" s="20"/>
      <c r="K294" s="20"/>
      <c r="L294" s="20"/>
      <c r="M294" s="20"/>
      <c r="N294" s="20"/>
      <c r="O294" s="13"/>
      <c r="P294" s="13"/>
      <c r="Q294" s="13"/>
      <c r="R294" s="13"/>
      <c r="S294" s="13"/>
      <c r="T294" s="13"/>
      <c r="U294" s="20"/>
      <c r="V294" s="20"/>
      <c r="W294" s="20"/>
      <c r="X294" s="20"/>
      <c r="Y294" s="20">
        <f t="shared" si="292"/>
        <v>0.39999999999999997</v>
      </c>
      <c r="Z294" s="20">
        <f t="shared" si="298"/>
        <v>6.4359999999999999</v>
      </c>
      <c r="AA294" s="20">
        <f t="shared" si="299"/>
        <v>2.5743999999999998</v>
      </c>
      <c r="AB294" s="20"/>
      <c r="AC294" s="20"/>
      <c r="AD294" s="20"/>
      <c r="AE294" s="18"/>
      <c r="AF294" s="18"/>
      <c r="AG294" s="18"/>
      <c r="AH294" s="18"/>
      <c r="AI294" s="18"/>
      <c r="AJ294" s="18"/>
    </row>
    <row r="295" spans="1:36" ht="15.6" customHeight="1" x14ac:dyDescent="0.25">
      <c r="A295" s="8" t="s">
        <v>297</v>
      </c>
      <c r="B295" s="13">
        <v>5.4610000000000003</v>
      </c>
      <c r="C295" s="13">
        <v>-0.22</v>
      </c>
      <c r="D295" s="13">
        <f t="shared" si="278"/>
        <v>-0.31</v>
      </c>
      <c r="E295" s="11">
        <f t="shared" si="297"/>
        <v>-0.71</v>
      </c>
      <c r="F295" s="11">
        <f t="shared" si="280"/>
        <v>0.39999999999999997</v>
      </c>
      <c r="G295" s="13">
        <f t="shared" si="296"/>
        <v>2.1844000000000001</v>
      </c>
      <c r="H295" s="13"/>
      <c r="I295" s="13"/>
      <c r="J295" s="20"/>
      <c r="K295" s="20"/>
      <c r="L295" s="20"/>
      <c r="M295" s="20"/>
      <c r="N295" s="20"/>
      <c r="O295" s="13"/>
      <c r="P295" s="13"/>
      <c r="Q295" s="13"/>
      <c r="R295" s="13"/>
      <c r="S295" s="13"/>
      <c r="T295" s="13"/>
      <c r="U295" s="20"/>
      <c r="V295" s="20"/>
      <c r="W295" s="20"/>
      <c r="X295" s="20"/>
      <c r="Y295" s="20">
        <f t="shared" si="292"/>
        <v>0.39999999999999997</v>
      </c>
      <c r="Z295" s="20">
        <f t="shared" si="298"/>
        <v>5.4610000000000003</v>
      </c>
      <c r="AA295" s="20">
        <f t="shared" si="299"/>
        <v>2.1844000000000001</v>
      </c>
      <c r="AB295" s="20"/>
      <c r="AC295" s="20"/>
      <c r="AD295" s="20"/>
      <c r="AE295" s="18"/>
      <c r="AF295" s="18"/>
      <c r="AG295" s="18"/>
      <c r="AH295" s="18"/>
      <c r="AI295" s="18"/>
      <c r="AJ295" s="18"/>
    </row>
    <row r="296" spans="1:36" ht="15.6" customHeight="1" x14ac:dyDescent="0.25">
      <c r="A296" s="8" t="s">
        <v>298</v>
      </c>
      <c r="B296" s="13">
        <v>15.122999999999999</v>
      </c>
      <c r="C296" s="13">
        <v>-0.2</v>
      </c>
      <c r="D296" s="13">
        <f t="shared" si="278"/>
        <v>-0.29000000000000004</v>
      </c>
      <c r="E296" s="11">
        <f t="shared" si="297"/>
        <v>-0.69000000000000006</v>
      </c>
      <c r="F296" s="11">
        <f t="shared" si="280"/>
        <v>0.4</v>
      </c>
      <c r="G296" s="13">
        <f t="shared" si="296"/>
        <v>6.0491999999999999</v>
      </c>
      <c r="H296" s="13"/>
      <c r="I296" s="13"/>
      <c r="J296" s="20"/>
      <c r="K296" s="20"/>
      <c r="L296" s="20"/>
      <c r="M296" s="20"/>
      <c r="N296" s="20"/>
      <c r="O296" s="13"/>
      <c r="P296" s="13"/>
      <c r="Q296" s="13"/>
      <c r="R296" s="13"/>
      <c r="S296" s="13"/>
      <c r="T296" s="13"/>
      <c r="U296" s="20"/>
      <c r="V296" s="20"/>
      <c r="W296" s="20"/>
      <c r="X296" s="20"/>
      <c r="Y296" s="20">
        <f t="shared" si="292"/>
        <v>0.4</v>
      </c>
      <c r="Z296" s="20">
        <f t="shared" si="298"/>
        <v>15.122999999999999</v>
      </c>
      <c r="AA296" s="20">
        <f t="shared" si="299"/>
        <v>6.0491999999999999</v>
      </c>
      <c r="AB296" s="20"/>
      <c r="AC296" s="20"/>
      <c r="AD296" s="20"/>
      <c r="AE296" s="18"/>
      <c r="AF296" s="18"/>
      <c r="AG296" s="18"/>
      <c r="AH296" s="18"/>
      <c r="AI296" s="18"/>
      <c r="AJ296" s="18"/>
    </row>
    <row r="297" spans="1:36" ht="15.6" customHeight="1" x14ac:dyDescent="0.25">
      <c r="A297" s="8" t="s">
        <v>299</v>
      </c>
      <c r="B297" s="13">
        <v>20.271000000000001</v>
      </c>
      <c r="C297" s="13">
        <v>-0.26</v>
      </c>
      <c r="D297" s="13">
        <f t="shared" si="278"/>
        <v>-0.35</v>
      </c>
      <c r="E297" s="11">
        <f t="shared" si="297"/>
        <v>-0.75</v>
      </c>
      <c r="F297" s="11">
        <f t="shared" si="280"/>
        <v>0.4</v>
      </c>
      <c r="G297" s="13">
        <f t="shared" si="296"/>
        <v>8.1084000000000014</v>
      </c>
      <c r="H297" s="13"/>
      <c r="I297" s="13"/>
      <c r="J297" s="20"/>
      <c r="K297" s="20"/>
      <c r="L297" s="20"/>
      <c r="M297" s="20"/>
      <c r="N297" s="20"/>
      <c r="O297" s="13"/>
      <c r="P297" s="13"/>
      <c r="Q297" s="13"/>
      <c r="R297" s="13"/>
      <c r="S297" s="13"/>
      <c r="T297" s="13"/>
      <c r="U297" s="20"/>
      <c r="V297" s="20"/>
      <c r="W297" s="20"/>
      <c r="X297" s="20"/>
      <c r="Y297" s="20">
        <f t="shared" si="292"/>
        <v>0.4</v>
      </c>
      <c r="Z297" s="20">
        <f t="shared" si="298"/>
        <v>20.271000000000001</v>
      </c>
      <c r="AA297" s="20">
        <f t="shared" si="299"/>
        <v>8.1084000000000014</v>
      </c>
      <c r="AB297" s="20"/>
      <c r="AC297" s="20"/>
      <c r="AD297" s="20"/>
      <c r="AE297" s="18"/>
      <c r="AF297" s="18"/>
      <c r="AG297" s="18"/>
      <c r="AH297" s="18"/>
      <c r="AI297" s="18"/>
      <c r="AJ297" s="18"/>
    </row>
    <row r="298" spans="1:36" ht="15.6" customHeight="1" x14ac:dyDescent="0.25">
      <c r="A298" s="8" t="s">
        <v>350</v>
      </c>
      <c r="B298" s="13">
        <v>129.327</v>
      </c>
      <c r="C298" s="13">
        <v>-0.16</v>
      </c>
      <c r="D298" s="13">
        <f t="shared" si="278"/>
        <v>-0.25</v>
      </c>
      <c r="E298" s="11">
        <f t="shared" si="297"/>
        <v>-0.65</v>
      </c>
      <c r="F298" s="11">
        <f t="shared" si="280"/>
        <v>0.4</v>
      </c>
      <c r="G298" s="13">
        <f t="shared" si="296"/>
        <v>51.730800000000002</v>
      </c>
      <c r="H298" s="13"/>
      <c r="I298" s="13"/>
      <c r="J298" s="20"/>
      <c r="K298" s="20"/>
      <c r="L298" s="20"/>
      <c r="M298" s="20"/>
      <c r="N298" s="20"/>
      <c r="O298" s="13"/>
      <c r="P298" s="13"/>
      <c r="Q298" s="13"/>
      <c r="R298" s="13"/>
      <c r="S298" s="13"/>
      <c r="T298" s="13"/>
      <c r="U298" s="20"/>
      <c r="V298" s="20"/>
      <c r="W298" s="20"/>
      <c r="X298" s="20"/>
      <c r="Y298" s="20">
        <f t="shared" si="292"/>
        <v>0.4</v>
      </c>
      <c r="Z298" s="20">
        <f t="shared" si="298"/>
        <v>129.327</v>
      </c>
      <c r="AA298" s="20">
        <f t="shared" si="299"/>
        <v>51.730800000000002</v>
      </c>
      <c r="AB298" s="20"/>
      <c r="AC298" s="20"/>
      <c r="AD298" s="20"/>
      <c r="AE298" s="18"/>
      <c r="AF298" s="18"/>
      <c r="AG298" s="18"/>
      <c r="AH298" s="18"/>
      <c r="AI298" s="18"/>
      <c r="AJ298" s="18"/>
    </row>
    <row r="299" spans="1:36" ht="15.6" customHeight="1" x14ac:dyDescent="0.25">
      <c r="A299" s="8" t="s">
        <v>351</v>
      </c>
      <c r="B299" s="13">
        <v>31.350999999999999</v>
      </c>
      <c r="C299" s="13">
        <v>-0.18</v>
      </c>
      <c r="D299" s="13">
        <f t="shared" ref="D299" si="300">C299-0.09</f>
        <v>-0.27</v>
      </c>
      <c r="E299" s="11">
        <f t="shared" ref="E299" si="301">D299-0.4</f>
        <v>-0.67</v>
      </c>
      <c r="F299" s="11">
        <f t="shared" ref="F299" si="302">D299-E299</f>
        <v>0.4</v>
      </c>
      <c r="G299" s="13">
        <f t="shared" ref="G299" si="303">F299*B299</f>
        <v>12.5404</v>
      </c>
      <c r="H299" s="13"/>
      <c r="I299" s="13"/>
      <c r="J299" s="20"/>
      <c r="K299" s="20"/>
      <c r="L299" s="20"/>
      <c r="M299" s="20"/>
      <c r="N299" s="20"/>
      <c r="O299" s="13"/>
      <c r="P299" s="13"/>
      <c r="Q299" s="13"/>
      <c r="R299" s="13"/>
      <c r="S299" s="13"/>
      <c r="T299" s="13"/>
      <c r="U299" s="20"/>
      <c r="V299" s="20"/>
      <c r="W299" s="20"/>
      <c r="X299" s="20"/>
      <c r="Y299" s="20">
        <f t="shared" si="292"/>
        <v>0.4</v>
      </c>
      <c r="Z299" s="20">
        <f t="shared" ref="Z299" si="304">B299</f>
        <v>31.350999999999999</v>
      </c>
      <c r="AA299" s="20">
        <f t="shared" ref="AA299" si="305">Z299*Y299</f>
        <v>12.5404</v>
      </c>
      <c r="AB299" s="20"/>
      <c r="AC299" s="20"/>
      <c r="AD299" s="20"/>
      <c r="AE299" s="18"/>
      <c r="AF299" s="18"/>
      <c r="AG299" s="18"/>
      <c r="AH299" s="18"/>
      <c r="AI299" s="18"/>
      <c r="AJ299" s="18"/>
    </row>
    <row r="300" spans="1:36" ht="15.6" customHeight="1" x14ac:dyDescent="0.25">
      <c r="A300" s="8" t="s">
        <v>300</v>
      </c>
      <c r="B300" s="13">
        <v>3.9950000000000001</v>
      </c>
      <c r="C300" s="13">
        <v>-0.38</v>
      </c>
      <c r="D300" s="13">
        <f t="shared" si="278"/>
        <v>-0.47</v>
      </c>
      <c r="E300" s="11">
        <f t="shared" si="297"/>
        <v>-0.87</v>
      </c>
      <c r="F300" s="11">
        <f t="shared" si="280"/>
        <v>0.4</v>
      </c>
      <c r="G300" s="13">
        <f t="shared" si="296"/>
        <v>1.5980000000000001</v>
      </c>
      <c r="H300" s="13"/>
      <c r="I300" s="13"/>
      <c r="J300" s="20"/>
      <c r="K300" s="20"/>
      <c r="L300" s="20"/>
      <c r="M300" s="20"/>
      <c r="N300" s="20"/>
      <c r="O300" s="13"/>
      <c r="P300" s="13"/>
      <c r="Q300" s="13"/>
      <c r="R300" s="13"/>
      <c r="S300" s="13"/>
      <c r="T300" s="13"/>
      <c r="U300" s="20"/>
      <c r="V300" s="20"/>
      <c r="W300" s="20"/>
      <c r="X300" s="20"/>
      <c r="Y300" s="20">
        <f t="shared" si="292"/>
        <v>0.4</v>
      </c>
      <c r="Z300" s="20">
        <f t="shared" si="298"/>
        <v>3.9950000000000001</v>
      </c>
      <c r="AA300" s="20">
        <f t="shared" si="299"/>
        <v>1.5980000000000001</v>
      </c>
      <c r="AB300" s="20"/>
      <c r="AC300" s="20"/>
      <c r="AD300" s="20"/>
      <c r="AE300" s="18"/>
      <c r="AF300" s="18"/>
      <c r="AG300" s="18"/>
      <c r="AH300" s="18"/>
      <c r="AI300" s="18"/>
      <c r="AJ300" s="18"/>
    </row>
    <row r="301" spans="1:36" ht="15.6" customHeight="1" x14ac:dyDescent="0.25">
      <c r="A301" s="8" t="s">
        <v>301</v>
      </c>
      <c r="B301" s="13">
        <v>19.626999999999999</v>
      </c>
      <c r="C301" s="13">
        <v>-0.27</v>
      </c>
      <c r="D301" s="13">
        <f t="shared" si="278"/>
        <v>-0.36</v>
      </c>
      <c r="E301" s="11">
        <f t="shared" si="297"/>
        <v>-0.76</v>
      </c>
      <c r="F301" s="11">
        <f t="shared" si="280"/>
        <v>0.4</v>
      </c>
      <c r="G301" s="13">
        <f t="shared" si="296"/>
        <v>7.8507999999999996</v>
      </c>
      <c r="H301" s="13"/>
      <c r="I301" s="13"/>
      <c r="J301" s="20"/>
      <c r="K301" s="20"/>
      <c r="L301" s="20"/>
      <c r="M301" s="20"/>
      <c r="N301" s="20"/>
      <c r="O301" s="13"/>
      <c r="P301" s="13"/>
      <c r="Q301" s="13"/>
      <c r="R301" s="13"/>
      <c r="S301" s="13"/>
      <c r="T301" s="13"/>
      <c r="U301" s="20"/>
      <c r="V301" s="20"/>
      <c r="W301" s="20"/>
      <c r="X301" s="20"/>
      <c r="Y301" s="20">
        <f t="shared" si="292"/>
        <v>0.4</v>
      </c>
      <c r="Z301" s="20">
        <f t="shared" si="298"/>
        <v>19.626999999999999</v>
      </c>
      <c r="AA301" s="20">
        <f t="shared" si="299"/>
        <v>7.8507999999999996</v>
      </c>
      <c r="AB301" s="20"/>
      <c r="AC301" s="20"/>
      <c r="AD301" s="20"/>
      <c r="AE301" s="18"/>
      <c r="AF301" s="18"/>
      <c r="AG301" s="18"/>
      <c r="AH301" s="18"/>
      <c r="AI301" s="18"/>
      <c r="AJ301" s="18"/>
    </row>
    <row r="302" spans="1:36" ht="15.6" customHeight="1" x14ac:dyDescent="0.25">
      <c r="A302" s="8" t="s">
        <v>302</v>
      </c>
      <c r="B302" s="13">
        <v>17.385999999999999</v>
      </c>
      <c r="C302" s="13">
        <v>-0.2</v>
      </c>
      <c r="D302" s="13">
        <f t="shared" si="278"/>
        <v>-0.29000000000000004</v>
      </c>
      <c r="E302" s="11">
        <f t="shared" si="297"/>
        <v>-0.69000000000000006</v>
      </c>
      <c r="F302" s="11">
        <f t="shared" si="280"/>
        <v>0.4</v>
      </c>
      <c r="G302" s="13">
        <f t="shared" si="296"/>
        <v>6.9543999999999997</v>
      </c>
      <c r="H302" s="13"/>
      <c r="I302" s="13"/>
      <c r="J302" s="20"/>
      <c r="K302" s="20"/>
      <c r="L302" s="20"/>
      <c r="M302" s="20"/>
      <c r="N302" s="20"/>
      <c r="O302" s="13"/>
      <c r="P302" s="13"/>
      <c r="Q302" s="13"/>
      <c r="R302" s="13"/>
      <c r="S302" s="13"/>
      <c r="T302" s="13"/>
      <c r="U302" s="20"/>
      <c r="V302" s="20"/>
      <c r="W302" s="20"/>
      <c r="X302" s="20"/>
      <c r="Y302" s="20">
        <f t="shared" si="292"/>
        <v>0.4</v>
      </c>
      <c r="Z302" s="20">
        <f t="shared" si="298"/>
        <v>17.385999999999999</v>
      </c>
      <c r="AA302" s="20">
        <f t="shared" si="299"/>
        <v>6.9543999999999997</v>
      </c>
      <c r="AB302" s="20"/>
      <c r="AC302" s="20"/>
      <c r="AD302" s="20"/>
      <c r="AE302" s="18"/>
      <c r="AF302" s="18"/>
      <c r="AG302" s="18"/>
      <c r="AH302" s="18"/>
      <c r="AI302" s="18"/>
      <c r="AJ302" s="18"/>
    </row>
    <row r="303" spans="1:36" ht="15.6" customHeight="1" x14ac:dyDescent="0.25">
      <c r="A303" s="8" t="s">
        <v>303</v>
      </c>
      <c r="B303" s="13">
        <v>8.7149999999999999</v>
      </c>
      <c r="C303" s="13">
        <v>-0.33</v>
      </c>
      <c r="D303" s="13">
        <f t="shared" si="278"/>
        <v>-0.42000000000000004</v>
      </c>
      <c r="E303" s="11">
        <f t="shared" si="297"/>
        <v>-0.82000000000000006</v>
      </c>
      <c r="F303" s="11">
        <f t="shared" si="280"/>
        <v>0.4</v>
      </c>
      <c r="G303" s="13">
        <f t="shared" si="296"/>
        <v>3.4860000000000002</v>
      </c>
      <c r="H303" s="13"/>
      <c r="I303" s="13"/>
      <c r="J303" s="20"/>
      <c r="K303" s="20"/>
      <c r="L303" s="20"/>
      <c r="M303" s="20"/>
      <c r="N303" s="20"/>
      <c r="O303" s="13"/>
      <c r="P303" s="13"/>
      <c r="Q303" s="13"/>
      <c r="R303" s="13"/>
      <c r="S303" s="13"/>
      <c r="T303" s="13"/>
      <c r="U303" s="20"/>
      <c r="V303" s="20"/>
      <c r="W303" s="20"/>
      <c r="X303" s="20"/>
      <c r="Y303" s="20">
        <f t="shared" si="292"/>
        <v>0.4</v>
      </c>
      <c r="Z303" s="20">
        <f t="shared" si="298"/>
        <v>8.7149999999999999</v>
      </c>
      <c r="AA303" s="20">
        <f t="shared" si="299"/>
        <v>3.4860000000000002</v>
      </c>
      <c r="AB303" s="20"/>
      <c r="AC303" s="20"/>
      <c r="AD303" s="20"/>
      <c r="AE303" s="18"/>
      <c r="AF303" s="18"/>
      <c r="AG303" s="18"/>
      <c r="AH303" s="18"/>
      <c r="AI303" s="18"/>
      <c r="AJ303" s="18"/>
    </row>
    <row r="304" spans="1:36" ht="15.6" customHeight="1" x14ac:dyDescent="0.25">
      <c r="A304" s="8" t="s">
        <v>304</v>
      </c>
      <c r="B304" s="13">
        <v>4.6980000000000004</v>
      </c>
      <c r="C304" s="13">
        <v>-0.33</v>
      </c>
      <c r="D304" s="13">
        <f t="shared" si="278"/>
        <v>-0.42000000000000004</v>
      </c>
      <c r="E304" s="11">
        <f t="shared" si="297"/>
        <v>-0.82000000000000006</v>
      </c>
      <c r="F304" s="11">
        <f t="shared" si="280"/>
        <v>0.4</v>
      </c>
      <c r="G304" s="13">
        <f t="shared" si="296"/>
        <v>1.8792000000000002</v>
      </c>
      <c r="H304" s="13"/>
      <c r="I304" s="13"/>
      <c r="J304" s="20"/>
      <c r="K304" s="20"/>
      <c r="L304" s="20"/>
      <c r="M304" s="20"/>
      <c r="N304" s="20"/>
      <c r="O304" s="13"/>
      <c r="P304" s="13"/>
      <c r="Q304" s="13"/>
      <c r="R304" s="13"/>
      <c r="S304" s="13"/>
      <c r="T304" s="13"/>
      <c r="U304" s="20"/>
      <c r="V304" s="20"/>
      <c r="W304" s="20"/>
      <c r="X304" s="20"/>
      <c r="Y304" s="20">
        <f t="shared" si="292"/>
        <v>0.4</v>
      </c>
      <c r="Z304" s="20">
        <f t="shared" si="298"/>
        <v>4.6980000000000004</v>
      </c>
      <c r="AA304" s="20">
        <f t="shared" si="299"/>
        <v>1.8792000000000002</v>
      </c>
      <c r="AB304" s="20"/>
      <c r="AC304" s="20"/>
      <c r="AD304" s="20"/>
      <c r="AE304" s="18"/>
      <c r="AF304" s="18"/>
      <c r="AG304" s="18"/>
      <c r="AH304" s="18"/>
      <c r="AI304" s="18"/>
      <c r="AJ304" s="18"/>
    </row>
    <row r="305" spans="1:38" ht="15.6" customHeight="1" x14ac:dyDescent="0.25">
      <c r="A305" s="8" t="s">
        <v>305</v>
      </c>
      <c r="B305" s="13">
        <v>3.0179999999999998</v>
      </c>
      <c r="C305" s="13">
        <v>-0.22</v>
      </c>
      <c r="D305" s="13">
        <f t="shared" si="278"/>
        <v>-0.31</v>
      </c>
      <c r="E305" s="11">
        <f t="shared" si="297"/>
        <v>-0.71</v>
      </c>
      <c r="F305" s="11">
        <f t="shared" si="280"/>
        <v>0.39999999999999997</v>
      </c>
      <c r="G305" s="13">
        <f t="shared" si="296"/>
        <v>1.2071999999999998</v>
      </c>
      <c r="H305" s="13"/>
      <c r="I305" s="13"/>
      <c r="J305" s="20"/>
      <c r="K305" s="20"/>
      <c r="L305" s="20"/>
      <c r="M305" s="20"/>
      <c r="N305" s="20"/>
      <c r="O305" s="13"/>
      <c r="P305" s="13"/>
      <c r="Q305" s="13"/>
      <c r="R305" s="13"/>
      <c r="S305" s="13"/>
      <c r="T305" s="13"/>
      <c r="U305" s="20"/>
      <c r="V305" s="20"/>
      <c r="W305" s="20"/>
      <c r="X305" s="20"/>
      <c r="Y305" s="20">
        <f t="shared" si="292"/>
        <v>0.39999999999999997</v>
      </c>
      <c r="Z305" s="20">
        <f t="shared" si="298"/>
        <v>3.0179999999999998</v>
      </c>
      <c r="AA305" s="20">
        <f t="shared" si="299"/>
        <v>1.2071999999999998</v>
      </c>
      <c r="AB305" s="20"/>
      <c r="AC305" s="20"/>
      <c r="AD305" s="20"/>
      <c r="AE305" s="18"/>
      <c r="AF305" s="18"/>
      <c r="AG305" s="18"/>
      <c r="AH305" s="18"/>
      <c r="AI305" s="18"/>
      <c r="AJ305" s="18"/>
    </row>
    <row r="306" spans="1:38" ht="15.6" customHeight="1" x14ac:dyDescent="0.25">
      <c r="A306" s="8" t="s">
        <v>306</v>
      </c>
      <c r="B306" s="13">
        <v>94.492999999999995</v>
      </c>
      <c r="C306" s="13">
        <v>-0.02</v>
      </c>
      <c r="D306" s="13">
        <f t="shared" si="278"/>
        <v>-0.11</v>
      </c>
      <c r="E306" s="11">
        <f t="shared" si="297"/>
        <v>-0.51</v>
      </c>
      <c r="F306" s="11">
        <f t="shared" si="280"/>
        <v>0.4</v>
      </c>
      <c r="G306" s="13">
        <f t="shared" si="296"/>
        <v>37.797199999999997</v>
      </c>
      <c r="H306" s="13"/>
      <c r="I306" s="13"/>
      <c r="J306" s="20"/>
      <c r="K306" s="20"/>
      <c r="L306" s="20"/>
      <c r="M306" s="20"/>
      <c r="N306" s="20"/>
      <c r="O306" s="13"/>
      <c r="P306" s="13"/>
      <c r="Q306" s="13"/>
      <c r="R306" s="13"/>
      <c r="S306" s="13"/>
      <c r="T306" s="13"/>
      <c r="U306" s="20"/>
      <c r="V306" s="20"/>
      <c r="W306" s="20"/>
      <c r="X306" s="20"/>
      <c r="Y306" s="20">
        <f t="shared" si="292"/>
        <v>0.4</v>
      </c>
      <c r="Z306" s="20">
        <f t="shared" si="298"/>
        <v>94.492999999999995</v>
      </c>
      <c r="AA306" s="20">
        <f t="shared" si="299"/>
        <v>37.797199999999997</v>
      </c>
      <c r="AB306" s="20"/>
      <c r="AC306" s="20"/>
      <c r="AD306" s="20"/>
      <c r="AE306" s="18"/>
      <c r="AF306" s="18"/>
      <c r="AG306" s="18"/>
      <c r="AH306" s="18"/>
      <c r="AI306" s="18"/>
      <c r="AJ306" s="18"/>
    </row>
    <row r="307" spans="1:38" ht="15.6" customHeight="1" x14ac:dyDescent="0.25">
      <c r="A307" s="8" t="s">
        <v>340</v>
      </c>
      <c r="B307" s="13">
        <f>4.8*3.9</f>
        <v>18.72</v>
      </c>
      <c r="C307" s="13">
        <v>0.42</v>
      </c>
      <c r="D307" s="13">
        <f t="shared" si="278"/>
        <v>0.32999999999999996</v>
      </c>
      <c r="E307" s="11">
        <f>D307-0.12</f>
        <v>0.20999999999999996</v>
      </c>
      <c r="F307" s="11"/>
      <c r="G307" s="13"/>
      <c r="H307" s="13"/>
      <c r="I307" s="13"/>
      <c r="J307" s="20"/>
      <c r="K307" s="20"/>
      <c r="L307" s="20"/>
      <c r="M307" s="20"/>
      <c r="N307" s="20"/>
      <c r="O307" s="13"/>
      <c r="P307" s="13"/>
      <c r="Q307" s="13"/>
      <c r="R307" s="13"/>
      <c r="S307" s="13"/>
      <c r="T307" s="13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18"/>
      <c r="AF307" s="18"/>
      <c r="AG307" s="18"/>
      <c r="AH307" s="18"/>
      <c r="AI307" s="18"/>
      <c r="AJ307" s="18"/>
    </row>
    <row r="308" spans="1:38" ht="15.6" customHeight="1" x14ac:dyDescent="0.25">
      <c r="A308" s="8" t="s">
        <v>341</v>
      </c>
      <c r="B308" s="13">
        <f>3.4*4.4</f>
        <v>14.96</v>
      </c>
      <c r="C308" s="13">
        <v>0.28999999999999998</v>
      </c>
      <c r="D308" s="13">
        <f t="shared" si="278"/>
        <v>0.19999999999999998</v>
      </c>
      <c r="E308" s="11">
        <f t="shared" ref="E308:E316" si="306">D308-0.12</f>
        <v>7.9999999999999988E-2</v>
      </c>
      <c r="F308" s="11"/>
      <c r="G308" s="13"/>
      <c r="H308" s="13"/>
      <c r="I308" s="13"/>
      <c r="J308" s="20"/>
      <c r="K308" s="20"/>
      <c r="L308" s="20"/>
      <c r="M308" s="20"/>
      <c r="N308" s="20"/>
      <c r="O308" s="13"/>
      <c r="P308" s="13"/>
      <c r="Q308" s="13"/>
      <c r="R308" s="13"/>
      <c r="S308" s="13"/>
      <c r="T308" s="13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18"/>
      <c r="AF308" s="18"/>
      <c r="AG308" s="18"/>
      <c r="AH308" s="18"/>
      <c r="AI308" s="18"/>
      <c r="AJ308" s="18"/>
    </row>
    <row r="309" spans="1:38" ht="15.6" customHeight="1" x14ac:dyDescent="0.25">
      <c r="A309" s="8" t="s">
        <v>342</v>
      </c>
      <c r="B309" s="13">
        <f>3.4*4.4</f>
        <v>14.96</v>
      </c>
      <c r="C309" s="13">
        <v>0.28000000000000003</v>
      </c>
      <c r="D309" s="13">
        <f t="shared" si="278"/>
        <v>0.19000000000000003</v>
      </c>
      <c r="E309" s="11">
        <f t="shared" si="306"/>
        <v>7.0000000000000034E-2</v>
      </c>
      <c r="F309" s="11"/>
      <c r="G309" s="13"/>
      <c r="H309" s="13"/>
      <c r="I309" s="13"/>
      <c r="J309" s="20"/>
      <c r="K309" s="20"/>
      <c r="L309" s="20"/>
      <c r="M309" s="20"/>
      <c r="N309" s="20"/>
      <c r="O309" s="13"/>
      <c r="P309" s="13"/>
      <c r="Q309" s="13"/>
      <c r="R309" s="13"/>
      <c r="S309" s="13"/>
      <c r="T309" s="13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18"/>
      <c r="AF309" s="18"/>
      <c r="AG309" s="18"/>
      <c r="AH309" s="18"/>
      <c r="AI309" s="18"/>
      <c r="AJ309" s="18"/>
    </row>
    <row r="310" spans="1:38" ht="15.6" customHeight="1" x14ac:dyDescent="0.25">
      <c r="A310" s="8" t="s">
        <v>343</v>
      </c>
      <c r="B310" s="13">
        <f>4.8*3.9</f>
        <v>18.72</v>
      </c>
      <c r="C310" s="13">
        <v>0.13</v>
      </c>
      <c r="D310" s="13">
        <f t="shared" si="278"/>
        <v>4.0000000000000008E-2</v>
      </c>
      <c r="E310" s="11">
        <f t="shared" si="306"/>
        <v>-7.9999999999999988E-2</v>
      </c>
      <c r="F310" s="11"/>
      <c r="G310" s="13"/>
      <c r="H310" s="13"/>
      <c r="I310" s="13"/>
      <c r="J310" s="20"/>
      <c r="K310" s="20"/>
      <c r="L310" s="20"/>
      <c r="M310" s="20"/>
      <c r="N310" s="20"/>
      <c r="O310" s="13"/>
      <c r="P310" s="13"/>
      <c r="Q310" s="13"/>
      <c r="R310" s="13"/>
      <c r="S310" s="13"/>
      <c r="T310" s="13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18"/>
      <c r="AF310" s="18"/>
      <c r="AG310" s="18"/>
      <c r="AH310" s="18"/>
      <c r="AI310" s="18"/>
      <c r="AJ310" s="18"/>
    </row>
    <row r="311" spans="1:38" ht="15.6" customHeight="1" x14ac:dyDescent="0.25">
      <c r="A311" s="8" t="s">
        <v>344</v>
      </c>
      <c r="B311" s="13">
        <f>3.4*4.4</f>
        <v>14.96</v>
      </c>
      <c r="C311" s="13">
        <v>0</v>
      </c>
      <c r="D311" s="13">
        <f t="shared" si="278"/>
        <v>-0.09</v>
      </c>
      <c r="E311" s="11">
        <f t="shared" si="306"/>
        <v>-0.21</v>
      </c>
      <c r="F311" s="11"/>
      <c r="G311" s="13"/>
      <c r="H311" s="13"/>
      <c r="I311" s="13"/>
      <c r="J311" s="20"/>
      <c r="K311" s="20"/>
      <c r="L311" s="20"/>
      <c r="M311" s="20"/>
      <c r="N311" s="20"/>
      <c r="O311" s="13"/>
      <c r="P311" s="13"/>
      <c r="Q311" s="13"/>
      <c r="R311" s="13"/>
      <c r="S311" s="13"/>
      <c r="T311" s="13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18"/>
      <c r="AF311" s="18"/>
      <c r="AG311" s="18"/>
      <c r="AH311" s="18"/>
      <c r="AI311" s="18"/>
      <c r="AJ311" s="18"/>
    </row>
    <row r="312" spans="1:38" ht="15.6" customHeight="1" x14ac:dyDescent="0.25">
      <c r="A312" s="8" t="s">
        <v>345</v>
      </c>
      <c r="B312" s="13">
        <f>4.8*3.9</f>
        <v>18.72</v>
      </c>
      <c r="C312" s="13">
        <v>0.13</v>
      </c>
      <c r="D312" s="13">
        <f t="shared" si="278"/>
        <v>4.0000000000000008E-2</v>
      </c>
      <c r="E312" s="11">
        <f t="shared" si="306"/>
        <v>-7.9999999999999988E-2</v>
      </c>
      <c r="F312" s="11"/>
      <c r="G312" s="13"/>
      <c r="H312" s="13"/>
      <c r="I312" s="13"/>
      <c r="J312" s="20"/>
      <c r="K312" s="20"/>
      <c r="L312" s="20"/>
      <c r="M312" s="20"/>
      <c r="N312" s="20"/>
      <c r="O312" s="13"/>
      <c r="P312" s="13"/>
      <c r="Q312" s="13"/>
      <c r="R312" s="13"/>
      <c r="S312" s="13"/>
      <c r="T312" s="13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18"/>
      <c r="AF312" s="18"/>
      <c r="AG312" s="18"/>
      <c r="AH312" s="18"/>
      <c r="AI312" s="18"/>
      <c r="AJ312" s="18"/>
    </row>
    <row r="313" spans="1:38" ht="15.6" customHeight="1" x14ac:dyDescent="0.25">
      <c r="A313" s="8" t="s">
        <v>346</v>
      </c>
      <c r="B313" s="13">
        <f>4.2*4.8</f>
        <v>20.16</v>
      </c>
      <c r="C313" s="13">
        <v>-0.28000000000000003</v>
      </c>
      <c r="D313" s="13">
        <f t="shared" si="278"/>
        <v>-0.37</v>
      </c>
      <c r="E313" s="11">
        <f t="shared" si="306"/>
        <v>-0.49</v>
      </c>
      <c r="F313" s="11"/>
      <c r="G313" s="13"/>
      <c r="H313" s="13"/>
      <c r="I313" s="13"/>
      <c r="J313" s="20"/>
      <c r="K313" s="20"/>
      <c r="L313" s="20"/>
      <c r="M313" s="20"/>
      <c r="N313" s="20"/>
      <c r="O313" s="13"/>
      <c r="P313" s="13"/>
      <c r="Q313" s="13"/>
      <c r="R313" s="13"/>
      <c r="S313" s="13"/>
      <c r="T313" s="13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18"/>
      <c r="AF313" s="18"/>
      <c r="AG313" s="18"/>
      <c r="AH313" s="18"/>
      <c r="AI313" s="18"/>
      <c r="AJ313" s="18"/>
    </row>
    <row r="314" spans="1:38" ht="15.6" customHeight="1" x14ac:dyDescent="0.25">
      <c r="A314" s="8" t="s">
        <v>347</v>
      </c>
      <c r="B314" s="13">
        <f>5.65*4.8</f>
        <v>27.12</v>
      </c>
      <c r="C314" s="13">
        <v>-0.27</v>
      </c>
      <c r="D314" s="13">
        <f t="shared" si="278"/>
        <v>-0.36</v>
      </c>
      <c r="E314" s="11">
        <f t="shared" si="306"/>
        <v>-0.48</v>
      </c>
      <c r="F314" s="11"/>
      <c r="G314" s="13"/>
      <c r="H314" s="13"/>
      <c r="I314" s="13"/>
      <c r="J314" s="20"/>
      <c r="K314" s="20"/>
      <c r="L314" s="20"/>
      <c r="M314" s="20"/>
      <c r="N314" s="20"/>
      <c r="O314" s="13"/>
      <c r="P314" s="13"/>
      <c r="Q314" s="13"/>
      <c r="R314" s="13"/>
      <c r="S314" s="13"/>
      <c r="T314" s="13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18"/>
      <c r="AF314" s="18"/>
      <c r="AG314" s="18"/>
      <c r="AH314" s="18"/>
      <c r="AI314" s="18"/>
      <c r="AJ314" s="18"/>
    </row>
    <row r="315" spans="1:38" ht="15.6" customHeight="1" x14ac:dyDescent="0.25">
      <c r="A315" s="8" t="s">
        <v>348</v>
      </c>
      <c r="B315" s="13">
        <f>4.8*4.8</f>
        <v>23.04</v>
      </c>
      <c r="C315" s="13">
        <v>-0.24</v>
      </c>
      <c r="D315" s="13">
        <f t="shared" si="278"/>
        <v>-0.32999999999999996</v>
      </c>
      <c r="E315" s="11">
        <f t="shared" si="306"/>
        <v>-0.44999999999999996</v>
      </c>
      <c r="F315" s="11"/>
      <c r="G315" s="13"/>
      <c r="H315" s="13"/>
      <c r="I315" s="13"/>
      <c r="J315" s="20"/>
      <c r="K315" s="20"/>
      <c r="L315" s="20"/>
      <c r="M315" s="20"/>
      <c r="N315" s="20"/>
      <c r="O315" s="13"/>
      <c r="P315" s="13"/>
      <c r="Q315" s="13"/>
      <c r="R315" s="13"/>
      <c r="S315" s="13"/>
      <c r="T315" s="13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18"/>
      <c r="AF315" s="18"/>
      <c r="AG315" s="18"/>
      <c r="AH315" s="18"/>
      <c r="AI315" s="18"/>
      <c r="AJ315" s="18"/>
    </row>
    <row r="316" spans="1:38" ht="15.6" customHeight="1" x14ac:dyDescent="0.25">
      <c r="A316" s="8" t="s">
        <v>349</v>
      </c>
      <c r="B316" s="13">
        <f>4.8*4.8</f>
        <v>23.04</v>
      </c>
      <c r="C316" s="13">
        <v>-0.22</v>
      </c>
      <c r="D316" s="13">
        <f t="shared" si="278"/>
        <v>-0.31</v>
      </c>
      <c r="E316" s="11">
        <f t="shared" si="306"/>
        <v>-0.43</v>
      </c>
      <c r="F316" s="11"/>
      <c r="G316" s="13"/>
      <c r="H316" s="13"/>
      <c r="I316" s="13"/>
      <c r="J316" s="20"/>
      <c r="K316" s="20"/>
      <c r="L316" s="20"/>
      <c r="M316" s="20"/>
      <c r="N316" s="20"/>
      <c r="O316" s="13"/>
      <c r="P316" s="13"/>
      <c r="Q316" s="13"/>
      <c r="R316" s="13"/>
      <c r="S316" s="13"/>
      <c r="T316" s="13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18"/>
      <c r="AF316" s="18"/>
      <c r="AG316" s="18"/>
      <c r="AH316" s="18"/>
      <c r="AI316" s="18"/>
      <c r="AJ316" s="18"/>
    </row>
    <row r="317" spans="1:38" ht="15.6" customHeight="1" x14ac:dyDescent="0.25">
      <c r="A317" s="8" t="s">
        <v>359</v>
      </c>
      <c r="B317" s="13">
        <f>(0.29*3)*(1.99-0.23)-0.15</f>
        <v>1.3812</v>
      </c>
      <c r="C317" s="13">
        <f>(-0.19+-0.265)/2</f>
        <v>-0.22750000000000001</v>
      </c>
      <c r="D317" s="13">
        <f>C317</f>
        <v>-0.22750000000000001</v>
      </c>
      <c r="E317" s="11">
        <v>-1.99</v>
      </c>
      <c r="F317" s="11">
        <f t="shared" ref="F317:F333" si="307">D317-E317</f>
        <v>1.7625</v>
      </c>
      <c r="G317" s="13"/>
      <c r="H317" s="13">
        <v>59.09</v>
      </c>
      <c r="I317" s="13">
        <f>H317*B317</f>
        <v>81.615108000000006</v>
      </c>
      <c r="J317" s="20"/>
      <c r="K317" s="20"/>
      <c r="L317" s="20"/>
      <c r="M317" s="20"/>
      <c r="N317" s="20"/>
      <c r="O317" s="13"/>
      <c r="P317" s="13"/>
      <c r="Q317" s="13"/>
      <c r="R317" s="13"/>
      <c r="S317" s="13"/>
      <c r="T317" s="13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18"/>
      <c r="AF317" s="18"/>
      <c r="AG317" s="18"/>
      <c r="AH317" s="18">
        <f t="shared" ref="AH317:AH342" si="308">H317</f>
        <v>59.09</v>
      </c>
      <c r="AI317" s="18">
        <f t="shared" ref="AI317:AI348" si="309">B317</f>
        <v>1.3812</v>
      </c>
      <c r="AJ317" s="18">
        <f>AI317*AH317</f>
        <v>81.615108000000006</v>
      </c>
      <c r="AK317" s="33" t="s">
        <v>376</v>
      </c>
      <c r="AL317" s="34"/>
    </row>
    <row r="318" spans="1:38" ht="15.6" customHeight="1" x14ac:dyDescent="0.25">
      <c r="A318" s="8" t="s">
        <v>360</v>
      </c>
      <c r="B318" s="13">
        <f>(0.29*3)*(1.99-0.33)-0.1</f>
        <v>1.3441999999999996</v>
      </c>
      <c r="C318" s="13">
        <f>(-0.265+-0.395)/2</f>
        <v>-0.33</v>
      </c>
      <c r="D318" s="13">
        <f>C318</f>
        <v>-0.33</v>
      </c>
      <c r="E318" s="11">
        <v>-1.99</v>
      </c>
      <c r="F318" s="11">
        <f t="shared" si="307"/>
        <v>1.66</v>
      </c>
      <c r="G318" s="13"/>
      <c r="H318" s="13">
        <v>59.08</v>
      </c>
      <c r="I318" s="13">
        <f>H318*B318</f>
        <v>79.415335999999982</v>
      </c>
      <c r="J318" s="20"/>
      <c r="K318" s="20"/>
      <c r="L318" s="20"/>
      <c r="M318" s="20"/>
      <c r="N318" s="20"/>
      <c r="O318" s="13"/>
      <c r="P318" s="13"/>
      <c r="Q318" s="13"/>
      <c r="R318" s="13"/>
      <c r="S318" s="13"/>
      <c r="T318" s="13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18"/>
      <c r="AF318" s="18"/>
      <c r="AG318" s="18"/>
      <c r="AH318" s="18">
        <f t="shared" si="308"/>
        <v>59.08</v>
      </c>
      <c r="AI318" s="18">
        <f t="shared" si="309"/>
        <v>1.3441999999999996</v>
      </c>
      <c r="AJ318" s="18">
        <f t="shared" ref="AJ318:AJ377" si="310">AI318*AH318</f>
        <v>79.415335999999982</v>
      </c>
      <c r="AK318" s="33" t="s">
        <v>377</v>
      </c>
      <c r="AL318" s="34"/>
    </row>
    <row r="319" spans="1:38" ht="15.6" customHeight="1" x14ac:dyDescent="0.25">
      <c r="A319" s="8" t="s">
        <v>361</v>
      </c>
      <c r="B319" s="13">
        <f>(0.29*3)*(1.99-0.46)-0.1</f>
        <v>1.2310999999999999</v>
      </c>
      <c r="C319" s="13">
        <f>(-0.395+-0.525)/2</f>
        <v>-0.46</v>
      </c>
      <c r="D319" s="13">
        <f t="shared" ref="D319:D377" si="311">C319</f>
        <v>-0.46</v>
      </c>
      <c r="E319" s="11">
        <v>-1.99</v>
      </c>
      <c r="F319" s="11">
        <f t="shared" si="307"/>
        <v>1.53</v>
      </c>
      <c r="G319" s="13"/>
      <c r="H319" s="13">
        <v>13.99</v>
      </c>
      <c r="I319" s="13">
        <f t="shared" ref="I319:I333" si="312">H319*B319</f>
        <v>17.223088999999998</v>
      </c>
      <c r="J319" s="20"/>
      <c r="K319" s="20"/>
      <c r="L319" s="20"/>
      <c r="M319" s="20"/>
      <c r="N319" s="20"/>
      <c r="O319" s="13"/>
      <c r="P319" s="13"/>
      <c r="Q319" s="13"/>
      <c r="R319" s="13"/>
      <c r="S319" s="13"/>
      <c r="T319" s="13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18"/>
      <c r="AF319" s="18"/>
      <c r="AG319" s="18"/>
      <c r="AH319" s="18">
        <f t="shared" si="308"/>
        <v>13.99</v>
      </c>
      <c r="AI319" s="18">
        <f t="shared" si="309"/>
        <v>1.2310999999999999</v>
      </c>
      <c r="AJ319" s="18">
        <f t="shared" si="310"/>
        <v>17.223088999999998</v>
      </c>
      <c r="AK319" s="33" t="s">
        <v>378</v>
      </c>
      <c r="AL319" s="34"/>
    </row>
    <row r="320" spans="1:38" ht="15.6" customHeight="1" x14ac:dyDescent="0.25">
      <c r="A320" s="8" t="s">
        <v>362</v>
      </c>
      <c r="B320" s="13">
        <f>(0.29*3)*(1.99-0.5)-0.1</f>
        <v>1.1962999999999997</v>
      </c>
      <c r="C320" s="13">
        <v>-0.5</v>
      </c>
      <c r="D320" s="13">
        <f t="shared" si="311"/>
        <v>-0.5</v>
      </c>
      <c r="E320" s="11">
        <v>-1.99</v>
      </c>
      <c r="F320" s="11">
        <f t="shared" si="307"/>
        <v>1.49</v>
      </c>
      <c r="G320" s="13"/>
      <c r="H320" s="13">
        <v>28.06</v>
      </c>
      <c r="I320" s="13">
        <f t="shared" si="312"/>
        <v>33.568177999999989</v>
      </c>
      <c r="J320" s="20"/>
      <c r="K320" s="20"/>
      <c r="L320" s="20"/>
      <c r="M320" s="20"/>
      <c r="N320" s="20"/>
      <c r="O320" s="13"/>
      <c r="P320" s="13"/>
      <c r="Q320" s="13"/>
      <c r="R320" s="13"/>
      <c r="S320" s="13"/>
      <c r="T320" s="13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18"/>
      <c r="AF320" s="18"/>
      <c r="AG320" s="18"/>
      <c r="AH320" s="18">
        <f t="shared" si="308"/>
        <v>28.06</v>
      </c>
      <c r="AI320" s="18">
        <f t="shared" si="309"/>
        <v>1.1962999999999997</v>
      </c>
      <c r="AJ320" s="18">
        <f t="shared" si="310"/>
        <v>33.568177999999989</v>
      </c>
      <c r="AK320" s="33" t="s">
        <v>379</v>
      </c>
      <c r="AL320" s="34"/>
    </row>
    <row r="321" spans="1:40" ht="15.6" customHeight="1" x14ac:dyDescent="0.25">
      <c r="A321" s="8" t="s">
        <v>363</v>
      </c>
      <c r="B321" s="13">
        <v>1.1479999999999999</v>
      </c>
      <c r="C321" s="13">
        <v>-0.5</v>
      </c>
      <c r="D321" s="13">
        <f t="shared" si="311"/>
        <v>-0.5</v>
      </c>
      <c r="E321" s="11">
        <v>-1.99</v>
      </c>
      <c r="F321" s="11">
        <f t="shared" si="307"/>
        <v>1.49</v>
      </c>
      <c r="G321" s="13"/>
      <c r="H321" s="13">
        <v>33.69</v>
      </c>
      <c r="I321" s="13">
        <f t="shared" si="312"/>
        <v>38.676119999999997</v>
      </c>
      <c r="J321" s="20"/>
      <c r="K321" s="20"/>
      <c r="L321" s="20"/>
      <c r="M321" s="20"/>
      <c r="N321" s="20"/>
      <c r="O321" s="13"/>
      <c r="P321" s="13"/>
      <c r="Q321" s="13"/>
      <c r="R321" s="13"/>
      <c r="S321" s="13"/>
      <c r="T321" s="13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18"/>
      <c r="AF321" s="18"/>
      <c r="AG321" s="18"/>
      <c r="AH321" s="18">
        <f t="shared" si="308"/>
        <v>33.69</v>
      </c>
      <c r="AI321" s="18">
        <f t="shared" si="309"/>
        <v>1.1479999999999999</v>
      </c>
      <c r="AJ321" s="18">
        <f t="shared" si="310"/>
        <v>38.676119999999997</v>
      </c>
      <c r="AK321" s="33" t="s">
        <v>380</v>
      </c>
      <c r="AL321" s="34"/>
    </row>
    <row r="322" spans="1:40" ht="15.6" customHeight="1" x14ac:dyDescent="0.25">
      <c r="A322" s="8" t="s">
        <v>364</v>
      </c>
      <c r="B322" s="13">
        <f>(0.5*F322)+((0.33*F322)*2)</f>
        <v>1.7864</v>
      </c>
      <c r="C322" s="13">
        <v>-0.45</v>
      </c>
      <c r="D322" s="13">
        <f t="shared" si="311"/>
        <v>-0.45</v>
      </c>
      <c r="E322" s="11">
        <v>-1.99</v>
      </c>
      <c r="F322" s="11">
        <f t="shared" si="307"/>
        <v>1.54</v>
      </c>
      <c r="G322" s="13"/>
      <c r="H322" s="13">
        <v>7.4169999999999998</v>
      </c>
      <c r="I322" s="13">
        <f t="shared" si="312"/>
        <v>13.2497288</v>
      </c>
      <c r="J322" s="20"/>
      <c r="K322" s="20"/>
      <c r="L322" s="20"/>
      <c r="M322" s="20"/>
      <c r="N322" s="20"/>
      <c r="O322" s="13"/>
      <c r="P322" s="13"/>
      <c r="Q322" s="13"/>
      <c r="R322" s="13"/>
      <c r="S322" s="13"/>
      <c r="T322" s="13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18"/>
      <c r="AF322" s="18"/>
      <c r="AG322" s="18"/>
      <c r="AH322" s="18">
        <f t="shared" si="308"/>
        <v>7.4169999999999998</v>
      </c>
      <c r="AI322" s="18">
        <f t="shared" si="309"/>
        <v>1.7864</v>
      </c>
      <c r="AJ322" s="18">
        <f t="shared" ref="AJ322:AJ333" si="313">AI322*AH322</f>
        <v>13.2497288</v>
      </c>
      <c r="AK322" s="33" t="s">
        <v>530</v>
      </c>
      <c r="AL322" s="34"/>
    </row>
    <row r="323" spans="1:40" ht="15.6" customHeight="1" x14ac:dyDescent="0.25">
      <c r="A323" s="8" t="s">
        <v>365</v>
      </c>
      <c r="B323" s="13">
        <f t="shared" ref="B323:B333" si="314">(0.5*F323)+((0.33*F323)*2)</f>
        <v>1.9603999999999999</v>
      </c>
      <c r="C323" s="13">
        <v>-0.3</v>
      </c>
      <c r="D323" s="13">
        <f t="shared" si="311"/>
        <v>-0.3</v>
      </c>
      <c r="E323" s="11">
        <v>-1.99</v>
      </c>
      <c r="F323" s="11">
        <f t="shared" si="307"/>
        <v>1.69</v>
      </c>
      <c r="G323" s="13"/>
      <c r="H323" s="13">
        <v>48.817999999999998</v>
      </c>
      <c r="I323" s="13">
        <f t="shared" si="312"/>
        <v>95.702807199999995</v>
      </c>
      <c r="J323" s="20"/>
      <c r="K323" s="20"/>
      <c r="L323" s="20"/>
      <c r="M323" s="20"/>
      <c r="N323" s="20"/>
      <c r="O323" s="13"/>
      <c r="P323" s="13"/>
      <c r="Q323" s="13"/>
      <c r="R323" s="13"/>
      <c r="S323" s="13"/>
      <c r="T323" s="13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18"/>
      <c r="AF323" s="18"/>
      <c r="AG323" s="18"/>
      <c r="AH323" s="18">
        <f t="shared" si="308"/>
        <v>48.817999999999998</v>
      </c>
      <c r="AI323" s="18">
        <f t="shared" si="309"/>
        <v>1.9603999999999999</v>
      </c>
      <c r="AJ323" s="18">
        <f t="shared" si="313"/>
        <v>95.702807199999995</v>
      </c>
      <c r="AK323" s="33" t="s">
        <v>527</v>
      </c>
      <c r="AL323" s="34"/>
    </row>
    <row r="324" spans="1:40" ht="15.6" customHeight="1" x14ac:dyDescent="0.25">
      <c r="A324" s="8" t="s">
        <v>366</v>
      </c>
      <c r="B324" s="13">
        <v>1.4690000000000001</v>
      </c>
      <c r="C324" s="13">
        <v>-0.28999999999999998</v>
      </c>
      <c r="D324" s="13">
        <f t="shared" si="311"/>
        <v>-0.28999999999999998</v>
      </c>
      <c r="E324" s="11">
        <v>-1.99</v>
      </c>
      <c r="F324" s="11">
        <f t="shared" si="307"/>
        <v>1.7</v>
      </c>
      <c r="G324" s="13"/>
      <c r="H324" s="13">
        <v>19.47</v>
      </c>
      <c r="I324" s="13">
        <f t="shared" ref="I324:I330" si="315">H324*B324</f>
        <v>28.601430000000001</v>
      </c>
      <c r="J324" s="20"/>
      <c r="K324" s="20"/>
      <c r="L324" s="20"/>
      <c r="M324" s="20"/>
      <c r="N324" s="20"/>
      <c r="O324" s="13"/>
      <c r="P324" s="13"/>
      <c r="Q324" s="13"/>
      <c r="R324" s="13"/>
      <c r="S324" s="13"/>
      <c r="T324" s="13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18"/>
      <c r="AF324" s="18"/>
      <c r="AG324" s="18"/>
      <c r="AH324" s="18">
        <f t="shared" si="308"/>
        <v>19.47</v>
      </c>
      <c r="AI324" s="18">
        <f t="shared" si="309"/>
        <v>1.4690000000000001</v>
      </c>
      <c r="AJ324" s="18">
        <f t="shared" ref="AJ324:AJ330" si="316">AI324*AH324</f>
        <v>28.601430000000001</v>
      </c>
      <c r="AK324" s="33" t="s">
        <v>537</v>
      </c>
      <c r="AL324" s="34"/>
      <c r="AN324" s="27"/>
    </row>
    <row r="325" spans="1:40" ht="15.6" customHeight="1" x14ac:dyDescent="0.25">
      <c r="A325" s="8" t="s">
        <v>367</v>
      </c>
      <c r="B325" s="13">
        <v>1.4690000000000001</v>
      </c>
      <c r="C325" s="13">
        <v>-0.28999999999999998</v>
      </c>
      <c r="D325" s="13">
        <f t="shared" si="311"/>
        <v>-0.28999999999999998</v>
      </c>
      <c r="E325" s="11">
        <v>-1.99</v>
      </c>
      <c r="F325" s="11">
        <f t="shared" si="307"/>
        <v>1.7</v>
      </c>
      <c r="G325" s="13"/>
      <c r="H325" s="13">
        <v>16.37</v>
      </c>
      <c r="I325" s="13">
        <f t="shared" si="315"/>
        <v>24.047530000000002</v>
      </c>
      <c r="J325" s="20"/>
      <c r="K325" s="20"/>
      <c r="L325" s="20"/>
      <c r="M325" s="20"/>
      <c r="N325" s="20"/>
      <c r="O325" s="13"/>
      <c r="P325" s="13"/>
      <c r="Q325" s="13"/>
      <c r="R325" s="13"/>
      <c r="S325" s="13"/>
      <c r="T325" s="13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18"/>
      <c r="AF325" s="18"/>
      <c r="AG325" s="18"/>
      <c r="AH325" s="18">
        <f t="shared" si="308"/>
        <v>16.37</v>
      </c>
      <c r="AI325" s="18">
        <f t="shared" si="309"/>
        <v>1.4690000000000001</v>
      </c>
      <c r="AJ325" s="18">
        <f t="shared" si="316"/>
        <v>24.047530000000002</v>
      </c>
      <c r="AK325" s="33" t="s">
        <v>539</v>
      </c>
      <c r="AL325" s="34"/>
      <c r="AN325" s="27"/>
    </row>
    <row r="326" spans="1:40" ht="15.6" customHeight="1" x14ac:dyDescent="0.25">
      <c r="A326" s="8" t="s">
        <v>368</v>
      </c>
      <c r="B326" s="13">
        <v>1.4690000000000001</v>
      </c>
      <c r="C326" s="13">
        <v>-0.28999999999999998</v>
      </c>
      <c r="D326" s="13">
        <f t="shared" si="311"/>
        <v>-0.28999999999999998</v>
      </c>
      <c r="E326" s="11">
        <v>-1.99</v>
      </c>
      <c r="F326" s="11">
        <f t="shared" si="307"/>
        <v>1.7</v>
      </c>
      <c r="G326" s="13"/>
      <c r="H326" s="13">
        <v>16.739999999999998</v>
      </c>
      <c r="I326" s="13">
        <f t="shared" si="315"/>
        <v>24.591059999999999</v>
      </c>
      <c r="J326" s="20"/>
      <c r="K326" s="20"/>
      <c r="L326" s="20"/>
      <c r="M326" s="20"/>
      <c r="N326" s="20"/>
      <c r="O326" s="13"/>
      <c r="P326" s="13"/>
      <c r="Q326" s="13"/>
      <c r="R326" s="13"/>
      <c r="S326" s="13"/>
      <c r="T326" s="13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18"/>
      <c r="AF326" s="18"/>
      <c r="AG326" s="18"/>
      <c r="AH326" s="18">
        <f t="shared" si="308"/>
        <v>16.739999999999998</v>
      </c>
      <c r="AI326" s="18">
        <f t="shared" si="309"/>
        <v>1.4690000000000001</v>
      </c>
      <c r="AJ326" s="18">
        <f t="shared" si="316"/>
        <v>24.591059999999999</v>
      </c>
      <c r="AK326" s="33" t="s">
        <v>540</v>
      </c>
      <c r="AL326" s="34"/>
      <c r="AN326" s="27"/>
    </row>
    <row r="327" spans="1:40" ht="15.6" customHeight="1" x14ac:dyDescent="0.25">
      <c r="A327" s="8" t="s">
        <v>369</v>
      </c>
      <c r="B327" s="13">
        <f t="shared" si="314"/>
        <v>1.8443999999999998</v>
      </c>
      <c r="C327" s="13">
        <v>-0.4</v>
      </c>
      <c r="D327" s="13">
        <f t="shared" si="311"/>
        <v>-0.4</v>
      </c>
      <c r="E327" s="11">
        <v>-1.99</v>
      </c>
      <c r="F327" s="11">
        <f t="shared" si="307"/>
        <v>1.5899999999999999</v>
      </c>
      <c r="G327" s="13"/>
      <c r="H327" s="13">
        <v>16.2</v>
      </c>
      <c r="I327" s="13">
        <f t="shared" si="315"/>
        <v>29.879279999999994</v>
      </c>
      <c r="J327" s="20"/>
      <c r="K327" s="20"/>
      <c r="L327" s="20"/>
      <c r="M327" s="20"/>
      <c r="N327" s="20"/>
      <c r="O327" s="13"/>
      <c r="P327" s="13"/>
      <c r="Q327" s="13"/>
      <c r="R327" s="13"/>
      <c r="S327" s="13"/>
      <c r="T327" s="13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18"/>
      <c r="AF327" s="18"/>
      <c r="AG327" s="18"/>
      <c r="AH327" s="18">
        <f t="shared" si="308"/>
        <v>16.2</v>
      </c>
      <c r="AI327" s="18">
        <f t="shared" si="309"/>
        <v>1.8443999999999998</v>
      </c>
      <c r="AJ327" s="18">
        <f t="shared" si="316"/>
        <v>29.879279999999994</v>
      </c>
      <c r="AK327" s="33" t="s">
        <v>381</v>
      </c>
      <c r="AL327" s="34"/>
      <c r="AN327" s="27"/>
    </row>
    <row r="328" spans="1:40" ht="15.6" customHeight="1" x14ac:dyDescent="0.25">
      <c r="A328" s="8" t="s">
        <v>370</v>
      </c>
      <c r="B328" s="13">
        <v>1.4690000000000001</v>
      </c>
      <c r="C328" s="13">
        <v>-0.19</v>
      </c>
      <c r="D328" s="13">
        <f t="shared" si="311"/>
        <v>-0.19</v>
      </c>
      <c r="E328" s="11">
        <v>-1.99</v>
      </c>
      <c r="F328" s="11">
        <f t="shared" si="307"/>
        <v>1.8</v>
      </c>
      <c r="G328" s="13"/>
      <c r="H328" s="13">
        <v>14.1</v>
      </c>
      <c r="I328" s="13">
        <f t="shared" si="315"/>
        <v>20.712900000000001</v>
      </c>
      <c r="J328" s="20"/>
      <c r="K328" s="20"/>
      <c r="L328" s="20"/>
      <c r="M328" s="20"/>
      <c r="N328" s="20"/>
      <c r="O328" s="13"/>
      <c r="P328" s="13"/>
      <c r="Q328" s="13"/>
      <c r="R328" s="13"/>
      <c r="S328" s="13"/>
      <c r="T328" s="13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18"/>
      <c r="AF328" s="18"/>
      <c r="AG328" s="18"/>
      <c r="AH328" s="18">
        <f t="shared" si="308"/>
        <v>14.1</v>
      </c>
      <c r="AI328" s="18">
        <f t="shared" si="309"/>
        <v>1.4690000000000001</v>
      </c>
      <c r="AJ328" s="18">
        <f t="shared" si="316"/>
        <v>20.712900000000001</v>
      </c>
      <c r="AK328" s="33" t="s">
        <v>538</v>
      </c>
      <c r="AL328" s="34"/>
    </row>
    <row r="329" spans="1:40" ht="15.6" customHeight="1" x14ac:dyDescent="0.25">
      <c r="A329" s="8" t="s">
        <v>371</v>
      </c>
      <c r="B329" s="13">
        <v>1.4690000000000001</v>
      </c>
      <c r="C329" s="13">
        <v>-0.19</v>
      </c>
      <c r="D329" s="13">
        <f t="shared" si="311"/>
        <v>-0.19</v>
      </c>
      <c r="E329" s="11">
        <v>-1.99</v>
      </c>
      <c r="F329" s="11">
        <f t="shared" si="307"/>
        <v>1.8</v>
      </c>
      <c r="G329" s="13"/>
      <c r="H329" s="13">
        <v>15.6</v>
      </c>
      <c r="I329" s="13">
        <f t="shared" si="315"/>
        <v>22.916399999999999</v>
      </c>
      <c r="J329" s="20"/>
      <c r="K329" s="20"/>
      <c r="L329" s="20"/>
      <c r="M329" s="20"/>
      <c r="N329" s="20"/>
      <c r="O329" s="13"/>
      <c r="P329" s="13"/>
      <c r="Q329" s="13"/>
      <c r="R329" s="13"/>
      <c r="S329" s="13"/>
      <c r="T329" s="13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18"/>
      <c r="AF329" s="18"/>
      <c r="AG329" s="18"/>
      <c r="AH329" s="18">
        <f t="shared" si="308"/>
        <v>15.6</v>
      </c>
      <c r="AI329" s="18">
        <f t="shared" si="309"/>
        <v>1.4690000000000001</v>
      </c>
      <c r="AJ329" s="18">
        <f t="shared" si="316"/>
        <v>22.916399999999999</v>
      </c>
      <c r="AK329" s="33" t="s">
        <v>535</v>
      </c>
      <c r="AL329" s="34"/>
    </row>
    <row r="330" spans="1:40" ht="15.6" customHeight="1" x14ac:dyDescent="0.25">
      <c r="A330" s="8" t="s">
        <v>372</v>
      </c>
      <c r="B330" s="13">
        <v>1.4690000000000001</v>
      </c>
      <c r="C330" s="13">
        <v>-0.19</v>
      </c>
      <c r="D330" s="13">
        <f t="shared" si="311"/>
        <v>-0.19</v>
      </c>
      <c r="E330" s="11">
        <v>-1.99</v>
      </c>
      <c r="F330" s="11">
        <f t="shared" si="307"/>
        <v>1.8</v>
      </c>
      <c r="G330" s="13"/>
      <c r="H330" s="13">
        <v>17</v>
      </c>
      <c r="I330" s="13">
        <f t="shared" si="315"/>
        <v>24.973000000000003</v>
      </c>
      <c r="J330" s="20"/>
      <c r="K330" s="20"/>
      <c r="L330" s="20"/>
      <c r="M330" s="20"/>
      <c r="N330" s="20"/>
      <c r="O330" s="13"/>
      <c r="P330" s="13"/>
      <c r="Q330" s="13"/>
      <c r="R330" s="13"/>
      <c r="S330" s="13"/>
      <c r="T330" s="13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18"/>
      <c r="AF330" s="18"/>
      <c r="AG330" s="18"/>
      <c r="AH330" s="18">
        <f t="shared" si="308"/>
        <v>17</v>
      </c>
      <c r="AI330" s="18">
        <f t="shared" si="309"/>
        <v>1.4690000000000001</v>
      </c>
      <c r="AJ330" s="18">
        <f t="shared" si="316"/>
        <v>24.973000000000003</v>
      </c>
      <c r="AK330" s="33" t="s">
        <v>536</v>
      </c>
      <c r="AL330" s="34"/>
    </row>
    <row r="331" spans="1:40" ht="15.6" customHeight="1" x14ac:dyDescent="0.25">
      <c r="A331" s="8" t="s">
        <v>373</v>
      </c>
      <c r="B331" s="13">
        <f t="shared" si="314"/>
        <v>1.8443999999999998</v>
      </c>
      <c r="C331" s="13">
        <v>-0.4</v>
      </c>
      <c r="D331" s="13">
        <f t="shared" si="311"/>
        <v>-0.4</v>
      </c>
      <c r="E331" s="11">
        <v>-1.99</v>
      </c>
      <c r="F331" s="11">
        <f t="shared" si="307"/>
        <v>1.5899999999999999</v>
      </c>
      <c r="G331" s="13"/>
      <c r="H331" s="13">
        <v>53.566000000000003</v>
      </c>
      <c r="I331" s="13">
        <f t="shared" si="312"/>
        <v>98.7971304</v>
      </c>
      <c r="J331" s="20"/>
      <c r="K331" s="20"/>
      <c r="L331" s="20"/>
      <c r="M331" s="20"/>
      <c r="N331" s="20"/>
      <c r="O331" s="13"/>
      <c r="P331" s="13"/>
      <c r="Q331" s="13"/>
      <c r="R331" s="13"/>
      <c r="S331" s="13"/>
      <c r="T331" s="13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18"/>
      <c r="AF331" s="18"/>
      <c r="AG331" s="18"/>
      <c r="AH331" s="18">
        <f t="shared" si="308"/>
        <v>53.566000000000003</v>
      </c>
      <c r="AI331" s="18">
        <f t="shared" si="309"/>
        <v>1.8443999999999998</v>
      </c>
      <c r="AJ331" s="18">
        <f t="shared" si="313"/>
        <v>98.7971304</v>
      </c>
      <c r="AK331" s="33" t="s">
        <v>529</v>
      </c>
      <c r="AL331" s="34"/>
    </row>
    <row r="332" spans="1:40" ht="15.6" customHeight="1" x14ac:dyDescent="0.25">
      <c r="A332" s="8" t="s">
        <v>374</v>
      </c>
      <c r="B332" s="13">
        <f t="shared" si="314"/>
        <v>1.9603999999999999</v>
      </c>
      <c r="C332" s="13">
        <v>-0.3</v>
      </c>
      <c r="D332" s="13">
        <f t="shared" si="311"/>
        <v>-0.3</v>
      </c>
      <c r="E332" s="11">
        <v>-1.99</v>
      </c>
      <c r="F332" s="11">
        <f t="shared" si="307"/>
        <v>1.69</v>
      </c>
      <c r="G332" s="13"/>
      <c r="H332" s="13">
        <v>27.166</v>
      </c>
      <c r="I332" s="13">
        <f t="shared" si="312"/>
        <v>53.256226399999996</v>
      </c>
      <c r="J332" s="20"/>
      <c r="K332" s="20"/>
      <c r="L332" s="20"/>
      <c r="M332" s="20"/>
      <c r="N332" s="20"/>
      <c r="O332" s="13"/>
      <c r="P332" s="13"/>
      <c r="Q332" s="13"/>
      <c r="R332" s="13"/>
      <c r="S332" s="13"/>
      <c r="T332" s="13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18"/>
      <c r="AF332" s="18"/>
      <c r="AG332" s="18"/>
      <c r="AH332" s="18">
        <f t="shared" si="308"/>
        <v>27.166</v>
      </c>
      <c r="AI332" s="18">
        <f t="shared" si="309"/>
        <v>1.9603999999999999</v>
      </c>
      <c r="AJ332" s="18">
        <f t="shared" si="313"/>
        <v>53.256226399999996</v>
      </c>
      <c r="AK332" s="33" t="s">
        <v>528</v>
      </c>
      <c r="AL332" s="34"/>
    </row>
    <row r="333" spans="1:40" ht="15.6" customHeight="1" x14ac:dyDescent="0.25">
      <c r="A333" s="8" t="s">
        <v>375</v>
      </c>
      <c r="B333" s="13">
        <f t="shared" si="314"/>
        <v>1.7864</v>
      </c>
      <c r="C333" s="13">
        <v>-0.45</v>
      </c>
      <c r="D333" s="13">
        <f t="shared" si="311"/>
        <v>-0.45</v>
      </c>
      <c r="E333" s="11">
        <v>-1.99</v>
      </c>
      <c r="F333" s="11">
        <f t="shared" si="307"/>
        <v>1.54</v>
      </c>
      <c r="G333" s="13"/>
      <c r="H333" s="13">
        <v>6.915</v>
      </c>
      <c r="I333" s="13">
        <f t="shared" si="312"/>
        <v>12.352956000000001</v>
      </c>
      <c r="J333" s="20"/>
      <c r="K333" s="20"/>
      <c r="L333" s="20"/>
      <c r="M333" s="20"/>
      <c r="N333" s="20"/>
      <c r="O333" s="13"/>
      <c r="P333" s="13"/>
      <c r="Q333" s="13"/>
      <c r="R333" s="13"/>
      <c r="S333" s="13"/>
      <c r="T333" s="13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18"/>
      <c r="AF333" s="18"/>
      <c r="AG333" s="18"/>
      <c r="AH333" s="18">
        <f t="shared" si="308"/>
        <v>6.915</v>
      </c>
      <c r="AI333" s="18">
        <f t="shared" si="309"/>
        <v>1.7864</v>
      </c>
      <c r="AJ333" s="18">
        <f t="shared" si="313"/>
        <v>12.352956000000001</v>
      </c>
      <c r="AK333" s="33" t="s">
        <v>533</v>
      </c>
      <c r="AL333" s="34"/>
    </row>
    <row r="334" spans="1:40" ht="15.6" customHeight="1" x14ac:dyDescent="0.25">
      <c r="A334" s="8" t="s">
        <v>386</v>
      </c>
      <c r="B334" s="13">
        <f>(0.29*3)*(1.99-0.54)-0.1</f>
        <v>1.1614999999999998</v>
      </c>
      <c r="C334" s="13">
        <v>-0.54</v>
      </c>
      <c r="D334" s="13">
        <f t="shared" si="311"/>
        <v>-0.54</v>
      </c>
      <c r="E334" s="11">
        <v>-1.99</v>
      </c>
      <c r="F334" s="11">
        <f t="shared" ref="F334:F343" si="317">D334-E334</f>
        <v>1.45</v>
      </c>
      <c r="G334" s="13"/>
      <c r="H334" s="13">
        <v>26.75</v>
      </c>
      <c r="I334" s="13">
        <f t="shared" ref="I334:I404" si="318">H334*B334</f>
        <v>31.070124999999994</v>
      </c>
      <c r="J334" s="20"/>
      <c r="K334" s="20"/>
      <c r="L334" s="20"/>
      <c r="M334" s="20"/>
      <c r="N334" s="20"/>
      <c r="O334" s="13"/>
      <c r="P334" s="13"/>
      <c r="Q334" s="13"/>
      <c r="R334" s="13"/>
      <c r="S334" s="13"/>
      <c r="T334" s="13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18"/>
      <c r="AF334" s="18"/>
      <c r="AG334" s="18"/>
      <c r="AH334" s="18">
        <f t="shared" si="308"/>
        <v>26.75</v>
      </c>
      <c r="AI334" s="18">
        <f t="shared" si="309"/>
        <v>1.1614999999999998</v>
      </c>
      <c r="AJ334" s="18">
        <f t="shared" si="310"/>
        <v>31.070124999999994</v>
      </c>
      <c r="AK334" s="33" t="s">
        <v>382</v>
      </c>
      <c r="AL334" s="34"/>
    </row>
    <row r="335" spans="1:40" ht="15.6" customHeight="1" x14ac:dyDescent="0.25">
      <c r="A335" s="8" t="s">
        <v>387</v>
      </c>
      <c r="B335" s="13">
        <f>(0.29*3)*(1.99-0.55)-0.1</f>
        <v>1.1527999999999996</v>
      </c>
      <c r="C335" s="13">
        <v>-0.55000000000000004</v>
      </c>
      <c r="D335" s="13">
        <f t="shared" si="311"/>
        <v>-0.55000000000000004</v>
      </c>
      <c r="E335" s="11">
        <v>-1.99</v>
      </c>
      <c r="F335" s="11">
        <f t="shared" si="317"/>
        <v>1.44</v>
      </c>
      <c r="G335" s="13"/>
      <c r="H335" s="13">
        <v>51.06</v>
      </c>
      <c r="I335" s="13">
        <f t="shared" si="318"/>
        <v>58.861967999999983</v>
      </c>
      <c r="J335" s="20"/>
      <c r="K335" s="20"/>
      <c r="L335" s="20"/>
      <c r="M335" s="20"/>
      <c r="N335" s="20"/>
      <c r="O335" s="13"/>
      <c r="P335" s="13"/>
      <c r="Q335" s="13"/>
      <c r="R335" s="13"/>
      <c r="S335" s="13"/>
      <c r="T335" s="13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18"/>
      <c r="AF335" s="18"/>
      <c r="AG335" s="18"/>
      <c r="AH335" s="18">
        <f t="shared" si="308"/>
        <v>51.06</v>
      </c>
      <c r="AI335" s="18">
        <f t="shared" si="309"/>
        <v>1.1527999999999996</v>
      </c>
      <c r="AJ335" s="18">
        <f t="shared" si="310"/>
        <v>58.861967999999983</v>
      </c>
      <c r="AK335" s="33" t="s">
        <v>383</v>
      </c>
      <c r="AL335" s="34"/>
    </row>
    <row r="336" spans="1:40" ht="15.6" customHeight="1" x14ac:dyDescent="0.25">
      <c r="A336" s="8" t="s">
        <v>388</v>
      </c>
      <c r="B336" s="13">
        <f>(0.29*3)*(1.99-0.525)-0.1</f>
        <v>1.1745499999999995</v>
      </c>
      <c r="C336" s="13">
        <v>-0.52500000000000002</v>
      </c>
      <c r="D336" s="13">
        <f t="shared" si="311"/>
        <v>-0.52500000000000002</v>
      </c>
      <c r="E336" s="11">
        <v>-1.99</v>
      </c>
      <c r="F336" s="11">
        <f t="shared" si="317"/>
        <v>1.4649999999999999</v>
      </c>
      <c r="G336" s="13"/>
      <c r="H336" s="13">
        <v>60.29</v>
      </c>
      <c r="I336" s="13">
        <f t="shared" si="318"/>
        <v>70.813619499999973</v>
      </c>
      <c r="J336" s="20"/>
      <c r="K336" s="20"/>
      <c r="L336" s="20"/>
      <c r="M336" s="20"/>
      <c r="N336" s="20"/>
      <c r="O336" s="13"/>
      <c r="P336" s="13"/>
      <c r="Q336" s="13"/>
      <c r="R336" s="13"/>
      <c r="S336" s="13"/>
      <c r="T336" s="13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18"/>
      <c r="AF336" s="18"/>
      <c r="AG336" s="18"/>
      <c r="AH336" s="18">
        <f t="shared" si="308"/>
        <v>60.29</v>
      </c>
      <c r="AI336" s="18">
        <f t="shared" si="309"/>
        <v>1.1745499999999995</v>
      </c>
      <c r="AJ336" s="18">
        <f t="shared" si="310"/>
        <v>70.813619499999973</v>
      </c>
      <c r="AK336" s="33" t="s">
        <v>384</v>
      </c>
      <c r="AL336" s="34"/>
    </row>
    <row r="337" spans="1:38" ht="15.6" customHeight="1" x14ac:dyDescent="0.25">
      <c r="A337" s="8" t="s">
        <v>389</v>
      </c>
      <c r="B337" s="13">
        <f>(0.29*3)*(1.99-0.58)-0.1</f>
        <v>1.1266999999999998</v>
      </c>
      <c r="C337" s="13">
        <f>(-0.525+-0.625)/2</f>
        <v>-0.57499999999999996</v>
      </c>
      <c r="D337" s="13">
        <f t="shared" si="311"/>
        <v>-0.57499999999999996</v>
      </c>
      <c r="E337" s="11">
        <v>-1.99</v>
      </c>
      <c r="F337" s="11">
        <f t="shared" si="317"/>
        <v>1.415</v>
      </c>
      <c r="G337" s="13"/>
      <c r="H337" s="13">
        <v>60.29</v>
      </c>
      <c r="I337" s="13">
        <f t="shared" si="318"/>
        <v>67.928742999999983</v>
      </c>
      <c r="J337" s="20"/>
      <c r="K337" s="20"/>
      <c r="L337" s="20"/>
      <c r="M337" s="20"/>
      <c r="N337" s="20"/>
      <c r="O337" s="13"/>
      <c r="P337" s="13"/>
      <c r="Q337" s="13"/>
      <c r="R337" s="13"/>
      <c r="S337" s="13"/>
      <c r="T337" s="13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18"/>
      <c r="AF337" s="18"/>
      <c r="AG337" s="18"/>
      <c r="AH337" s="18">
        <f t="shared" si="308"/>
        <v>60.29</v>
      </c>
      <c r="AI337" s="18">
        <f t="shared" si="309"/>
        <v>1.1266999999999998</v>
      </c>
      <c r="AJ337" s="18">
        <f t="shared" si="310"/>
        <v>67.928742999999983</v>
      </c>
      <c r="AK337" s="33" t="s">
        <v>385</v>
      </c>
      <c r="AL337" s="34"/>
    </row>
    <row r="338" spans="1:38" ht="15.6" customHeight="1" x14ac:dyDescent="0.25">
      <c r="A338" s="8" t="s">
        <v>390</v>
      </c>
      <c r="B338" s="13">
        <f>(0.29*3)*(1.99-0.68)-0.1</f>
        <v>1.0396999999999998</v>
      </c>
      <c r="C338" s="13">
        <f>(-0.625+-0.735)/2</f>
        <v>-0.67999999999999994</v>
      </c>
      <c r="D338" s="13">
        <f t="shared" si="311"/>
        <v>-0.67999999999999994</v>
      </c>
      <c r="E338" s="11">
        <v>-1.99</v>
      </c>
      <c r="F338" s="11">
        <f t="shared" si="317"/>
        <v>1.31</v>
      </c>
      <c r="G338" s="13"/>
      <c r="H338" s="13">
        <v>13.79</v>
      </c>
      <c r="I338" s="13">
        <f t="shared" si="318"/>
        <v>14.337462999999998</v>
      </c>
      <c r="J338" s="20"/>
      <c r="K338" s="20"/>
      <c r="L338" s="20"/>
      <c r="M338" s="20"/>
      <c r="N338" s="20"/>
      <c r="O338" s="13"/>
      <c r="P338" s="13"/>
      <c r="Q338" s="13"/>
      <c r="R338" s="13"/>
      <c r="S338" s="13"/>
      <c r="T338" s="13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18"/>
      <c r="AF338" s="18"/>
      <c r="AG338" s="18"/>
      <c r="AH338" s="18">
        <f t="shared" si="308"/>
        <v>13.79</v>
      </c>
      <c r="AI338" s="18">
        <f t="shared" si="309"/>
        <v>1.0396999999999998</v>
      </c>
      <c r="AJ338" s="18">
        <f t="shared" si="310"/>
        <v>14.337462999999998</v>
      </c>
      <c r="AK338" s="33" t="s">
        <v>398</v>
      </c>
      <c r="AL338" s="34"/>
    </row>
    <row r="339" spans="1:38" ht="15.6" customHeight="1" x14ac:dyDescent="0.25">
      <c r="A339" s="8" t="s">
        <v>391</v>
      </c>
      <c r="B339" s="13">
        <f>(0.29*3)*(1.99-0.995)-0.1</f>
        <v>0.76564999999999994</v>
      </c>
      <c r="C339" s="13">
        <v>-0.995</v>
      </c>
      <c r="D339" s="13">
        <f t="shared" si="311"/>
        <v>-0.995</v>
      </c>
      <c r="E339" s="11">
        <v>-1.99</v>
      </c>
      <c r="F339" s="11">
        <f t="shared" si="317"/>
        <v>0.995</v>
      </c>
      <c r="G339" s="13"/>
      <c r="H339" s="13">
        <v>30.75</v>
      </c>
      <c r="I339" s="13">
        <f t="shared" si="318"/>
        <v>23.543737499999999</v>
      </c>
      <c r="J339" s="20"/>
      <c r="K339" s="20"/>
      <c r="L339" s="20"/>
      <c r="M339" s="20"/>
      <c r="N339" s="20"/>
      <c r="O339" s="13"/>
      <c r="P339" s="13"/>
      <c r="Q339" s="13"/>
      <c r="R339" s="13"/>
      <c r="S339" s="13"/>
      <c r="T339" s="13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18"/>
      <c r="AF339" s="18"/>
      <c r="AG339" s="18"/>
      <c r="AH339" s="18">
        <f t="shared" si="308"/>
        <v>30.75</v>
      </c>
      <c r="AI339" s="18">
        <f t="shared" si="309"/>
        <v>0.76564999999999994</v>
      </c>
      <c r="AJ339" s="18">
        <f t="shared" si="310"/>
        <v>23.543737499999999</v>
      </c>
      <c r="AK339" s="33" t="s">
        <v>399</v>
      </c>
      <c r="AL339" s="34"/>
    </row>
    <row r="340" spans="1:38" ht="15.6" customHeight="1" x14ac:dyDescent="0.25">
      <c r="A340" s="8" t="s">
        <v>392</v>
      </c>
      <c r="B340" s="13">
        <f>(0.29*3)*(1.99-0.98)-0.1</f>
        <v>0.77869999999999995</v>
      </c>
      <c r="C340" s="13">
        <f>(-0.995+-0.97)/2</f>
        <v>-0.98249999999999993</v>
      </c>
      <c r="D340" s="13">
        <f t="shared" si="311"/>
        <v>-0.98249999999999993</v>
      </c>
      <c r="E340" s="11">
        <v>-1.99</v>
      </c>
      <c r="F340" s="11">
        <f t="shared" si="317"/>
        <v>1.0075000000000001</v>
      </c>
      <c r="G340" s="13"/>
      <c r="H340" s="13">
        <v>37.43</v>
      </c>
      <c r="I340" s="13">
        <f t="shared" si="318"/>
        <v>29.146740999999999</v>
      </c>
      <c r="J340" s="20"/>
      <c r="K340" s="20"/>
      <c r="L340" s="20"/>
      <c r="M340" s="20"/>
      <c r="N340" s="20"/>
      <c r="O340" s="13"/>
      <c r="P340" s="13"/>
      <c r="Q340" s="13"/>
      <c r="R340" s="13"/>
      <c r="S340" s="13"/>
      <c r="T340" s="13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18"/>
      <c r="AF340" s="18"/>
      <c r="AG340" s="18"/>
      <c r="AH340" s="18">
        <f t="shared" si="308"/>
        <v>37.43</v>
      </c>
      <c r="AI340" s="18">
        <f t="shared" si="309"/>
        <v>0.77869999999999995</v>
      </c>
      <c r="AJ340" s="18">
        <f t="shared" si="310"/>
        <v>29.146740999999999</v>
      </c>
      <c r="AK340" s="33" t="s">
        <v>400</v>
      </c>
      <c r="AL340" s="34"/>
    </row>
    <row r="341" spans="1:38" ht="15.6" customHeight="1" x14ac:dyDescent="0.25">
      <c r="A341" s="8" t="s">
        <v>393</v>
      </c>
      <c r="B341" s="13">
        <f>(0.29*3)*(1.99-1.04)-0.1</f>
        <v>0.72649999999999992</v>
      </c>
      <c r="C341" s="13">
        <f>(-0.97+-1.1)/2</f>
        <v>-1.0350000000000001</v>
      </c>
      <c r="D341" s="13">
        <f t="shared" si="311"/>
        <v>-1.0350000000000001</v>
      </c>
      <c r="E341" s="11">
        <v>-1.99</v>
      </c>
      <c r="F341" s="11">
        <f t="shared" si="317"/>
        <v>0.95499999999999985</v>
      </c>
      <c r="G341" s="13"/>
      <c r="H341" s="13">
        <v>72.64</v>
      </c>
      <c r="I341" s="13">
        <f t="shared" si="318"/>
        <v>52.772959999999998</v>
      </c>
      <c r="J341" s="20"/>
      <c r="K341" s="20"/>
      <c r="L341" s="20"/>
      <c r="M341" s="20"/>
      <c r="N341" s="20"/>
      <c r="O341" s="13"/>
      <c r="P341" s="13"/>
      <c r="Q341" s="13"/>
      <c r="R341" s="13"/>
      <c r="S341" s="13"/>
      <c r="T341" s="13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18"/>
      <c r="AF341" s="18"/>
      <c r="AG341" s="18"/>
      <c r="AH341" s="18">
        <f t="shared" si="308"/>
        <v>72.64</v>
      </c>
      <c r="AI341" s="18">
        <f t="shared" si="309"/>
        <v>0.72649999999999992</v>
      </c>
      <c r="AJ341" s="18">
        <f t="shared" si="310"/>
        <v>52.772959999999998</v>
      </c>
      <c r="AK341" s="33" t="s">
        <v>401</v>
      </c>
      <c r="AL341" s="34"/>
    </row>
    <row r="342" spans="1:38" ht="15.6" customHeight="1" x14ac:dyDescent="0.25">
      <c r="A342" s="8" t="s">
        <v>394</v>
      </c>
      <c r="B342" s="13">
        <f>(0.29*3)*(1.99-0.735)-0.1</f>
        <v>0.99184999999999979</v>
      </c>
      <c r="C342" s="13">
        <v>-0.73499999999999999</v>
      </c>
      <c r="D342" s="13">
        <f t="shared" si="311"/>
        <v>-0.73499999999999999</v>
      </c>
      <c r="E342" s="11">
        <v>-1.99</v>
      </c>
      <c r="F342" s="11">
        <f t="shared" si="317"/>
        <v>1.2549999999999999</v>
      </c>
      <c r="G342" s="13"/>
      <c r="H342" s="13">
        <v>43.98</v>
      </c>
      <c r="I342" s="13">
        <f>H342*B342</f>
        <v>43.621562999999988</v>
      </c>
      <c r="J342" s="20"/>
      <c r="K342" s="20"/>
      <c r="L342" s="20"/>
      <c r="M342" s="20"/>
      <c r="N342" s="20"/>
      <c r="O342" s="13"/>
      <c r="P342" s="13"/>
      <c r="Q342" s="13"/>
      <c r="R342" s="13"/>
      <c r="S342" s="13"/>
      <c r="T342" s="13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18"/>
      <c r="AF342" s="18"/>
      <c r="AG342" s="18"/>
      <c r="AH342" s="18">
        <f t="shared" si="308"/>
        <v>43.98</v>
      </c>
      <c r="AI342" s="18">
        <f t="shared" si="309"/>
        <v>0.99184999999999979</v>
      </c>
      <c r="AJ342" s="18">
        <f t="shared" si="310"/>
        <v>43.621562999999988</v>
      </c>
      <c r="AK342" s="33" t="s">
        <v>404</v>
      </c>
      <c r="AL342" s="34"/>
    </row>
    <row r="343" spans="1:38" ht="15.6" customHeight="1" x14ac:dyDescent="0.25">
      <c r="A343" s="8" t="s">
        <v>395</v>
      </c>
      <c r="B343" s="13">
        <f>(0.3*F343)</f>
        <v>0.59549999999999992</v>
      </c>
      <c r="C343" s="13">
        <f>(0.06+-0.07)/2</f>
        <v>-5.0000000000000044E-3</v>
      </c>
      <c r="D343" s="13">
        <f t="shared" si="311"/>
        <v>-5.0000000000000044E-3</v>
      </c>
      <c r="E343" s="11">
        <v>-1.99</v>
      </c>
      <c r="F343" s="11">
        <f t="shared" si="317"/>
        <v>1.9849999999999999</v>
      </c>
      <c r="G343" s="13"/>
      <c r="H343" s="13">
        <v>84.9</v>
      </c>
      <c r="I343" s="13">
        <f>H343*B343</f>
        <v>50.557949999999998</v>
      </c>
      <c r="J343" s="20"/>
      <c r="K343" s="20"/>
      <c r="L343" s="20"/>
      <c r="M343" s="20"/>
      <c r="N343" s="20"/>
      <c r="O343" s="13"/>
      <c r="P343" s="13"/>
      <c r="Q343" s="13"/>
      <c r="R343" s="13"/>
      <c r="S343" s="13"/>
      <c r="T343" s="13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18"/>
      <c r="AF343" s="18"/>
      <c r="AG343" s="18"/>
      <c r="AH343" s="18">
        <f>H343-AE343</f>
        <v>84.9</v>
      </c>
      <c r="AI343" s="18">
        <f t="shared" si="309"/>
        <v>0.59549999999999992</v>
      </c>
      <c r="AJ343" s="18">
        <f t="shared" ref="AJ343" si="319">AI343*AH343</f>
        <v>50.557949999999998</v>
      </c>
      <c r="AK343" s="33" t="s">
        <v>563</v>
      </c>
      <c r="AL343" s="34"/>
    </row>
    <row r="344" spans="1:38" ht="15.6" customHeight="1" x14ac:dyDescent="0.25">
      <c r="A344" s="8" t="s">
        <v>396</v>
      </c>
      <c r="B344" s="13">
        <f>(0.29*3)*(1.99-0.77)-0.1</f>
        <v>0.96139999999999992</v>
      </c>
      <c r="C344" s="13">
        <f>(-0.735+-0.795)/2</f>
        <v>-0.76500000000000001</v>
      </c>
      <c r="D344" s="13">
        <f t="shared" si="311"/>
        <v>-0.76500000000000001</v>
      </c>
      <c r="E344" s="11">
        <v>-1.99</v>
      </c>
      <c r="F344" s="11">
        <f t="shared" ref="F344:F377" si="320">D344-E344</f>
        <v>1.2250000000000001</v>
      </c>
      <c r="G344" s="13"/>
      <c r="H344" s="13">
        <v>62.58</v>
      </c>
      <c r="I344" s="13">
        <f>H344*B344</f>
        <v>60.164411999999992</v>
      </c>
      <c r="J344" s="20"/>
      <c r="K344" s="20"/>
      <c r="L344" s="20"/>
      <c r="M344" s="20"/>
      <c r="N344" s="20"/>
      <c r="O344" s="13"/>
      <c r="P344" s="13"/>
      <c r="Q344" s="13"/>
      <c r="R344" s="13"/>
      <c r="S344" s="13"/>
      <c r="T344" s="13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18"/>
      <c r="AF344" s="18"/>
      <c r="AG344" s="18"/>
      <c r="AH344" s="18">
        <f t="shared" ref="AH344:AH365" si="321">H344</f>
        <v>62.58</v>
      </c>
      <c r="AI344" s="18">
        <f t="shared" si="309"/>
        <v>0.96139999999999992</v>
      </c>
      <c r="AJ344" s="18">
        <f t="shared" si="310"/>
        <v>60.164411999999992</v>
      </c>
      <c r="AK344" s="33" t="s">
        <v>560</v>
      </c>
      <c r="AL344" s="34"/>
    </row>
    <row r="345" spans="1:38" ht="15.6" customHeight="1" x14ac:dyDescent="0.25">
      <c r="A345" s="8" t="s">
        <v>397</v>
      </c>
      <c r="B345" s="13">
        <f>(0.29*3)*(1.99-0.82)-0.1</f>
        <v>0.91789999999999983</v>
      </c>
      <c r="C345" s="13">
        <f>(-0.9+-0.735)/2</f>
        <v>-0.8175</v>
      </c>
      <c r="D345" s="13">
        <f t="shared" si="311"/>
        <v>-0.8175</v>
      </c>
      <c r="E345" s="11">
        <v>-1.99</v>
      </c>
      <c r="F345" s="11">
        <f t="shared" si="320"/>
        <v>1.1724999999999999</v>
      </c>
      <c r="G345" s="13"/>
      <c r="H345" s="13">
        <v>14.35</v>
      </c>
      <c r="I345" s="13">
        <f t="shared" si="318"/>
        <v>13.171864999999997</v>
      </c>
      <c r="J345" s="20"/>
      <c r="K345" s="20"/>
      <c r="L345" s="20"/>
      <c r="M345" s="20"/>
      <c r="N345" s="20"/>
      <c r="O345" s="13"/>
      <c r="P345" s="13"/>
      <c r="Q345" s="13"/>
      <c r="R345" s="13"/>
      <c r="S345" s="13"/>
      <c r="T345" s="13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18"/>
      <c r="AF345" s="18"/>
      <c r="AG345" s="18"/>
      <c r="AH345" s="18">
        <f t="shared" si="321"/>
        <v>14.35</v>
      </c>
      <c r="AI345" s="18">
        <f t="shared" si="309"/>
        <v>0.91789999999999983</v>
      </c>
      <c r="AJ345" s="18">
        <f t="shared" si="310"/>
        <v>13.171864999999997</v>
      </c>
      <c r="AK345" s="33" t="s">
        <v>561</v>
      </c>
      <c r="AL345" s="34"/>
    </row>
    <row r="346" spans="1:38" ht="15.6" customHeight="1" x14ac:dyDescent="0.25">
      <c r="A346" s="8" t="s">
        <v>410</v>
      </c>
      <c r="B346" s="13">
        <f>(0.29*3)*(1.99-0.9)-0.1</f>
        <v>0.84829999999999972</v>
      </c>
      <c r="C346" s="13">
        <v>-0.9</v>
      </c>
      <c r="D346" s="13">
        <f t="shared" si="311"/>
        <v>-0.9</v>
      </c>
      <c r="E346" s="11">
        <v>-1.99</v>
      </c>
      <c r="F346" s="11">
        <f t="shared" si="320"/>
        <v>1.0899999999999999</v>
      </c>
      <c r="G346" s="13"/>
      <c r="H346" s="13">
        <v>32</v>
      </c>
      <c r="I346" s="13">
        <f t="shared" si="318"/>
        <v>27.145599999999991</v>
      </c>
      <c r="J346" s="20"/>
      <c r="K346" s="20"/>
      <c r="L346" s="20"/>
      <c r="M346" s="20"/>
      <c r="N346" s="20"/>
      <c r="O346" s="13"/>
      <c r="P346" s="13"/>
      <c r="Q346" s="13"/>
      <c r="R346" s="13"/>
      <c r="S346" s="13"/>
      <c r="T346" s="13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18"/>
      <c r="AF346" s="18"/>
      <c r="AG346" s="18"/>
      <c r="AH346" s="18">
        <f t="shared" si="321"/>
        <v>32</v>
      </c>
      <c r="AI346" s="18">
        <f t="shared" si="309"/>
        <v>0.84829999999999972</v>
      </c>
      <c r="AJ346" s="18">
        <f t="shared" si="310"/>
        <v>27.145599999999991</v>
      </c>
      <c r="AK346" s="33" t="s">
        <v>402</v>
      </c>
      <c r="AL346" s="34"/>
    </row>
    <row r="347" spans="1:38" ht="15.6" customHeight="1" x14ac:dyDescent="0.25">
      <c r="A347" s="8" t="s">
        <v>411</v>
      </c>
      <c r="B347" s="13">
        <f>(0.29*3)*(1.99-0.9)-0.1</f>
        <v>0.84829999999999972</v>
      </c>
      <c r="C347" s="13">
        <v>-0.9</v>
      </c>
      <c r="D347" s="13">
        <f t="shared" si="311"/>
        <v>-0.9</v>
      </c>
      <c r="E347" s="11">
        <v>-1.99</v>
      </c>
      <c r="F347" s="11">
        <f t="shared" si="320"/>
        <v>1.0899999999999999</v>
      </c>
      <c r="G347" s="13"/>
      <c r="H347" s="13">
        <v>31.44</v>
      </c>
      <c r="I347" s="13">
        <f t="shared" si="318"/>
        <v>26.670551999999994</v>
      </c>
      <c r="J347" s="20"/>
      <c r="K347" s="20"/>
      <c r="L347" s="20"/>
      <c r="M347" s="20"/>
      <c r="N347" s="20"/>
      <c r="O347" s="13"/>
      <c r="P347" s="13"/>
      <c r="Q347" s="13"/>
      <c r="R347" s="13"/>
      <c r="S347" s="13"/>
      <c r="T347" s="13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18"/>
      <c r="AF347" s="18"/>
      <c r="AG347" s="18"/>
      <c r="AH347" s="18">
        <f t="shared" si="321"/>
        <v>31.44</v>
      </c>
      <c r="AI347" s="18">
        <f t="shared" si="309"/>
        <v>0.84829999999999972</v>
      </c>
      <c r="AJ347" s="18">
        <f t="shared" si="310"/>
        <v>26.670551999999994</v>
      </c>
      <c r="AK347" s="33" t="s">
        <v>403</v>
      </c>
      <c r="AL347" s="34"/>
    </row>
    <row r="348" spans="1:38" ht="15.6" customHeight="1" x14ac:dyDescent="0.25">
      <c r="A348" s="8" t="s">
        <v>412</v>
      </c>
      <c r="B348" s="13">
        <f>(0.29*3)*(1.99-0.9)-0.1</f>
        <v>0.84829999999999972</v>
      </c>
      <c r="C348" s="13">
        <v>-0.9</v>
      </c>
      <c r="D348" s="13">
        <f t="shared" si="311"/>
        <v>-0.9</v>
      </c>
      <c r="E348" s="11">
        <v>-1.99</v>
      </c>
      <c r="F348" s="11">
        <f t="shared" si="320"/>
        <v>1.0899999999999999</v>
      </c>
      <c r="G348" s="13"/>
      <c r="H348" s="13">
        <v>26.7</v>
      </c>
      <c r="I348" s="13">
        <f t="shared" si="318"/>
        <v>22.649609999999992</v>
      </c>
      <c r="J348" s="20"/>
      <c r="K348" s="20"/>
      <c r="L348" s="20"/>
      <c r="M348" s="20"/>
      <c r="N348" s="20"/>
      <c r="O348" s="13"/>
      <c r="P348" s="13"/>
      <c r="Q348" s="13"/>
      <c r="R348" s="13"/>
      <c r="S348" s="13"/>
      <c r="T348" s="13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18"/>
      <c r="AF348" s="18"/>
      <c r="AG348" s="18"/>
      <c r="AH348" s="18">
        <f t="shared" si="321"/>
        <v>26.7</v>
      </c>
      <c r="AI348" s="18">
        <f t="shared" si="309"/>
        <v>0.84829999999999972</v>
      </c>
      <c r="AJ348" s="18">
        <f t="shared" si="310"/>
        <v>22.649609999999992</v>
      </c>
      <c r="AK348" s="33" t="s">
        <v>405</v>
      </c>
      <c r="AL348" s="34"/>
    </row>
    <row r="349" spans="1:38" ht="15.6" customHeight="1" x14ac:dyDescent="0.25">
      <c r="A349" s="8" t="s">
        <v>413</v>
      </c>
      <c r="B349" s="13">
        <v>0.77</v>
      </c>
      <c r="C349" s="13">
        <v>-0.9</v>
      </c>
      <c r="D349" s="13">
        <f t="shared" si="311"/>
        <v>-0.9</v>
      </c>
      <c r="E349" s="11">
        <v>-1.99</v>
      </c>
      <c r="F349" s="11">
        <f t="shared" si="320"/>
        <v>1.0899999999999999</v>
      </c>
      <c r="G349" s="13"/>
      <c r="H349" s="13">
        <v>81.44</v>
      </c>
      <c r="I349" s="13">
        <f t="shared" si="318"/>
        <v>62.708799999999997</v>
      </c>
      <c r="J349" s="20"/>
      <c r="K349" s="20"/>
      <c r="L349" s="20"/>
      <c r="M349" s="20"/>
      <c r="N349" s="20"/>
      <c r="O349" s="13"/>
      <c r="P349" s="13"/>
      <c r="Q349" s="13"/>
      <c r="R349" s="13"/>
      <c r="S349" s="13"/>
      <c r="T349" s="13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18"/>
      <c r="AF349" s="18"/>
      <c r="AG349" s="18"/>
      <c r="AH349" s="18">
        <f t="shared" si="321"/>
        <v>81.44</v>
      </c>
      <c r="AI349" s="18">
        <f t="shared" ref="AI349:AI365" si="322">B349</f>
        <v>0.77</v>
      </c>
      <c r="AJ349" s="18">
        <f t="shared" si="310"/>
        <v>62.708799999999997</v>
      </c>
      <c r="AK349" s="33" t="s">
        <v>406</v>
      </c>
      <c r="AL349" s="34"/>
    </row>
    <row r="350" spans="1:38" ht="15.6" customHeight="1" x14ac:dyDescent="0.25">
      <c r="A350" s="8" t="s">
        <v>414</v>
      </c>
      <c r="B350" s="13">
        <v>0.77</v>
      </c>
      <c r="C350" s="13">
        <v>-0.9</v>
      </c>
      <c r="D350" s="13">
        <f t="shared" si="311"/>
        <v>-0.9</v>
      </c>
      <c r="E350" s="11">
        <v>-1.99</v>
      </c>
      <c r="F350" s="11">
        <f t="shared" si="320"/>
        <v>1.0899999999999999</v>
      </c>
      <c r="G350" s="13"/>
      <c r="H350" s="13">
        <v>33.31</v>
      </c>
      <c r="I350" s="13">
        <f t="shared" si="318"/>
        <v>25.648700000000002</v>
      </c>
      <c r="J350" s="20"/>
      <c r="K350" s="20"/>
      <c r="L350" s="20"/>
      <c r="M350" s="20"/>
      <c r="N350" s="20"/>
      <c r="O350" s="13"/>
      <c r="P350" s="13"/>
      <c r="Q350" s="13"/>
      <c r="R350" s="13"/>
      <c r="S350" s="13"/>
      <c r="T350" s="13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18"/>
      <c r="AF350" s="18"/>
      <c r="AG350" s="18"/>
      <c r="AH350" s="18">
        <f t="shared" si="321"/>
        <v>33.31</v>
      </c>
      <c r="AI350" s="18">
        <f t="shared" si="322"/>
        <v>0.77</v>
      </c>
      <c r="AJ350" s="18">
        <f t="shared" si="310"/>
        <v>25.648700000000002</v>
      </c>
      <c r="AK350" s="33" t="s">
        <v>407</v>
      </c>
      <c r="AL350" s="34"/>
    </row>
    <row r="351" spans="1:38" ht="15.6" customHeight="1" x14ac:dyDescent="0.25">
      <c r="A351" s="8" t="s">
        <v>415</v>
      </c>
      <c r="B351" s="13">
        <v>0.77</v>
      </c>
      <c r="C351" s="13">
        <v>-0.9</v>
      </c>
      <c r="D351" s="13">
        <f t="shared" si="311"/>
        <v>-0.9</v>
      </c>
      <c r="E351" s="11">
        <v>-1.99</v>
      </c>
      <c r="F351" s="11">
        <f t="shared" si="320"/>
        <v>1.0899999999999999</v>
      </c>
      <c r="G351" s="13"/>
      <c r="H351" s="13">
        <v>33.340000000000003</v>
      </c>
      <c r="I351" s="13">
        <f t="shared" si="318"/>
        <v>25.671800000000005</v>
      </c>
      <c r="J351" s="20"/>
      <c r="K351" s="20"/>
      <c r="L351" s="20"/>
      <c r="M351" s="20"/>
      <c r="N351" s="20"/>
      <c r="O351" s="13"/>
      <c r="P351" s="13"/>
      <c r="Q351" s="13"/>
      <c r="R351" s="13"/>
      <c r="S351" s="13"/>
      <c r="T351" s="13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18"/>
      <c r="AF351" s="18"/>
      <c r="AG351" s="18"/>
      <c r="AH351" s="18">
        <f t="shared" si="321"/>
        <v>33.340000000000003</v>
      </c>
      <c r="AI351" s="18">
        <f t="shared" si="322"/>
        <v>0.77</v>
      </c>
      <c r="AJ351" s="18">
        <f t="shared" si="310"/>
        <v>25.671800000000005</v>
      </c>
      <c r="AK351" s="33" t="s">
        <v>408</v>
      </c>
      <c r="AL351" s="34"/>
    </row>
    <row r="352" spans="1:38" ht="15.6" customHeight="1" x14ac:dyDescent="0.25">
      <c r="A352" s="8" t="s">
        <v>416</v>
      </c>
      <c r="B352" s="13">
        <v>0.77</v>
      </c>
      <c r="C352" s="13">
        <v>-0.9</v>
      </c>
      <c r="D352" s="13">
        <f t="shared" si="311"/>
        <v>-0.9</v>
      </c>
      <c r="E352" s="11">
        <v>-1.99</v>
      </c>
      <c r="F352" s="11">
        <f t="shared" si="320"/>
        <v>1.0899999999999999</v>
      </c>
      <c r="G352" s="13"/>
      <c r="H352" s="13">
        <v>12.97</v>
      </c>
      <c r="I352" s="13">
        <f t="shared" si="318"/>
        <v>9.9869000000000003</v>
      </c>
      <c r="J352" s="20"/>
      <c r="K352" s="20"/>
      <c r="L352" s="20"/>
      <c r="M352" s="20"/>
      <c r="N352" s="20"/>
      <c r="O352" s="13"/>
      <c r="P352" s="13"/>
      <c r="Q352" s="13"/>
      <c r="R352" s="13"/>
      <c r="S352" s="13"/>
      <c r="T352" s="13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18"/>
      <c r="AF352" s="18"/>
      <c r="AG352" s="18"/>
      <c r="AH352" s="18">
        <f t="shared" si="321"/>
        <v>12.97</v>
      </c>
      <c r="AI352" s="18">
        <f t="shared" si="322"/>
        <v>0.77</v>
      </c>
      <c r="AJ352" s="18">
        <f t="shared" si="310"/>
        <v>9.9869000000000003</v>
      </c>
      <c r="AK352" s="33" t="s">
        <v>409</v>
      </c>
      <c r="AL352" s="34"/>
    </row>
    <row r="353" spans="1:38" ht="15.6" customHeight="1" x14ac:dyDescent="0.25">
      <c r="A353" s="8" t="s">
        <v>417</v>
      </c>
      <c r="B353" s="13">
        <v>1.47</v>
      </c>
      <c r="C353" s="13">
        <v>-0.71</v>
      </c>
      <c r="D353" s="13">
        <f t="shared" si="311"/>
        <v>-0.71</v>
      </c>
      <c r="E353" s="11">
        <v>-1.99</v>
      </c>
      <c r="F353" s="11">
        <f t="shared" si="320"/>
        <v>1.28</v>
      </c>
      <c r="G353" s="13"/>
      <c r="H353" s="13">
        <v>19.809999999999999</v>
      </c>
      <c r="I353" s="13">
        <f t="shared" ref="I353:I357" si="323">H353*B353</f>
        <v>29.120699999999999</v>
      </c>
      <c r="J353" s="20"/>
      <c r="K353" s="20"/>
      <c r="L353" s="20"/>
      <c r="M353" s="20"/>
      <c r="N353" s="20"/>
      <c r="O353" s="13"/>
      <c r="P353" s="13"/>
      <c r="Q353" s="13"/>
      <c r="R353" s="13"/>
      <c r="S353" s="13"/>
      <c r="T353" s="13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18"/>
      <c r="AF353" s="18"/>
      <c r="AG353" s="18"/>
      <c r="AH353" s="18">
        <f t="shared" si="321"/>
        <v>19.809999999999999</v>
      </c>
      <c r="AI353" s="18">
        <f t="shared" si="322"/>
        <v>1.47</v>
      </c>
      <c r="AJ353" s="18">
        <f t="shared" ref="AJ353:AJ357" si="324">AI353*AH353</f>
        <v>29.120699999999999</v>
      </c>
      <c r="AK353" s="33" t="s">
        <v>543</v>
      </c>
      <c r="AL353" s="34"/>
    </row>
    <row r="354" spans="1:38" ht="15.6" customHeight="1" x14ac:dyDescent="0.25">
      <c r="A354" s="8" t="s">
        <v>418</v>
      </c>
      <c r="B354" s="13">
        <v>1.47</v>
      </c>
      <c r="C354" s="13">
        <v>-0.71</v>
      </c>
      <c r="D354" s="13">
        <f t="shared" si="311"/>
        <v>-0.71</v>
      </c>
      <c r="E354" s="11">
        <v>-1.99</v>
      </c>
      <c r="F354" s="11">
        <f t="shared" si="320"/>
        <v>1.28</v>
      </c>
      <c r="G354" s="13"/>
      <c r="H354" s="13">
        <v>21.55</v>
      </c>
      <c r="I354" s="13">
        <f t="shared" si="323"/>
        <v>31.6785</v>
      </c>
      <c r="J354" s="20"/>
      <c r="K354" s="20"/>
      <c r="L354" s="20"/>
      <c r="M354" s="20"/>
      <c r="N354" s="20"/>
      <c r="O354" s="13"/>
      <c r="P354" s="13"/>
      <c r="Q354" s="13"/>
      <c r="R354" s="13"/>
      <c r="S354" s="13"/>
      <c r="T354" s="13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18"/>
      <c r="AF354" s="18"/>
      <c r="AG354" s="18"/>
      <c r="AH354" s="18">
        <f t="shared" si="321"/>
        <v>21.55</v>
      </c>
      <c r="AI354" s="18">
        <f t="shared" si="322"/>
        <v>1.47</v>
      </c>
      <c r="AJ354" s="18">
        <f t="shared" si="324"/>
        <v>31.6785</v>
      </c>
      <c r="AK354" s="33" t="s">
        <v>544</v>
      </c>
      <c r="AL354" s="34"/>
    </row>
    <row r="355" spans="1:38" ht="15.6" customHeight="1" x14ac:dyDescent="0.25">
      <c r="A355" s="8" t="s">
        <v>419</v>
      </c>
      <c r="B355" s="13">
        <v>0.77</v>
      </c>
      <c r="C355" s="13">
        <v>-0.9</v>
      </c>
      <c r="D355" s="13">
        <f t="shared" si="311"/>
        <v>-0.9</v>
      </c>
      <c r="E355" s="11">
        <v>-1.99</v>
      </c>
      <c r="F355" s="11">
        <f t="shared" si="320"/>
        <v>1.0899999999999999</v>
      </c>
      <c r="G355" s="13"/>
      <c r="H355" s="13">
        <v>38.119999999999997</v>
      </c>
      <c r="I355" s="13">
        <f t="shared" si="323"/>
        <v>29.352399999999999</v>
      </c>
      <c r="J355" s="20"/>
      <c r="K355" s="20"/>
      <c r="L355" s="20"/>
      <c r="M355" s="20"/>
      <c r="N355" s="20"/>
      <c r="O355" s="13"/>
      <c r="P355" s="13"/>
      <c r="Q355" s="13"/>
      <c r="R355" s="13"/>
      <c r="S355" s="13"/>
      <c r="T355" s="13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18"/>
      <c r="AF355" s="18"/>
      <c r="AG355" s="18"/>
      <c r="AH355" s="18">
        <f t="shared" si="321"/>
        <v>38.119999999999997</v>
      </c>
      <c r="AI355" s="18">
        <f t="shared" si="322"/>
        <v>0.77</v>
      </c>
      <c r="AJ355" s="18">
        <f t="shared" si="324"/>
        <v>29.352399999999999</v>
      </c>
      <c r="AK355" s="33" t="s">
        <v>424</v>
      </c>
      <c r="AL355" s="34"/>
    </row>
    <row r="356" spans="1:38" ht="15.6" customHeight="1" x14ac:dyDescent="0.25">
      <c r="A356" s="8" t="s">
        <v>420</v>
      </c>
      <c r="B356" s="13">
        <v>1.47</v>
      </c>
      <c r="C356" s="13">
        <v>-0.76</v>
      </c>
      <c r="D356" s="13">
        <f t="shared" si="311"/>
        <v>-0.76</v>
      </c>
      <c r="E356" s="11">
        <v>-1.99</v>
      </c>
      <c r="F356" s="11">
        <f t="shared" si="320"/>
        <v>1.23</v>
      </c>
      <c r="G356" s="13"/>
      <c r="H356" s="13">
        <v>17.829999999999998</v>
      </c>
      <c r="I356" s="13">
        <f t="shared" si="323"/>
        <v>26.210099999999997</v>
      </c>
      <c r="J356" s="20"/>
      <c r="K356" s="20"/>
      <c r="L356" s="20"/>
      <c r="M356" s="20"/>
      <c r="N356" s="20"/>
      <c r="O356" s="13"/>
      <c r="P356" s="13"/>
      <c r="Q356" s="13"/>
      <c r="R356" s="13"/>
      <c r="S356" s="13"/>
      <c r="T356" s="13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18"/>
      <c r="AF356" s="18"/>
      <c r="AG356" s="18"/>
      <c r="AH356" s="18">
        <f t="shared" si="321"/>
        <v>17.829999999999998</v>
      </c>
      <c r="AI356" s="18">
        <f t="shared" si="322"/>
        <v>1.47</v>
      </c>
      <c r="AJ356" s="18">
        <f t="shared" si="324"/>
        <v>26.210099999999997</v>
      </c>
      <c r="AK356" s="33" t="s">
        <v>541</v>
      </c>
      <c r="AL356" s="34"/>
    </row>
    <row r="357" spans="1:38" ht="15.6" customHeight="1" x14ac:dyDescent="0.25">
      <c r="A357" s="8" t="s">
        <v>421</v>
      </c>
      <c r="B357" s="13">
        <v>1.47</v>
      </c>
      <c r="C357" s="13">
        <v>-0.76</v>
      </c>
      <c r="D357" s="13">
        <f t="shared" si="311"/>
        <v>-0.76</v>
      </c>
      <c r="E357" s="11">
        <v>-1.99</v>
      </c>
      <c r="F357" s="11">
        <f t="shared" si="320"/>
        <v>1.23</v>
      </c>
      <c r="G357" s="13"/>
      <c r="H357" s="13">
        <v>22.32</v>
      </c>
      <c r="I357" s="13">
        <f t="shared" si="323"/>
        <v>32.810400000000001</v>
      </c>
      <c r="J357" s="20"/>
      <c r="K357" s="20"/>
      <c r="L357" s="20"/>
      <c r="M357" s="20"/>
      <c r="N357" s="20"/>
      <c r="O357" s="13"/>
      <c r="P357" s="13"/>
      <c r="Q357" s="13"/>
      <c r="R357" s="13"/>
      <c r="S357" s="13"/>
      <c r="T357" s="13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18"/>
      <c r="AF357" s="18"/>
      <c r="AG357" s="18"/>
      <c r="AH357" s="18">
        <f t="shared" si="321"/>
        <v>22.32</v>
      </c>
      <c r="AI357" s="18">
        <f t="shared" si="322"/>
        <v>1.47</v>
      </c>
      <c r="AJ357" s="18">
        <f t="shared" si="324"/>
        <v>32.810400000000001</v>
      </c>
      <c r="AK357" s="33" t="s">
        <v>542</v>
      </c>
      <c r="AL357" s="34"/>
    </row>
    <row r="358" spans="1:38" ht="15.6" customHeight="1" x14ac:dyDescent="0.25">
      <c r="A358" s="8" t="s">
        <v>422</v>
      </c>
      <c r="B358" s="13">
        <v>0.77</v>
      </c>
      <c r="C358" s="13">
        <v>-0.9</v>
      </c>
      <c r="D358" s="13">
        <f t="shared" si="311"/>
        <v>-0.9</v>
      </c>
      <c r="E358" s="11">
        <v>-1.99</v>
      </c>
      <c r="F358" s="11">
        <f t="shared" si="320"/>
        <v>1.0899999999999999</v>
      </c>
      <c r="G358" s="13"/>
      <c r="H358" s="13">
        <v>38.130000000000003</v>
      </c>
      <c r="I358" s="13">
        <f t="shared" si="318"/>
        <v>29.360100000000003</v>
      </c>
      <c r="J358" s="20"/>
      <c r="K358" s="20"/>
      <c r="L358" s="20"/>
      <c r="M358" s="20"/>
      <c r="N358" s="20"/>
      <c r="O358" s="13"/>
      <c r="P358" s="13"/>
      <c r="Q358" s="13"/>
      <c r="R358" s="13"/>
      <c r="S358" s="13"/>
      <c r="T358" s="13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18"/>
      <c r="AF358" s="18"/>
      <c r="AG358" s="18"/>
      <c r="AH358" s="18">
        <f t="shared" si="321"/>
        <v>38.130000000000003</v>
      </c>
      <c r="AI358" s="18">
        <f t="shared" si="322"/>
        <v>0.77</v>
      </c>
      <c r="AJ358" s="18">
        <f t="shared" si="310"/>
        <v>29.360100000000003</v>
      </c>
      <c r="AK358" s="33" t="s">
        <v>425</v>
      </c>
      <c r="AL358" s="34"/>
    </row>
    <row r="359" spans="1:38" ht="15.6" customHeight="1" x14ac:dyDescent="0.25">
      <c r="A359" s="8" t="s">
        <v>423</v>
      </c>
      <c r="B359" s="13">
        <v>0.77</v>
      </c>
      <c r="C359" s="13">
        <v>-0.9</v>
      </c>
      <c r="D359" s="13">
        <f t="shared" si="311"/>
        <v>-0.9</v>
      </c>
      <c r="E359" s="11">
        <v>-1.99</v>
      </c>
      <c r="F359" s="11">
        <f t="shared" si="320"/>
        <v>1.0899999999999999</v>
      </c>
      <c r="G359" s="13"/>
      <c r="H359" s="13">
        <v>13.05</v>
      </c>
      <c r="I359" s="13">
        <f t="shared" si="318"/>
        <v>10.048500000000001</v>
      </c>
      <c r="J359" s="20"/>
      <c r="K359" s="20"/>
      <c r="L359" s="20"/>
      <c r="M359" s="20"/>
      <c r="N359" s="20"/>
      <c r="O359" s="13"/>
      <c r="P359" s="13"/>
      <c r="Q359" s="13"/>
      <c r="R359" s="13"/>
      <c r="S359" s="13"/>
      <c r="T359" s="13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18"/>
      <c r="AF359" s="18"/>
      <c r="AG359" s="18"/>
      <c r="AH359" s="18">
        <f t="shared" si="321"/>
        <v>13.05</v>
      </c>
      <c r="AI359" s="18">
        <f t="shared" si="322"/>
        <v>0.77</v>
      </c>
      <c r="AJ359" s="18">
        <f t="shared" si="310"/>
        <v>10.048500000000001</v>
      </c>
      <c r="AK359" s="33" t="s">
        <v>426</v>
      </c>
      <c r="AL359" s="34"/>
    </row>
    <row r="360" spans="1:38" ht="15.6" customHeight="1" x14ac:dyDescent="0.25">
      <c r="A360" s="8" t="s">
        <v>437</v>
      </c>
      <c r="B360" s="13">
        <v>0.77</v>
      </c>
      <c r="C360" s="13">
        <v>-0.9</v>
      </c>
      <c r="D360" s="13">
        <f t="shared" si="311"/>
        <v>-0.9</v>
      </c>
      <c r="E360" s="11">
        <v>-1.99</v>
      </c>
      <c r="F360" s="11">
        <f t="shared" si="320"/>
        <v>1.0899999999999999</v>
      </c>
      <c r="G360" s="13"/>
      <c r="H360" s="13">
        <v>61.48</v>
      </c>
      <c r="I360" s="13">
        <f t="shared" si="318"/>
        <v>47.339599999999997</v>
      </c>
      <c r="J360" s="20"/>
      <c r="K360" s="20"/>
      <c r="L360" s="20"/>
      <c r="M360" s="20"/>
      <c r="N360" s="20"/>
      <c r="O360" s="13"/>
      <c r="P360" s="13"/>
      <c r="Q360" s="13"/>
      <c r="R360" s="13"/>
      <c r="S360" s="13"/>
      <c r="T360" s="13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18"/>
      <c r="AF360" s="18"/>
      <c r="AG360" s="18"/>
      <c r="AH360" s="18">
        <f t="shared" si="321"/>
        <v>61.48</v>
      </c>
      <c r="AI360" s="18">
        <f t="shared" si="322"/>
        <v>0.77</v>
      </c>
      <c r="AJ360" s="18">
        <f t="shared" si="310"/>
        <v>47.339599999999997</v>
      </c>
      <c r="AK360" s="33" t="s">
        <v>427</v>
      </c>
      <c r="AL360" s="34"/>
    </row>
    <row r="361" spans="1:38" ht="15.6" customHeight="1" x14ac:dyDescent="0.25">
      <c r="A361" s="8" t="s">
        <v>438</v>
      </c>
      <c r="B361" s="13">
        <v>0.77</v>
      </c>
      <c r="C361" s="13">
        <v>-0.9</v>
      </c>
      <c r="D361" s="13">
        <f t="shared" si="311"/>
        <v>-0.9</v>
      </c>
      <c r="E361" s="11">
        <v>-1.99</v>
      </c>
      <c r="F361" s="11">
        <f t="shared" si="320"/>
        <v>1.0899999999999999</v>
      </c>
      <c r="G361" s="13"/>
      <c r="H361" s="13">
        <v>69.709999999999994</v>
      </c>
      <c r="I361" s="13">
        <f t="shared" si="318"/>
        <v>53.676699999999997</v>
      </c>
      <c r="J361" s="20"/>
      <c r="K361" s="20"/>
      <c r="L361" s="20"/>
      <c r="M361" s="20"/>
      <c r="N361" s="20"/>
      <c r="O361" s="13"/>
      <c r="P361" s="13"/>
      <c r="Q361" s="13"/>
      <c r="R361" s="13"/>
      <c r="S361" s="13"/>
      <c r="T361" s="13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18"/>
      <c r="AF361" s="18"/>
      <c r="AG361" s="18"/>
      <c r="AH361" s="18">
        <f t="shared" si="321"/>
        <v>69.709999999999994</v>
      </c>
      <c r="AI361" s="18">
        <f t="shared" si="322"/>
        <v>0.77</v>
      </c>
      <c r="AJ361" s="18">
        <f t="shared" si="310"/>
        <v>53.676699999999997</v>
      </c>
      <c r="AK361" s="33" t="s">
        <v>429</v>
      </c>
      <c r="AL361" s="34"/>
    </row>
    <row r="362" spans="1:38" ht="15.6" customHeight="1" x14ac:dyDescent="0.25">
      <c r="A362" s="8" t="s">
        <v>445</v>
      </c>
      <c r="B362" s="13">
        <v>0.77</v>
      </c>
      <c r="C362" s="13">
        <v>-0.9</v>
      </c>
      <c r="D362" s="13">
        <f t="shared" si="311"/>
        <v>-0.9</v>
      </c>
      <c r="E362" s="11">
        <v>-1.99</v>
      </c>
      <c r="F362" s="11">
        <f t="shared" si="320"/>
        <v>1.0899999999999999</v>
      </c>
      <c r="G362" s="13"/>
      <c r="H362" s="13">
        <v>71.209999999999994</v>
      </c>
      <c r="I362" s="13">
        <f t="shared" si="318"/>
        <v>54.831699999999998</v>
      </c>
      <c r="J362" s="20"/>
      <c r="K362" s="20"/>
      <c r="L362" s="20"/>
      <c r="M362" s="20"/>
      <c r="N362" s="20"/>
      <c r="O362" s="13"/>
      <c r="P362" s="13"/>
      <c r="Q362" s="13"/>
      <c r="R362" s="13"/>
      <c r="S362" s="13"/>
      <c r="T362" s="13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18"/>
      <c r="AF362" s="18"/>
      <c r="AG362" s="18"/>
      <c r="AH362" s="18">
        <f t="shared" si="321"/>
        <v>71.209999999999994</v>
      </c>
      <c r="AI362" s="18">
        <f t="shared" si="322"/>
        <v>0.77</v>
      </c>
      <c r="AJ362" s="18">
        <f t="shared" si="310"/>
        <v>54.831699999999998</v>
      </c>
      <c r="AK362" s="33" t="s">
        <v>430</v>
      </c>
      <c r="AL362" s="34"/>
    </row>
    <row r="363" spans="1:38" ht="15.6" customHeight="1" x14ac:dyDescent="0.25">
      <c r="A363" s="8" t="s">
        <v>531</v>
      </c>
      <c r="B363" s="13">
        <v>0.77</v>
      </c>
      <c r="C363" s="13">
        <f>--0.9</f>
        <v>0.9</v>
      </c>
      <c r="D363" s="13">
        <f t="shared" si="311"/>
        <v>0.9</v>
      </c>
      <c r="E363" s="11">
        <v>-1.99</v>
      </c>
      <c r="F363" s="11">
        <f t="shared" si="320"/>
        <v>2.89</v>
      </c>
      <c r="G363" s="13"/>
      <c r="H363" s="13">
        <v>48.84</v>
      </c>
      <c r="I363" s="13">
        <f t="shared" si="318"/>
        <v>37.606800000000007</v>
      </c>
      <c r="J363" s="20"/>
      <c r="K363" s="20"/>
      <c r="L363" s="20"/>
      <c r="M363" s="20"/>
      <c r="N363" s="20"/>
      <c r="O363" s="13"/>
      <c r="P363" s="13"/>
      <c r="Q363" s="13"/>
      <c r="R363" s="13"/>
      <c r="S363" s="13"/>
      <c r="T363" s="13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18"/>
      <c r="AF363" s="18"/>
      <c r="AG363" s="18"/>
      <c r="AH363" s="18">
        <f t="shared" si="321"/>
        <v>48.84</v>
      </c>
      <c r="AI363" s="18">
        <f t="shared" si="322"/>
        <v>0.77</v>
      </c>
      <c r="AJ363" s="18">
        <f t="shared" si="310"/>
        <v>37.606800000000007</v>
      </c>
      <c r="AK363" s="33" t="s">
        <v>431</v>
      </c>
      <c r="AL363" s="34"/>
    </row>
    <row r="364" spans="1:38" ht="15.6" customHeight="1" x14ac:dyDescent="0.25">
      <c r="A364" s="8" t="s">
        <v>532</v>
      </c>
      <c r="B364" s="13">
        <v>0.77</v>
      </c>
      <c r="C364" s="13">
        <v>-0.9</v>
      </c>
      <c r="D364" s="13">
        <f t="shared" si="311"/>
        <v>-0.9</v>
      </c>
      <c r="E364" s="11">
        <v>-1.99</v>
      </c>
      <c r="F364" s="11">
        <f t="shared" si="320"/>
        <v>1.0899999999999999</v>
      </c>
      <c r="G364" s="13"/>
      <c r="H364" s="13">
        <v>30.21</v>
      </c>
      <c r="I364" s="13">
        <f t="shared" si="318"/>
        <v>23.261700000000001</v>
      </c>
      <c r="J364" s="20"/>
      <c r="K364" s="20"/>
      <c r="L364" s="20"/>
      <c r="M364" s="20"/>
      <c r="N364" s="20"/>
      <c r="O364" s="13"/>
      <c r="P364" s="13"/>
      <c r="Q364" s="13"/>
      <c r="R364" s="13"/>
      <c r="S364" s="13"/>
      <c r="T364" s="13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18"/>
      <c r="AF364" s="18"/>
      <c r="AG364" s="18"/>
      <c r="AH364" s="18">
        <f t="shared" si="321"/>
        <v>30.21</v>
      </c>
      <c r="AI364" s="18">
        <f t="shared" si="322"/>
        <v>0.77</v>
      </c>
      <c r="AJ364" s="18">
        <f t="shared" si="310"/>
        <v>23.261700000000001</v>
      </c>
      <c r="AK364" s="33" t="s">
        <v>432</v>
      </c>
      <c r="AL364" s="34"/>
    </row>
    <row r="365" spans="1:38" ht="15.6" customHeight="1" x14ac:dyDescent="0.25">
      <c r="A365" s="8" t="s">
        <v>534</v>
      </c>
      <c r="B365" s="13">
        <v>0.77</v>
      </c>
      <c r="C365" s="13">
        <v>-0.9</v>
      </c>
      <c r="D365" s="13">
        <f t="shared" si="311"/>
        <v>-0.9</v>
      </c>
      <c r="E365" s="11">
        <v>-1.99</v>
      </c>
      <c r="F365" s="11">
        <f t="shared" ref="F365" si="325">D365-E365</f>
        <v>1.0899999999999999</v>
      </c>
      <c r="G365" s="13"/>
      <c r="H365" s="13">
        <v>20.82</v>
      </c>
      <c r="I365" s="13">
        <f t="shared" si="318"/>
        <v>16.031400000000001</v>
      </c>
      <c r="J365" s="20"/>
      <c r="K365" s="20"/>
      <c r="L365" s="20"/>
      <c r="M365" s="20"/>
      <c r="N365" s="20"/>
      <c r="O365" s="13"/>
      <c r="P365" s="13"/>
      <c r="Q365" s="13"/>
      <c r="R365" s="13"/>
      <c r="S365" s="13"/>
      <c r="T365" s="13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18"/>
      <c r="AF365" s="18"/>
      <c r="AG365" s="18"/>
      <c r="AH365" s="18">
        <f t="shared" si="321"/>
        <v>20.82</v>
      </c>
      <c r="AI365" s="18">
        <f t="shared" si="322"/>
        <v>0.77</v>
      </c>
      <c r="AJ365" s="18">
        <f t="shared" si="310"/>
        <v>16.031400000000001</v>
      </c>
      <c r="AK365" s="33" t="s">
        <v>562</v>
      </c>
      <c r="AL365" s="34"/>
    </row>
    <row r="366" spans="1:38" ht="15.6" customHeight="1" x14ac:dyDescent="0.25">
      <c r="A366" s="8" t="s">
        <v>545</v>
      </c>
      <c r="B366" s="13">
        <v>0.77</v>
      </c>
      <c r="C366" s="13">
        <v>-0.9</v>
      </c>
      <c r="D366" s="13">
        <f t="shared" si="311"/>
        <v>-0.9</v>
      </c>
      <c r="E366" s="11">
        <v>-1.99</v>
      </c>
      <c r="F366" s="11">
        <f t="shared" si="320"/>
        <v>1.0899999999999999</v>
      </c>
      <c r="G366" s="13"/>
      <c r="H366" s="13">
        <v>50.35</v>
      </c>
      <c r="I366" s="13">
        <f t="shared" si="318"/>
        <v>38.769500000000001</v>
      </c>
      <c r="J366" s="20"/>
      <c r="K366" s="20"/>
      <c r="L366" s="20"/>
      <c r="M366" s="20"/>
      <c r="N366" s="20"/>
      <c r="O366" s="13"/>
      <c r="P366" s="13"/>
      <c r="Q366" s="13"/>
      <c r="R366" s="13"/>
      <c r="S366" s="13"/>
      <c r="T366" s="13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18">
        <f>H366</f>
        <v>50.35</v>
      </c>
      <c r="AF366" s="18">
        <f>B366</f>
        <v>0.77</v>
      </c>
      <c r="AG366" s="18">
        <f>AF366*AE366</f>
        <v>38.769500000000001</v>
      </c>
      <c r="AK366" s="33" t="s">
        <v>433</v>
      </c>
      <c r="AL366" s="34"/>
    </row>
    <row r="367" spans="1:38" ht="15.6" customHeight="1" x14ac:dyDescent="0.25">
      <c r="A367" s="8" t="s">
        <v>546</v>
      </c>
      <c r="B367" s="13">
        <v>0.77</v>
      </c>
      <c r="C367" s="13">
        <v>-0.9</v>
      </c>
      <c r="D367" s="13">
        <f t="shared" si="311"/>
        <v>-0.9</v>
      </c>
      <c r="E367" s="11">
        <v>-1.99</v>
      </c>
      <c r="F367" s="11">
        <f t="shared" si="320"/>
        <v>1.0899999999999999</v>
      </c>
      <c r="G367" s="13"/>
      <c r="H367" s="13">
        <v>47.33</v>
      </c>
      <c r="I367" s="13">
        <f t="shared" si="318"/>
        <v>36.444099999999999</v>
      </c>
      <c r="J367" s="20"/>
      <c r="K367" s="20"/>
      <c r="L367" s="20"/>
      <c r="M367" s="20"/>
      <c r="N367" s="20"/>
      <c r="O367" s="13"/>
      <c r="P367" s="13"/>
      <c r="Q367" s="13"/>
      <c r="R367" s="13"/>
      <c r="S367" s="13"/>
      <c r="T367" s="13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18">
        <f>H367</f>
        <v>47.33</v>
      </c>
      <c r="AF367" s="18">
        <f>B367</f>
        <v>0.77</v>
      </c>
      <c r="AG367" s="18">
        <f>AF367*AE367</f>
        <v>36.444099999999999</v>
      </c>
      <c r="AK367" s="33" t="s">
        <v>434</v>
      </c>
      <c r="AL367" s="34"/>
    </row>
    <row r="368" spans="1:38" ht="15.6" customHeight="1" x14ac:dyDescent="0.25">
      <c r="A368" s="8" t="s">
        <v>547</v>
      </c>
      <c r="B368" s="13">
        <v>0.77</v>
      </c>
      <c r="C368" s="13">
        <v>-0.9</v>
      </c>
      <c r="D368" s="13">
        <f t="shared" si="311"/>
        <v>-0.9</v>
      </c>
      <c r="E368" s="11">
        <v>-1.99</v>
      </c>
      <c r="F368" s="11">
        <f t="shared" si="320"/>
        <v>1.0899999999999999</v>
      </c>
      <c r="G368" s="13"/>
      <c r="H368" s="13">
        <v>48.12</v>
      </c>
      <c r="I368" s="13">
        <f t="shared" si="318"/>
        <v>37.052399999999999</v>
      </c>
      <c r="J368" s="20"/>
      <c r="K368" s="20"/>
      <c r="L368" s="20"/>
      <c r="M368" s="20"/>
      <c r="N368" s="20"/>
      <c r="O368" s="13"/>
      <c r="P368" s="13"/>
      <c r="Q368" s="13"/>
      <c r="R368" s="13"/>
      <c r="S368" s="13"/>
      <c r="T368" s="13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18"/>
      <c r="AF368" s="18"/>
      <c r="AG368" s="18"/>
      <c r="AH368" s="18">
        <f t="shared" ref="AH368:AH377" si="326">H368</f>
        <v>48.12</v>
      </c>
      <c r="AI368" s="18">
        <f t="shared" ref="AI368:AI377" si="327">B368</f>
        <v>0.77</v>
      </c>
      <c r="AJ368" s="18">
        <f t="shared" si="310"/>
        <v>37.052399999999999</v>
      </c>
      <c r="AK368" s="33" t="s">
        <v>435</v>
      </c>
      <c r="AL368" s="34"/>
    </row>
    <row r="369" spans="1:38" ht="15.6" customHeight="1" x14ac:dyDescent="0.25">
      <c r="A369" s="8" t="s">
        <v>548</v>
      </c>
      <c r="B369" s="13">
        <v>0.77</v>
      </c>
      <c r="C369" s="13">
        <v>-0.9</v>
      </c>
      <c r="D369" s="13">
        <f t="shared" si="311"/>
        <v>-0.9</v>
      </c>
      <c r="E369" s="11">
        <v>-1.99</v>
      </c>
      <c r="F369" s="11">
        <f t="shared" si="320"/>
        <v>1.0899999999999999</v>
      </c>
      <c r="G369" s="13"/>
      <c r="H369" s="13">
        <v>59.3</v>
      </c>
      <c r="I369" s="13">
        <f t="shared" si="318"/>
        <v>45.661000000000001</v>
      </c>
      <c r="J369" s="20"/>
      <c r="K369" s="20"/>
      <c r="L369" s="20"/>
      <c r="M369" s="20"/>
      <c r="N369" s="20"/>
      <c r="O369" s="13"/>
      <c r="P369" s="13"/>
      <c r="Q369" s="13"/>
      <c r="R369" s="13"/>
      <c r="S369" s="13"/>
      <c r="T369" s="13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18"/>
      <c r="AF369" s="18"/>
      <c r="AG369" s="18"/>
      <c r="AH369" s="18">
        <f t="shared" si="326"/>
        <v>59.3</v>
      </c>
      <c r="AI369" s="18">
        <f t="shared" si="327"/>
        <v>0.77</v>
      </c>
      <c r="AJ369" s="18">
        <f t="shared" si="310"/>
        <v>45.661000000000001</v>
      </c>
      <c r="AK369" s="33" t="s">
        <v>436</v>
      </c>
      <c r="AL369" s="34"/>
    </row>
    <row r="370" spans="1:38" ht="15.6" customHeight="1" x14ac:dyDescent="0.25">
      <c r="A370" s="8" t="s">
        <v>549</v>
      </c>
      <c r="B370" s="13">
        <f>(0.29*3)*(1.99-1.03)-0.1</f>
        <v>0.73519999999999985</v>
      </c>
      <c r="C370" s="13">
        <f>(-0.9+-1.15)/2</f>
        <v>-1.0249999999999999</v>
      </c>
      <c r="D370" s="13">
        <f t="shared" si="311"/>
        <v>-1.0249999999999999</v>
      </c>
      <c r="E370" s="11">
        <v>-1.99</v>
      </c>
      <c r="F370" s="11">
        <f t="shared" si="320"/>
        <v>0.96500000000000008</v>
      </c>
      <c r="G370" s="13"/>
      <c r="H370" s="13">
        <v>34.1</v>
      </c>
      <c r="I370" s="13">
        <f t="shared" si="318"/>
        <v>25.070319999999995</v>
      </c>
      <c r="J370" s="20"/>
      <c r="K370" s="20"/>
      <c r="L370" s="20"/>
      <c r="M370" s="20"/>
      <c r="N370" s="20"/>
      <c r="O370" s="13"/>
      <c r="P370" s="13"/>
      <c r="Q370" s="13"/>
      <c r="R370" s="13"/>
      <c r="S370" s="13"/>
      <c r="T370" s="13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18"/>
      <c r="AF370" s="18"/>
      <c r="AG370" s="18"/>
      <c r="AH370" s="18">
        <f t="shared" si="326"/>
        <v>34.1</v>
      </c>
      <c r="AI370" s="18">
        <f t="shared" si="327"/>
        <v>0.73519999999999985</v>
      </c>
      <c r="AJ370" s="18">
        <f t="shared" si="310"/>
        <v>25.070319999999995</v>
      </c>
      <c r="AK370" s="33" t="s">
        <v>565</v>
      </c>
      <c r="AL370" s="34"/>
    </row>
    <row r="371" spans="1:38" ht="15.6" customHeight="1" x14ac:dyDescent="0.25">
      <c r="A371" s="8" t="s">
        <v>550</v>
      </c>
      <c r="B371" s="13">
        <f>(0.29*3)*(1.99-1.03)-0.1</f>
        <v>0.73519999999999985</v>
      </c>
      <c r="C371" s="13">
        <f>(-0.9+-1.15)/2</f>
        <v>-1.0249999999999999</v>
      </c>
      <c r="D371" s="13">
        <f t="shared" si="311"/>
        <v>-1.0249999999999999</v>
      </c>
      <c r="E371" s="11">
        <v>-1.99</v>
      </c>
      <c r="F371" s="11">
        <f t="shared" si="320"/>
        <v>0.96500000000000008</v>
      </c>
      <c r="G371" s="13"/>
      <c r="H371" s="13">
        <v>31.8</v>
      </c>
      <c r="I371" s="13">
        <f t="shared" si="318"/>
        <v>23.379359999999995</v>
      </c>
      <c r="J371" s="20"/>
      <c r="K371" s="20"/>
      <c r="L371" s="20"/>
      <c r="M371" s="20"/>
      <c r="N371" s="20"/>
      <c r="O371" s="13"/>
      <c r="P371" s="13"/>
      <c r="Q371" s="13"/>
      <c r="R371" s="13"/>
      <c r="S371" s="13"/>
      <c r="T371" s="13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18"/>
      <c r="AF371" s="18"/>
      <c r="AG371" s="18"/>
      <c r="AH371" s="18">
        <f t="shared" si="326"/>
        <v>31.8</v>
      </c>
      <c r="AI371" s="18">
        <f t="shared" si="327"/>
        <v>0.73519999999999985</v>
      </c>
      <c r="AJ371" s="18">
        <f t="shared" si="310"/>
        <v>23.379359999999995</v>
      </c>
      <c r="AK371" s="33" t="s">
        <v>566</v>
      </c>
      <c r="AL371" s="34"/>
    </row>
    <row r="372" spans="1:38" ht="15.6" customHeight="1" x14ac:dyDescent="0.25">
      <c r="A372" s="8" t="s">
        <v>551</v>
      </c>
      <c r="B372" s="13">
        <v>0.56000000000000005</v>
      </c>
      <c r="C372" s="13">
        <v>-1.1499999999999999</v>
      </c>
      <c r="D372" s="13">
        <f t="shared" si="311"/>
        <v>-1.1499999999999999</v>
      </c>
      <c r="E372" s="11">
        <v>-1.99</v>
      </c>
      <c r="F372" s="11">
        <f t="shared" si="320"/>
        <v>0.84000000000000008</v>
      </c>
      <c r="G372" s="13"/>
      <c r="H372" s="13">
        <v>35.21</v>
      </c>
      <c r="I372" s="13">
        <f t="shared" si="318"/>
        <v>19.717600000000001</v>
      </c>
      <c r="J372" s="20"/>
      <c r="K372" s="20"/>
      <c r="L372" s="20"/>
      <c r="M372" s="20"/>
      <c r="N372" s="20"/>
      <c r="O372" s="13"/>
      <c r="P372" s="13"/>
      <c r="Q372" s="13"/>
      <c r="R372" s="13"/>
      <c r="S372" s="13"/>
      <c r="T372" s="13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18"/>
      <c r="AF372" s="18"/>
      <c r="AG372" s="18"/>
      <c r="AH372" s="18">
        <f t="shared" si="326"/>
        <v>35.21</v>
      </c>
      <c r="AI372" s="18">
        <f t="shared" si="327"/>
        <v>0.56000000000000005</v>
      </c>
      <c r="AJ372" s="18">
        <f t="shared" si="310"/>
        <v>19.717600000000001</v>
      </c>
      <c r="AK372" s="33" t="s">
        <v>439</v>
      </c>
      <c r="AL372" s="34"/>
    </row>
    <row r="373" spans="1:38" ht="15.6" customHeight="1" x14ac:dyDescent="0.25">
      <c r="A373" s="8" t="s">
        <v>552</v>
      </c>
      <c r="B373" s="13">
        <v>0.56000000000000005</v>
      </c>
      <c r="C373" s="13">
        <v>-1.1499999999999999</v>
      </c>
      <c r="D373" s="13">
        <f t="shared" si="311"/>
        <v>-1.1499999999999999</v>
      </c>
      <c r="E373" s="11">
        <v>-1.99</v>
      </c>
      <c r="F373" s="11">
        <f t="shared" si="320"/>
        <v>0.84000000000000008</v>
      </c>
      <c r="G373" s="13"/>
      <c r="H373" s="13">
        <v>18.690000000000001</v>
      </c>
      <c r="I373" s="13">
        <f t="shared" si="318"/>
        <v>10.466400000000002</v>
      </c>
      <c r="J373" s="20"/>
      <c r="K373" s="20"/>
      <c r="L373" s="20"/>
      <c r="M373" s="20"/>
      <c r="N373" s="20"/>
      <c r="O373" s="13"/>
      <c r="P373" s="13"/>
      <c r="Q373" s="13"/>
      <c r="R373" s="13"/>
      <c r="S373" s="13"/>
      <c r="T373" s="13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18"/>
      <c r="AF373" s="18"/>
      <c r="AG373" s="18"/>
      <c r="AH373" s="18">
        <f t="shared" si="326"/>
        <v>18.690000000000001</v>
      </c>
      <c r="AI373" s="18">
        <f t="shared" si="327"/>
        <v>0.56000000000000005</v>
      </c>
      <c r="AJ373" s="18">
        <f t="shared" si="310"/>
        <v>10.466400000000002</v>
      </c>
      <c r="AK373" s="33" t="s">
        <v>440</v>
      </c>
      <c r="AL373" s="34"/>
    </row>
    <row r="374" spans="1:38" ht="15.6" customHeight="1" x14ac:dyDescent="0.25">
      <c r="A374" s="8" t="s">
        <v>553</v>
      </c>
      <c r="B374" s="13">
        <v>0.56000000000000005</v>
      </c>
      <c r="C374" s="13">
        <v>-1.1499999999999999</v>
      </c>
      <c r="D374" s="13">
        <f t="shared" si="311"/>
        <v>-1.1499999999999999</v>
      </c>
      <c r="E374" s="11">
        <v>-1.99</v>
      </c>
      <c r="F374" s="11">
        <f t="shared" si="320"/>
        <v>0.84000000000000008</v>
      </c>
      <c r="G374" s="13"/>
      <c r="H374" s="13">
        <v>52.79</v>
      </c>
      <c r="I374" s="13">
        <f t="shared" si="318"/>
        <v>29.562400000000004</v>
      </c>
      <c r="J374" s="20"/>
      <c r="K374" s="20"/>
      <c r="L374" s="20"/>
      <c r="M374" s="20"/>
      <c r="N374" s="20"/>
      <c r="O374" s="13"/>
      <c r="P374" s="13"/>
      <c r="Q374" s="13"/>
      <c r="R374" s="13"/>
      <c r="S374" s="13"/>
      <c r="T374" s="13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18"/>
      <c r="AF374" s="18"/>
      <c r="AG374" s="18"/>
      <c r="AH374" s="18">
        <f t="shared" si="326"/>
        <v>52.79</v>
      </c>
      <c r="AI374" s="18">
        <f t="shared" si="327"/>
        <v>0.56000000000000005</v>
      </c>
      <c r="AJ374" s="18">
        <f t="shared" si="310"/>
        <v>29.562400000000004</v>
      </c>
      <c r="AK374" s="33" t="s">
        <v>441</v>
      </c>
      <c r="AL374" s="34"/>
    </row>
    <row r="375" spans="1:38" ht="15.6" customHeight="1" x14ac:dyDescent="0.25">
      <c r="A375" s="8" t="s">
        <v>554</v>
      </c>
      <c r="B375" s="13">
        <v>0.56000000000000005</v>
      </c>
      <c r="C375" s="13">
        <v>-1.1499999999999999</v>
      </c>
      <c r="D375" s="13">
        <f t="shared" si="311"/>
        <v>-1.1499999999999999</v>
      </c>
      <c r="E375" s="11">
        <v>-1.99</v>
      </c>
      <c r="F375" s="11">
        <f t="shared" si="320"/>
        <v>0.84000000000000008</v>
      </c>
      <c r="G375" s="13"/>
      <c r="H375" s="13">
        <v>15.9</v>
      </c>
      <c r="I375" s="13">
        <f t="shared" si="318"/>
        <v>8.9040000000000017</v>
      </c>
      <c r="J375" s="20"/>
      <c r="K375" s="20"/>
      <c r="L375" s="20"/>
      <c r="M375" s="20"/>
      <c r="N375" s="20"/>
      <c r="O375" s="13"/>
      <c r="P375" s="13"/>
      <c r="Q375" s="13"/>
      <c r="R375" s="13"/>
      <c r="S375" s="13"/>
      <c r="T375" s="13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18"/>
      <c r="AF375" s="18"/>
      <c r="AG375" s="18"/>
      <c r="AH375" s="18">
        <f t="shared" si="326"/>
        <v>15.9</v>
      </c>
      <c r="AI375" s="18">
        <f t="shared" si="327"/>
        <v>0.56000000000000005</v>
      </c>
      <c r="AJ375" s="18">
        <f t="shared" si="310"/>
        <v>8.9040000000000017</v>
      </c>
      <c r="AK375" s="33" t="s">
        <v>442</v>
      </c>
      <c r="AL375" s="34"/>
    </row>
    <row r="376" spans="1:38" ht="15.6" customHeight="1" x14ac:dyDescent="0.25">
      <c r="A376" s="8" t="s">
        <v>564</v>
      </c>
      <c r="B376" s="13">
        <v>0.56000000000000005</v>
      </c>
      <c r="C376" s="13">
        <v>-1.1499999999999999</v>
      </c>
      <c r="D376" s="13">
        <f t="shared" si="311"/>
        <v>-1.1499999999999999</v>
      </c>
      <c r="E376" s="11">
        <v>-1.99</v>
      </c>
      <c r="F376" s="11">
        <f t="shared" si="320"/>
        <v>0.84000000000000008</v>
      </c>
      <c r="G376" s="13"/>
      <c r="H376" s="13">
        <v>29.28</v>
      </c>
      <c r="I376" s="13">
        <f t="shared" si="318"/>
        <v>16.396800000000002</v>
      </c>
      <c r="J376" s="20"/>
      <c r="K376" s="20"/>
      <c r="L376" s="20"/>
      <c r="M376" s="20"/>
      <c r="N376" s="20"/>
      <c r="O376" s="13"/>
      <c r="P376" s="13"/>
      <c r="Q376" s="13"/>
      <c r="R376" s="13"/>
      <c r="S376" s="13"/>
      <c r="T376" s="13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18"/>
      <c r="AF376" s="18"/>
      <c r="AG376" s="18"/>
      <c r="AH376" s="18">
        <f t="shared" si="326"/>
        <v>29.28</v>
      </c>
      <c r="AI376" s="18">
        <f t="shared" si="327"/>
        <v>0.56000000000000005</v>
      </c>
      <c r="AJ376" s="18">
        <f t="shared" si="310"/>
        <v>16.396800000000002</v>
      </c>
      <c r="AK376" s="33" t="s">
        <v>443</v>
      </c>
      <c r="AL376" s="34"/>
    </row>
    <row r="377" spans="1:38" ht="15.6" customHeight="1" x14ac:dyDescent="0.25">
      <c r="A377" s="8" t="s">
        <v>567</v>
      </c>
      <c r="B377" s="13">
        <v>0.56000000000000005</v>
      </c>
      <c r="C377" s="13">
        <v>-1.1499999999999999</v>
      </c>
      <c r="D377" s="13">
        <f t="shared" si="311"/>
        <v>-1.1499999999999999</v>
      </c>
      <c r="E377" s="11">
        <v>-1.99</v>
      </c>
      <c r="F377" s="11">
        <f t="shared" si="320"/>
        <v>0.84000000000000008</v>
      </c>
      <c r="G377" s="13"/>
      <c r="H377" s="13">
        <v>38.78</v>
      </c>
      <c r="I377" s="13">
        <f t="shared" si="318"/>
        <v>21.716800000000003</v>
      </c>
      <c r="J377" s="20"/>
      <c r="K377" s="20"/>
      <c r="L377" s="20"/>
      <c r="M377" s="20"/>
      <c r="N377" s="20"/>
      <c r="O377" s="13"/>
      <c r="P377" s="13"/>
      <c r="Q377" s="13"/>
      <c r="R377" s="13"/>
      <c r="S377" s="13"/>
      <c r="T377" s="13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18"/>
      <c r="AF377" s="18"/>
      <c r="AG377" s="18"/>
      <c r="AH377" s="18">
        <f t="shared" si="326"/>
        <v>38.78</v>
      </c>
      <c r="AI377" s="18">
        <f t="shared" si="327"/>
        <v>0.56000000000000005</v>
      </c>
      <c r="AJ377" s="18">
        <f t="shared" si="310"/>
        <v>21.716800000000003</v>
      </c>
      <c r="AK377" s="33" t="s">
        <v>444</v>
      </c>
      <c r="AL377" s="34"/>
    </row>
    <row r="378" spans="1:38" ht="15.6" customHeight="1" x14ac:dyDescent="0.25">
      <c r="A378" s="8" t="s">
        <v>357</v>
      </c>
      <c r="B378" s="13">
        <f>(0.29*3)*(((1.03+1.19)/2)-0.27)-0.1</f>
        <v>0.63079999999999981</v>
      </c>
      <c r="C378" s="13">
        <v>-0.26500000000000001</v>
      </c>
      <c r="D378" s="13">
        <f>C378</f>
        <v>-0.26500000000000001</v>
      </c>
      <c r="E378" s="11">
        <f>(-1.03+-1.19)/2</f>
        <v>-1.1099999999999999</v>
      </c>
      <c r="F378" s="11">
        <f t="shared" ref="F378" si="328">D378-E378</f>
        <v>0.84499999999999986</v>
      </c>
      <c r="G378" s="13"/>
      <c r="H378" s="13">
        <v>80.489999999999995</v>
      </c>
      <c r="I378" s="13">
        <f t="shared" si="318"/>
        <v>50.773091999999984</v>
      </c>
      <c r="J378" s="20"/>
      <c r="K378" s="20"/>
      <c r="L378" s="20"/>
      <c r="M378" s="20"/>
      <c r="N378" s="20"/>
      <c r="O378" s="13"/>
      <c r="P378" s="13"/>
      <c r="Q378" s="13"/>
      <c r="R378" s="13"/>
      <c r="S378" s="13"/>
      <c r="T378" s="13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18">
        <f t="shared" ref="AE378:AE409" si="329">H378</f>
        <v>80.489999999999995</v>
      </c>
      <c r="AF378" s="18">
        <f t="shared" ref="AF378:AF409" si="330">B378</f>
        <v>0.63079999999999981</v>
      </c>
      <c r="AG378" s="18">
        <f>AF378*AE378</f>
        <v>50.773091999999984</v>
      </c>
      <c r="AH378" s="18"/>
      <c r="AI378" s="18"/>
      <c r="AJ378" s="18"/>
      <c r="AK378" s="33" t="s">
        <v>453</v>
      </c>
      <c r="AL378" s="34"/>
    </row>
    <row r="379" spans="1:38" ht="15.6" customHeight="1" x14ac:dyDescent="0.25">
      <c r="A379" s="8" t="s">
        <v>446</v>
      </c>
      <c r="B379" s="13">
        <f>(0.29*3)*(((1.19+1.22)/2)-0.33)-0.1</f>
        <v>0.66124999999999989</v>
      </c>
      <c r="C379" s="13">
        <f>C319</f>
        <v>-0.46</v>
      </c>
      <c r="D379" s="13">
        <f>C379</f>
        <v>-0.46</v>
      </c>
      <c r="E379" s="11">
        <f>(-1.22+-1.19)/2</f>
        <v>-1.2050000000000001</v>
      </c>
      <c r="F379" s="11">
        <f t="shared" ref="F379:F405" si="331">D379-E379</f>
        <v>0.74500000000000011</v>
      </c>
      <c r="G379" s="13"/>
      <c r="H379" s="13">
        <v>13.99</v>
      </c>
      <c r="I379" s="13">
        <f t="shared" si="318"/>
        <v>9.2508874999999993</v>
      </c>
      <c r="J379" s="20"/>
      <c r="K379" s="20"/>
      <c r="L379" s="20"/>
      <c r="M379" s="20"/>
      <c r="N379" s="20"/>
      <c r="O379" s="13"/>
      <c r="P379" s="13"/>
      <c r="Q379" s="13"/>
      <c r="R379" s="13"/>
      <c r="S379" s="13"/>
      <c r="T379" s="13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18">
        <f t="shared" si="329"/>
        <v>13.99</v>
      </c>
      <c r="AF379" s="18">
        <f t="shared" si="330"/>
        <v>0.66124999999999989</v>
      </c>
      <c r="AG379" s="18">
        <f t="shared" ref="AG379:AG427" si="332">AF379*AE379</f>
        <v>9.2508874999999993</v>
      </c>
      <c r="AH379" s="18"/>
      <c r="AI379" s="18"/>
      <c r="AJ379" s="18"/>
      <c r="AK379" s="33" t="s">
        <v>454</v>
      </c>
      <c r="AL379" s="34"/>
    </row>
    <row r="380" spans="1:38" ht="15.6" customHeight="1" x14ac:dyDescent="0.25">
      <c r="A380" s="8" t="s">
        <v>447</v>
      </c>
      <c r="B380" s="13">
        <f>(0.29*3)*(((1.33+1.22)/2)-0.5)-0.1</f>
        <v>0.57424999999999982</v>
      </c>
      <c r="C380" s="13">
        <f>(C320+C321)/2</f>
        <v>-0.5</v>
      </c>
      <c r="D380" s="13">
        <f>C380</f>
        <v>-0.5</v>
      </c>
      <c r="E380" s="11">
        <f>(-1.22+-1.33)/2</f>
        <v>-1.2749999999999999</v>
      </c>
      <c r="F380" s="11">
        <f t="shared" si="331"/>
        <v>0.77499999999999991</v>
      </c>
      <c r="G380" s="13"/>
      <c r="H380" s="13">
        <v>55.73</v>
      </c>
      <c r="I380" s="13">
        <f t="shared" si="318"/>
        <v>32.002952499999985</v>
      </c>
      <c r="J380" s="20"/>
      <c r="K380" s="20"/>
      <c r="L380" s="20"/>
      <c r="M380" s="20"/>
      <c r="N380" s="20"/>
      <c r="O380" s="13"/>
      <c r="P380" s="13"/>
      <c r="Q380" s="13"/>
      <c r="R380" s="13"/>
      <c r="S380" s="13"/>
      <c r="T380" s="13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18">
        <f t="shared" si="329"/>
        <v>55.73</v>
      </c>
      <c r="AF380" s="18">
        <f t="shared" si="330"/>
        <v>0.57424999999999982</v>
      </c>
      <c r="AG380" s="18">
        <f t="shared" si="332"/>
        <v>32.002952499999985</v>
      </c>
      <c r="AH380" s="18"/>
      <c r="AI380" s="18"/>
      <c r="AJ380" s="18"/>
      <c r="AK380" s="33" t="s">
        <v>457</v>
      </c>
      <c r="AL380" s="34"/>
    </row>
    <row r="381" spans="1:38" ht="15.6" customHeight="1" x14ac:dyDescent="0.25">
      <c r="A381" s="8" t="s">
        <v>448</v>
      </c>
      <c r="B381" s="13">
        <f>(0.5*F381)+(0.33*F381)</f>
        <v>0.67645000000000022</v>
      </c>
      <c r="C381" s="13">
        <v>-0.45</v>
      </c>
      <c r="D381" s="13">
        <f t="shared" ref="D381:D384" si="333">C381</f>
        <v>-0.45</v>
      </c>
      <c r="E381" s="11">
        <f>(-1.2+-1.33)/2</f>
        <v>-1.2650000000000001</v>
      </c>
      <c r="F381" s="11">
        <f>D381-E381</f>
        <v>0.81500000000000017</v>
      </c>
      <c r="G381" s="13"/>
      <c r="H381" s="13">
        <v>66.58</v>
      </c>
      <c r="I381" s="13">
        <f t="shared" si="318"/>
        <v>45.038041000000014</v>
      </c>
      <c r="J381" s="20"/>
      <c r="K381" s="20"/>
      <c r="L381" s="20"/>
      <c r="M381" s="20"/>
      <c r="N381" s="20"/>
      <c r="O381" s="13"/>
      <c r="P381" s="13"/>
      <c r="Q381" s="13"/>
      <c r="R381" s="13"/>
      <c r="S381" s="13"/>
      <c r="T381" s="13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18">
        <f t="shared" si="329"/>
        <v>66.58</v>
      </c>
      <c r="AF381" s="18">
        <f t="shared" si="330"/>
        <v>0.67645000000000022</v>
      </c>
      <c r="AG381" s="18">
        <f t="shared" si="332"/>
        <v>45.038041000000014</v>
      </c>
      <c r="AH381" s="18"/>
      <c r="AI381" s="18"/>
      <c r="AJ381" s="18"/>
      <c r="AK381" s="33" t="s">
        <v>455</v>
      </c>
      <c r="AL381" s="34"/>
    </row>
    <row r="382" spans="1:38" ht="15.6" customHeight="1" x14ac:dyDescent="0.25">
      <c r="A382" s="8" t="s">
        <v>449</v>
      </c>
      <c r="B382" s="13">
        <f>(0.75*F382)+((0.33*F382)*2)</f>
        <v>1.1139000000000001</v>
      </c>
      <c r="C382" s="13">
        <v>-0.45</v>
      </c>
      <c r="D382" s="13">
        <f t="shared" si="333"/>
        <v>-0.45</v>
      </c>
      <c r="E382" s="11">
        <f>(-1.2+-1.28)/2</f>
        <v>-1.24</v>
      </c>
      <c r="F382" s="11">
        <f t="shared" si="331"/>
        <v>0.79</v>
      </c>
      <c r="G382" s="13"/>
      <c r="H382" s="13">
        <v>39.61</v>
      </c>
      <c r="I382" s="13">
        <f t="shared" si="318"/>
        <v>44.121579000000004</v>
      </c>
      <c r="J382" s="20"/>
      <c r="K382" s="20"/>
      <c r="L382" s="20"/>
      <c r="M382" s="20"/>
      <c r="N382" s="20"/>
      <c r="O382" s="13"/>
      <c r="P382" s="13"/>
      <c r="Q382" s="13"/>
      <c r="R382" s="13"/>
      <c r="S382" s="13"/>
      <c r="T382" s="13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18">
        <f t="shared" si="329"/>
        <v>39.61</v>
      </c>
      <c r="AF382" s="18">
        <f t="shared" si="330"/>
        <v>1.1139000000000001</v>
      </c>
      <c r="AG382" s="18">
        <f t="shared" si="332"/>
        <v>44.121579000000004</v>
      </c>
      <c r="AH382" s="18"/>
      <c r="AI382" s="18"/>
      <c r="AJ382" s="18"/>
      <c r="AK382" s="33" t="s">
        <v>456</v>
      </c>
      <c r="AL382" s="34"/>
    </row>
    <row r="383" spans="1:38" ht="15.6" customHeight="1" x14ac:dyDescent="0.25">
      <c r="A383" s="8" t="s">
        <v>450</v>
      </c>
      <c r="B383" s="13">
        <f t="shared" ref="B383:B384" si="334">(0.75*F383)+((0.33*F383)*2)</f>
        <v>1.2619500000000001</v>
      </c>
      <c r="C383" s="13">
        <v>-0.45</v>
      </c>
      <c r="D383" s="13">
        <f t="shared" si="333"/>
        <v>-0.45</v>
      </c>
      <c r="E383" s="11">
        <f>(-1.41+-1.28)/2</f>
        <v>-1.345</v>
      </c>
      <c r="F383" s="11">
        <f t="shared" si="331"/>
        <v>0.89500000000000002</v>
      </c>
      <c r="G383" s="13"/>
      <c r="H383" s="13">
        <v>66.599999999999994</v>
      </c>
      <c r="I383" s="13">
        <f t="shared" si="318"/>
        <v>84.045870000000008</v>
      </c>
      <c r="J383" s="20"/>
      <c r="K383" s="20"/>
      <c r="L383" s="20"/>
      <c r="M383" s="20"/>
      <c r="N383" s="20"/>
      <c r="O383" s="13"/>
      <c r="P383" s="13"/>
      <c r="Q383" s="13"/>
      <c r="R383" s="13"/>
      <c r="S383" s="13"/>
      <c r="T383" s="13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18">
        <f t="shared" si="329"/>
        <v>66.599999999999994</v>
      </c>
      <c r="AF383" s="18">
        <f t="shared" si="330"/>
        <v>1.2619500000000001</v>
      </c>
      <c r="AG383" s="18">
        <f t="shared" si="332"/>
        <v>84.045870000000008</v>
      </c>
      <c r="AH383" s="18"/>
      <c r="AI383" s="18"/>
      <c r="AJ383" s="18"/>
      <c r="AK383" s="33" t="s">
        <v>458</v>
      </c>
      <c r="AL383" s="34"/>
    </row>
    <row r="384" spans="1:38" ht="15.6" customHeight="1" x14ac:dyDescent="0.25">
      <c r="A384" s="8" t="s">
        <v>451</v>
      </c>
      <c r="B384" s="13">
        <f t="shared" si="334"/>
        <v>1.1703000000000001</v>
      </c>
      <c r="C384" s="13">
        <f>C334</f>
        <v>-0.54</v>
      </c>
      <c r="D384" s="13">
        <f t="shared" si="333"/>
        <v>-0.54</v>
      </c>
      <c r="E384" s="11">
        <f>(-1.41+-1.33)/2</f>
        <v>-1.37</v>
      </c>
      <c r="F384" s="11">
        <f t="shared" si="331"/>
        <v>0.83000000000000007</v>
      </c>
      <c r="G384" s="13"/>
      <c r="H384" s="13">
        <v>39.61</v>
      </c>
      <c r="I384" s="13">
        <f t="shared" si="318"/>
        <v>46.355583000000003</v>
      </c>
      <c r="J384" s="20"/>
      <c r="K384" s="20"/>
      <c r="L384" s="20"/>
      <c r="M384" s="20"/>
      <c r="N384" s="20"/>
      <c r="O384" s="13"/>
      <c r="P384" s="13"/>
      <c r="Q384" s="13"/>
      <c r="R384" s="13"/>
      <c r="S384" s="13"/>
      <c r="T384" s="13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18">
        <f t="shared" si="329"/>
        <v>39.61</v>
      </c>
      <c r="AF384" s="18">
        <f t="shared" si="330"/>
        <v>1.1703000000000001</v>
      </c>
      <c r="AG384" s="18">
        <f t="shared" si="332"/>
        <v>46.355583000000003</v>
      </c>
      <c r="AH384" s="18"/>
      <c r="AI384" s="18"/>
      <c r="AJ384" s="18"/>
      <c r="AK384" s="33" t="s">
        <v>479</v>
      </c>
      <c r="AL384" s="34"/>
    </row>
    <row r="385" spans="1:38" ht="15.6" customHeight="1" x14ac:dyDescent="0.25">
      <c r="A385" s="8" t="s">
        <v>459</v>
      </c>
      <c r="B385" s="13">
        <f>(0.5*F385)+(0.33*F385)</f>
        <v>0.75529999999999997</v>
      </c>
      <c r="C385" s="13">
        <f>C335</f>
        <v>-0.55000000000000004</v>
      </c>
      <c r="D385" s="13">
        <f t="shared" ref="D385:D417" si="335">C385</f>
        <v>-0.55000000000000004</v>
      </c>
      <c r="E385" s="11">
        <f>(-1.41+-1.51)/2</f>
        <v>-1.46</v>
      </c>
      <c r="F385" s="11">
        <f t="shared" si="331"/>
        <v>0.90999999999999992</v>
      </c>
      <c r="G385" s="13"/>
      <c r="H385" s="13">
        <v>49.2</v>
      </c>
      <c r="I385" s="13">
        <f t="shared" si="318"/>
        <v>37.160760000000003</v>
      </c>
      <c r="J385" s="20"/>
      <c r="K385" s="20"/>
      <c r="L385" s="20"/>
      <c r="M385" s="20"/>
      <c r="N385" s="20"/>
      <c r="O385" s="13"/>
      <c r="P385" s="13"/>
      <c r="Q385" s="13"/>
      <c r="R385" s="13"/>
      <c r="S385" s="13"/>
      <c r="T385" s="13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18">
        <f t="shared" si="329"/>
        <v>49.2</v>
      </c>
      <c r="AF385" s="18">
        <f t="shared" si="330"/>
        <v>0.75529999999999997</v>
      </c>
      <c r="AG385" s="18">
        <f t="shared" si="332"/>
        <v>37.160760000000003</v>
      </c>
      <c r="AH385" s="18"/>
      <c r="AI385" s="18"/>
      <c r="AJ385" s="18"/>
      <c r="AK385" s="33" t="s">
        <v>480</v>
      </c>
      <c r="AL385" s="34"/>
    </row>
    <row r="386" spans="1:38" ht="15.6" customHeight="1" x14ac:dyDescent="0.25">
      <c r="A386" s="8" t="s">
        <v>460</v>
      </c>
      <c r="B386" s="13">
        <f t="shared" ref="B386:B411" si="336">(0.5*F386)+(0.33*F386)</f>
        <v>0.69305000000000005</v>
      </c>
      <c r="C386" s="13">
        <f>C336</f>
        <v>-0.52500000000000002</v>
      </c>
      <c r="D386" s="13">
        <f t="shared" si="335"/>
        <v>-0.52500000000000002</v>
      </c>
      <c r="E386" s="11">
        <f>((-1.22+-1.1)/2)-0.2</f>
        <v>-1.36</v>
      </c>
      <c r="F386" s="11">
        <f t="shared" si="331"/>
        <v>0.83500000000000008</v>
      </c>
      <c r="G386" s="13"/>
      <c r="H386" s="13">
        <v>60.3</v>
      </c>
      <c r="I386" s="13">
        <f t="shared" si="318"/>
        <v>41.790914999999998</v>
      </c>
      <c r="J386" s="20"/>
      <c r="K386" s="20"/>
      <c r="L386" s="20"/>
      <c r="M386" s="20"/>
      <c r="N386" s="20"/>
      <c r="O386" s="13"/>
      <c r="P386" s="13"/>
      <c r="Q386" s="13"/>
      <c r="R386" s="13"/>
      <c r="S386" s="13"/>
      <c r="T386" s="13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18">
        <f t="shared" si="329"/>
        <v>60.3</v>
      </c>
      <c r="AF386" s="18">
        <f t="shared" si="330"/>
        <v>0.69305000000000005</v>
      </c>
      <c r="AG386" s="18">
        <f t="shared" si="332"/>
        <v>41.790914999999998</v>
      </c>
      <c r="AH386" s="18"/>
      <c r="AI386" s="18"/>
      <c r="AJ386" s="18"/>
      <c r="AK386" s="33" t="s">
        <v>481</v>
      </c>
      <c r="AL386" s="34"/>
    </row>
    <row r="387" spans="1:38" ht="15.6" customHeight="1" x14ac:dyDescent="0.25">
      <c r="A387" s="8" t="s">
        <v>461</v>
      </c>
      <c r="B387" s="13">
        <f t="shared" si="336"/>
        <v>0.8507499999999999</v>
      </c>
      <c r="C387" s="13">
        <f>C337</f>
        <v>-0.57499999999999996</v>
      </c>
      <c r="D387" s="13">
        <f t="shared" si="335"/>
        <v>-0.57499999999999996</v>
      </c>
      <c r="E387" s="11">
        <f>((-1.34+-1.46)/2)-0.2</f>
        <v>-1.5999999999999999</v>
      </c>
      <c r="F387" s="11">
        <f t="shared" si="331"/>
        <v>1.0249999999999999</v>
      </c>
      <c r="G387" s="13"/>
      <c r="H387" s="13">
        <v>60.3</v>
      </c>
      <c r="I387" s="13">
        <f t="shared" si="318"/>
        <v>51.30022499999999</v>
      </c>
      <c r="J387" s="20"/>
      <c r="K387" s="20"/>
      <c r="L387" s="20"/>
      <c r="M387" s="20"/>
      <c r="N387" s="20"/>
      <c r="O387" s="13"/>
      <c r="P387" s="13"/>
      <c r="Q387" s="13"/>
      <c r="R387" s="13"/>
      <c r="S387" s="13"/>
      <c r="T387" s="13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18">
        <f t="shared" si="329"/>
        <v>60.3</v>
      </c>
      <c r="AF387" s="18">
        <f t="shared" si="330"/>
        <v>0.8507499999999999</v>
      </c>
      <c r="AG387" s="18">
        <f t="shared" si="332"/>
        <v>51.30022499999999</v>
      </c>
      <c r="AH387" s="18"/>
      <c r="AI387" s="18"/>
      <c r="AJ387" s="18"/>
      <c r="AK387" s="33" t="s">
        <v>482</v>
      </c>
      <c r="AL387" s="34"/>
    </row>
    <row r="388" spans="1:38" ht="15.6" customHeight="1" x14ac:dyDescent="0.25">
      <c r="A388" s="8" t="s">
        <v>462</v>
      </c>
      <c r="B388" s="13">
        <f t="shared" si="336"/>
        <v>0.65985000000000016</v>
      </c>
      <c r="C388" s="13">
        <f>C338</f>
        <v>-0.67999999999999994</v>
      </c>
      <c r="D388" s="13">
        <f t="shared" si="335"/>
        <v>-0.67999999999999994</v>
      </c>
      <c r="E388" s="11">
        <f>(-1.49+-1.46)/2</f>
        <v>-1.4750000000000001</v>
      </c>
      <c r="F388" s="11">
        <f t="shared" si="331"/>
        <v>0.79500000000000015</v>
      </c>
      <c r="G388" s="13"/>
      <c r="H388" s="13">
        <v>13.78</v>
      </c>
      <c r="I388" s="13">
        <f t="shared" si="318"/>
        <v>9.0927330000000026</v>
      </c>
      <c r="J388" s="20"/>
      <c r="K388" s="20"/>
      <c r="L388" s="20"/>
      <c r="M388" s="20"/>
      <c r="N388" s="20"/>
      <c r="O388" s="13"/>
      <c r="P388" s="13"/>
      <c r="Q388" s="13"/>
      <c r="R388" s="13"/>
      <c r="S388" s="13"/>
      <c r="T388" s="13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18">
        <f t="shared" si="329"/>
        <v>13.78</v>
      </c>
      <c r="AF388" s="18">
        <f t="shared" si="330"/>
        <v>0.65985000000000016</v>
      </c>
      <c r="AG388" s="18">
        <f t="shared" si="332"/>
        <v>9.0927330000000026</v>
      </c>
      <c r="AH388" s="18"/>
      <c r="AI388" s="18"/>
      <c r="AJ388" s="18"/>
      <c r="AK388" s="33" t="s">
        <v>483</v>
      </c>
      <c r="AL388" s="34"/>
    </row>
    <row r="389" spans="1:38" ht="15.6" customHeight="1" x14ac:dyDescent="0.25">
      <c r="A389" s="8" t="s">
        <v>463</v>
      </c>
      <c r="B389" s="13">
        <f t="shared" si="336"/>
        <v>0.47828749999999998</v>
      </c>
      <c r="C389" s="13">
        <f>(C339+C340)/2</f>
        <v>-0.98875000000000002</v>
      </c>
      <c r="D389" s="13">
        <f t="shared" si="335"/>
        <v>-0.98875000000000002</v>
      </c>
      <c r="E389" s="11">
        <f>(-1.49+-1.64)/2</f>
        <v>-1.5649999999999999</v>
      </c>
      <c r="F389" s="11">
        <f t="shared" si="331"/>
        <v>0.57624999999999993</v>
      </c>
      <c r="G389" s="13"/>
      <c r="H389" s="13">
        <v>72.81</v>
      </c>
      <c r="I389" s="13">
        <f t="shared" si="318"/>
        <v>34.824112874999997</v>
      </c>
      <c r="J389" s="20"/>
      <c r="K389" s="20"/>
      <c r="L389" s="20"/>
      <c r="M389" s="20"/>
      <c r="N389" s="20"/>
      <c r="O389" s="13"/>
      <c r="P389" s="13"/>
      <c r="Q389" s="13"/>
      <c r="R389" s="13"/>
      <c r="S389" s="13"/>
      <c r="T389" s="13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18">
        <f t="shared" si="329"/>
        <v>72.81</v>
      </c>
      <c r="AF389" s="18">
        <f t="shared" si="330"/>
        <v>0.47828749999999998</v>
      </c>
      <c r="AG389" s="18">
        <f t="shared" si="332"/>
        <v>34.824112874999997</v>
      </c>
      <c r="AH389" s="18"/>
      <c r="AI389" s="18"/>
      <c r="AJ389" s="18"/>
      <c r="AK389" s="33" t="s">
        <v>484</v>
      </c>
      <c r="AL389" s="34"/>
    </row>
    <row r="390" spans="1:38" ht="15.6" customHeight="1" x14ac:dyDescent="0.25">
      <c r="A390" s="8" t="s">
        <v>464</v>
      </c>
      <c r="B390" s="13">
        <f t="shared" si="336"/>
        <v>0.56439999999999979</v>
      </c>
      <c r="C390" s="13">
        <f>C341</f>
        <v>-1.0350000000000001</v>
      </c>
      <c r="D390" s="13">
        <f t="shared" si="335"/>
        <v>-1.0350000000000001</v>
      </c>
      <c r="E390" s="11">
        <f>(-1.79+-1.64)/2</f>
        <v>-1.7149999999999999</v>
      </c>
      <c r="F390" s="11">
        <f t="shared" si="331"/>
        <v>0.67999999999999972</v>
      </c>
      <c r="G390" s="13"/>
      <c r="H390" s="13">
        <v>72.81</v>
      </c>
      <c r="I390" s="13">
        <f t="shared" si="318"/>
        <v>41.093963999999986</v>
      </c>
      <c r="J390" s="20"/>
      <c r="K390" s="20"/>
      <c r="L390" s="20"/>
      <c r="M390" s="20"/>
      <c r="N390" s="20"/>
      <c r="O390" s="13"/>
      <c r="P390" s="13"/>
      <c r="Q390" s="13"/>
      <c r="R390" s="13"/>
      <c r="S390" s="13"/>
      <c r="T390" s="13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18">
        <f t="shared" si="329"/>
        <v>72.81</v>
      </c>
      <c r="AF390" s="18">
        <f t="shared" si="330"/>
        <v>0.56439999999999979</v>
      </c>
      <c r="AG390" s="18">
        <f t="shared" si="332"/>
        <v>41.093963999999986</v>
      </c>
      <c r="AH390" s="18"/>
      <c r="AI390" s="18"/>
      <c r="AJ390" s="18"/>
      <c r="AK390" s="33" t="s">
        <v>485</v>
      </c>
      <c r="AL390" s="34"/>
    </row>
    <row r="391" spans="1:38" ht="15.6" customHeight="1" x14ac:dyDescent="0.25">
      <c r="A391" s="8" t="s">
        <v>465</v>
      </c>
      <c r="B391" s="13">
        <f t="shared" si="336"/>
        <v>0.58929999999999993</v>
      </c>
      <c r="C391" s="13">
        <f>C342</f>
        <v>-0.73499999999999999</v>
      </c>
      <c r="D391" s="13">
        <f t="shared" si="335"/>
        <v>-0.73499999999999999</v>
      </c>
      <c r="E391" s="11">
        <f>(-1.4+-1.49)/2</f>
        <v>-1.4449999999999998</v>
      </c>
      <c r="F391" s="11">
        <f t="shared" si="331"/>
        <v>0.70999999999999985</v>
      </c>
      <c r="G391" s="13"/>
      <c r="H391" s="13">
        <v>45.79</v>
      </c>
      <c r="I391" s="13">
        <f t="shared" si="318"/>
        <v>26.984046999999997</v>
      </c>
      <c r="J391" s="20"/>
      <c r="K391" s="20"/>
      <c r="L391" s="20"/>
      <c r="M391" s="20"/>
      <c r="N391" s="20"/>
      <c r="O391" s="13"/>
      <c r="P391" s="13"/>
      <c r="Q391" s="13"/>
      <c r="R391" s="13"/>
      <c r="S391" s="13"/>
      <c r="T391" s="13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18">
        <f t="shared" si="329"/>
        <v>45.79</v>
      </c>
      <c r="AF391" s="18">
        <f t="shared" si="330"/>
        <v>0.58929999999999993</v>
      </c>
      <c r="AG391" s="18">
        <f t="shared" si="332"/>
        <v>26.984046999999997</v>
      </c>
      <c r="AH391" s="18"/>
      <c r="AI391" s="18"/>
      <c r="AJ391" s="18"/>
      <c r="AK391" s="33" t="s">
        <v>486</v>
      </c>
      <c r="AL391" s="34"/>
    </row>
    <row r="392" spans="1:38" ht="15.6" customHeight="1" x14ac:dyDescent="0.25">
      <c r="A392" s="8" t="s">
        <v>466</v>
      </c>
      <c r="B392" s="13">
        <f t="shared" si="336"/>
        <v>0.63702500000000006</v>
      </c>
      <c r="C392" s="13">
        <f>(-0.39+-0.735)/2</f>
        <v>-0.5625</v>
      </c>
      <c r="D392" s="13">
        <f t="shared" si="335"/>
        <v>-0.5625</v>
      </c>
      <c r="E392" s="11">
        <f>(-1.4+-1.26)/2</f>
        <v>-1.33</v>
      </c>
      <c r="F392" s="11">
        <f t="shared" si="331"/>
        <v>0.76750000000000007</v>
      </c>
      <c r="G392" s="13"/>
      <c r="H392" s="13">
        <v>68.62</v>
      </c>
      <c r="I392" s="13">
        <f t="shared" si="318"/>
        <v>43.712655500000004</v>
      </c>
      <c r="J392" s="20"/>
      <c r="K392" s="20"/>
      <c r="L392" s="20"/>
      <c r="M392" s="20"/>
      <c r="N392" s="20"/>
      <c r="O392" s="13"/>
      <c r="P392" s="13"/>
      <c r="Q392" s="13"/>
      <c r="R392" s="13"/>
      <c r="S392" s="13"/>
      <c r="T392" s="13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18">
        <f t="shared" si="329"/>
        <v>68.62</v>
      </c>
      <c r="AF392" s="18">
        <f t="shared" si="330"/>
        <v>0.63702500000000006</v>
      </c>
      <c r="AG392" s="18">
        <f t="shared" si="332"/>
        <v>43.712655500000004</v>
      </c>
      <c r="AH392" s="18"/>
      <c r="AI392" s="18"/>
      <c r="AJ392" s="18"/>
      <c r="AK392" s="33" t="s">
        <v>487</v>
      </c>
      <c r="AL392" s="34"/>
    </row>
    <row r="393" spans="1:38" ht="15.6" customHeight="1" x14ac:dyDescent="0.25">
      <c r="A393" s="8" t="s">
        <v>467</v>
      </c>
      <c r="B393" s="13">
        <f t="shared" si="336"/>
        <v>0.51874999999999993</v>
      </c>
      <c r="C393" s="13">
        <v>-0.73499999999999999</v>
      </c>
      <c r="D393" s="13">
        <f t="shared" si="335"/>
        <v>-0.73499999999999999</v>
      </c>
      <c r="E393" s="11">
        <f>(-1.4+-1.32)/2</f>
        <v>-1.3599999999999999</v>
      </c>
      <c r="F393" s="11">
        <f t="shared" si="331"/>
        <v>0.62499999999999989</v>
      </c>
      <c r="G393" s="13"/>
      <c r="H393" s="13">
        <v>41.5</v>
      </c>
      <c r="I393" s="13">
        <f t="shared" si="318"/>
        <v>21.528124999999996</v>
      </c>
      <c r="J393" s="20"/>
      <c r="K393" s="20"/>
      <c r="L393" s="20"/>
      <c r="M393" s="20"/>
      <c r="N393" s="20"/>
      <c r="O393" s="13"/>
      <c r="P393" s="13"/>
      <c r="Q393" s="13"/>
      <c r="R393" s="13"/>
      <c r="S393" s="13"/>
      <c r="T393" s="13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18">
        <f t="shared" si="329"/>
        <v>41.5</v>
      </c>
      <c r="AF393" s="18">
        <f t="shared" si="330"/>
        <v>0.51874999999999993</v>
      </c>
      <c r="AG393" s="18">
        <f t="shared" si="332"/>
        <v>21.528124999999996</v>
      </c>
      <c r="AH393" s="18"/>
      <c r="AI393" s="18"/>
      <c r="AJ393" s="18"/>
      <c r="AK393" s="33" t="s">
        <v>488</v>
      </c>
      <c r="AL393" s="34"/>
    </row>
    <row r="394" spans="1:38" ht="15.6" customHeight="1" x14ac:dyDescent="0.25">
      <c r="A394" s="8" t="s">
        <v>468</v>
      </c>
      <c r="B394" s="13">
        <f t="shared" si="336"/>
        <v>0.75115000000000021</v>
      </c>
      <c r="C394" s="13">
        <v>-0.9</v>
      </c>
      <c r="D394" s="13">
        <f t="shared" si="335"/>
        <v>-0.9</v>
      </c>
      <c r="E394" s="11">
        <f>(-1.77+-1.84)/2</f>
        <v>-1.8050000000000002</v>
      </c>
      <c r="F394" s="11">
        <f t="shared" si="331"/>
        <v>0.90500000000000014</v>
      </c>
      <c r="G394" s="13"/>
      <c r="H394" s="13">
        <v>32.97</v>
      </c>
      <c r="I394" s="13">
        <f t="shared" si="318"/>
        <v>24.765415500000007</v>
      </c>
      <c r="J394" s="20"/>
      <c r="K394" s="20"/>
      <c r="L394" s="20"/>
      <c r="M394" s="20"/>
      <c r="N394" s="20"/>
      <c r="O394" s="13"/>
      <c r="P394" s="13"/>
      <c r="Q394" s="13"/>
      <c r="R394" s="13"/>
      <c r="S394" s="13"/>
      <c r="T394" s="13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18">
        <f t="shared" si="329"/>
        <v>32.97</v>
      </c>
      <c r="AF394" s="18">
        <f t="shared" si="330"/>
        <v>0.75115000000000021</v>
      </c>
      <c r="AG394" s="18">
        <f t="shared" si="332"/>
        <v>24.765415500000007</v>
      </c>
      <c r="AH394" s="18"/>
      <c r="AI394" s="18"/>
      <c r="AJ394" s="18"/>
      <c r="AK394" s="33" t="s">
        <v>489</v>
      </c>
      <c r="AL394" s="34"/>
    </row>
    <row r="395" spans="1:38" ht="15.6" customHeight="1" x14ac:dyDescent="0.25">
      <c r="A395" s="8" t="s">
        <v>469</v>
      </c>
      <c r="B395" s="13">
        <f t="shared" si="336"/>
        <v>0.75530000000000008</v>
      </c>
      <c r="C395" s="13">
        <v>-0.9</v>
      </c>
      <c r="D395" s="13">
        <f t="shared" si="335"/>
        <v>-0.9</v>
      </c>
      <c r="E395" s="11">
        <f>(-1.78+-1.84)/2</f>
        <v>-1.81</v>
      </c>
      <c r="F395" s="11">
        <f t="shared" ref="F395" si="337">D395-E395</f>
        <v>0.91</v>
      </c>
      <c r="G395" s="13"/>
      <c r="H395" s="13">
        <v>28.986999999999998</v>
      </c>
      <c r="I395" s="13">
        <f t="shared" ref="I395" si="338">H395*B395</f>
        <v>21.893881100000002</v>
      </c>
      <c r="J395" s="20"/>
      <c r="K395" s="20"/>
      <c r="L395" s="20"/>
      <c r="M395" s="20"/>
      <c r="N395" s="20"/>
      <c r="O395" s="13"/>
      <c r="P395" s="13"/>
      <c r="Q395" s="13"/>
      <c r="R395" s="13"/>
      <c r="S395" s="13"/>
      <c r="T395" s="13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18">
        <f t="shared" si="329"/>
        <v>28.986999999999998</v>
      </c>
      <c r="AF395" s="18">
        <f t="shared" si="330"/>
        <v>0.75530000000000008</v>
      </c>
      <c r="AG395" s="18">
        <f t="shared" ref="AG395" si="339">AF395*AE395</f>
        <v>21.893881100000002</v>
      </c>
      <c r="AH395" s="18"/>
      <c r="AI395" s="18"/>
      <c r="AJ395" s="18"/>
      <c r="AK395" s="33" t="s">
        <v>555</v>
      </c>
      <c r="AL395" s="34"/>
    </row>
    <row r="396" spans="1:38" ht="15.6" customHeight="1" x14ac:dyDescent="0.25">
      <c r="A396" s="8" t="s">
        <v>470</v>
      </c>
      <c r="B396" s="13">
        <f t="shared" si="336"/>
        <v>0.80095000000000005</v>
      </c>
      <c r="C396" s="13">
        <v>-0.9</v>
      </c>
      <c r="D396" s="13">
        <f t="shared" si="335"/>
        <v>-0.9</v>
      </c>
      <c r="E396" s="11">
        <f>(-1.89+-1.84)/2</f>
        <v>-1.865</v>
      </c>
      <c r="F396" s="11">
        <f t="shared" si="331"/>
        <v>0.96499999999999997</v>
      </c>
      <c r="G396" s="13"/>
      <c r="H396" s="13">
        <v>24.23</v>
      </c>
      <c r="I396" s="13">
        <f t="shared" si="318"/>
        <v>19.407018500000003</v>
      </c>
      <c r="J396" s="20"/>
      <c r="K396" s="20"/>
      <c r="L396" s="20"/>
      <c r="M396" s="20"/>
      <c r="N396" s="20"/>
      <c r="O396" s="13"/>
      <c r="P396" s="13"/>
      <c r="Q396" s="13"/>
      <c r="R396" s="13"/>
      <c r="S396" s="13"/>
      <c r="T396" s="13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18">
        <f t="shared" si="329"/>
        <v>24.23</v>
      </c>
      <c r="AF396" s="18">
        <f t="shared" si="330"/>
        <v>0.80095000000000005</v>
      </c>
      <c r="AG396" s="18">
        <f t="shared" si="332"/>
        <v>19.407018500000003</v>
      </c>
      <c r="AH396" s="18"/>
      <c r="AI396" s="18"/>
      <c r="AJ396" s="18"/>
      <c r="AK396" s="33" t="s">
        <v>490</v>
      </c>
      <c r="AL396" s="34"/>
    </row>
    <row r="397" spans="1:38" ht="15.6" customHeight="1" x14ac:dyDescent="0.25">
      <c r="A397" s="8" t="s">
        <v>471</v>
      </c>
      <c r="B397" s="13">
        <f t="shared" si="336"/>
        <v>0.88809999999999989</v>
      </c>
      <c r="C397" s="13">
        <v>-0.9</v>
      </c>
      <c r="D397" s="13">
        <f t="shared" si="335"/>
        <v>-0.9</v>
      </c>
      <c r="E397" s="11">
        <f>(-1.89+-2.05)/2</f>
        <v>-1.9699999999999998</v>
      </c>
      <c r="F397" s="11">
        <f t="shared" si="331"/>
        <v>1.0699999999999998</v>
      </c>
      <c r="G397" s="13"/>
      <c r="H397" s="13">
        <v>80.16</v>
      </c>
      <c r="I397" s="13">
        <f t="shared" si="318"/>
        <v>71.190095999999983</v>
      </c>
      <c r="J397" s="20"/>
      <c r="K397" s="20"/>
      <c r="L397" s="20"/>
      <c r="M397" s="20"/>
      <c r="N397" s="20"/>
      <c r="O397" s="13"/>
      <c r="P397" s="13"/>
      <c r="Q397" s="13"/>
      <c r="R397" s="13"/>
      <c r="S397" s="13"/>
      <c r="T397" s="13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18">
        <f t="shared" si="329"/>
        <v>80.16</v>
      </c>
      <c r="AF397" s="18">
        <f t="shared" si="330"/>
        <v>0.88809999999999989</v>
      </c>
      <c r="AG397" s="18">
        <f t="shared" si="332"/>
        <v>71.190095999999983</v>
      </c>
      <c r="AH397" s="18"/>
      <c r="AI397" s="18"/>
      <c r="AJ397" s="18"/>
      <c r="AK397" s="33" t="s">
        <v>491</v>
      </c>
      <c r="AL397" s="34"/>
    </row>
    <row r="398" spans="1:38" ht="15.6" customHeight="1" x14ac:dyDescent="0.25">
      <c r="A398" s="8" t="s">
        <v>472</v>
      </c>
      <c r="B398" s="13">
        <f t="shared" si="336"/>
        <v>0.76774999999999993</v>
      </c>
      <c r="C398" s="13">
        <v>-0.9</v>
      </c>
      <c r="D398" s="13">
        <f t="shared" si="335"/>
        <v>-0.9</v>
      </c>
      <c r="E398" s="11">
        <f>(-1.89+-1.76)/2</f>
        <v>-1.825</v>
      </c>
      <c r="F398" s="11">
        <f t="shared" si="331"/>
        <v>0.92499999999999993</v>
      </c>
      <c r="G398" s="13"/>
      <c r="H398" s="13">
        <v>65.11</v>
      </c>
      <c r="I398" s="13">
        <f t="shared" si="318"/>
        <v>49.988202499999993</v>
      </c>
      <c r="J398" s="20"/>
      <c r="K398" s="20"/>
      <c r="L398" s="20"/>
      <c r="M398" s="20"/>
      <c r="N398" s="20"/>
      <c r="O398" s="13"/>
      <c r="P398" s="13"/>
      <c r="Q398" s="13"/>
      <c r="R398" s="13"/>
      <c r="S398" s="13"/>
      <c r="T398" s="13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18">
        <f t="shared" si="329"/>
        <v>65.11</v>
      </c>
      <c r="AF398" s="18">
        <f t="shared" si="330"/>
        <v>0.76774999999999993</v>
      </c>
      <c r="AG398" s="18">
        <f t="shared" si="332"/>
        <v>49.988202499999993</v>
      </c>
      <c r="AH398" s="18"/>
      <c r="AI398" s="18"/>
      <c r="AJ398" s="18"/>
      <c r="AK398" s="33" t="s">
        <v>492</v>
      </c>
      <c r="AL398" s="34"/>
    </row>
    <row r="399" spans="1:38" ht="15.6" customHeight="1" x14ac:dyDescent="0.25">
      <c r="A399" s="8" t="s">
        <v>473</v>
      </c>
      <c r="B399" s="13">
        <f t="shared" si="336"/>
        <v>0.70135000000000014</v>
      </c>
      <c r="C399" s="13">
        <v>-0.9</v>
      </c>
      <c r="D399" s="13">
        <f t="shared" si="335"/>
        <v>-0.9</v>
      </c>
      <c r="E399" s="11">
        <f>(-1.73+-1.76)/2</f>
        <v>-1.7450000000000001</v>
      </c>
      <c r="F399" s="11">
        <f t="shared" si="331"/>
        <v>0.84500000000000008</v>
      </c>
      <c r="G399" s="13"/>
      <c r="H399" s="13">
        <v>14.47</v>
      </c>
      <c r="I399" s="13">
        <f t="shared" si="318"/>
        <v>10.148534500000002</v>
      </c>
      <c r="J399" s="20"/>
      <c r="K399" s="20"/>
      <c r="L399" s="20"/>
      <c r="M399" s="20"/>
      <c r="N399" s="20"/>
      <c r="O399" s="13"/>
      <c r="P399" s="13"/>
      <c r="Q399" s="13"/>
      <c r="R399" s="13"/>
      <c r="S399" s="13"/>
      <c r="T399" s="13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18">
        <f t="shared" si="329"/>
        <v>14.47</v>
      </c>
      <c r="AF399" s="18">
        <f t="shared" si="330"/>
        <v>0.70135000000000014</v>
      </c>
      <c r="AG399" s="18">
        <f t="shared" si="332"/>
        <v>10.148534500000002</v>
      </c>
      <c r="AH399" s="18"/>
      <c r="AI399" s="18"/>
      <c r="AJ399" s="18"/>
      <c r="AK399" s="33" t="s">
        <v>493</v>
      </c>
      <c r="AL399" s="34"/>
    </row>
    <row r="400" spans="1:38" ht="15.6" customHeight="1" x14ac:dyDescent="0.25">
      <c r="A400" s="8" t="s">
        <v>474</v>
      </c>
      <c r="B400" s="13">
        <f t="shared" si="336"/>
        <v>0.68059999999999998</v>
      </c>
      <c r="C400" s="13">
        <v>-0.9</v>
      </c>
      <c r="D400" s="13">
        <f t="shared" si="335"/>
        <v>-0.9</v>
      </c>
      <c r="E400" s="11">
        <f>(-1.76+-1.68)/2</f>
        <v>-1.72</v>
      </c>
      <c r="F400" s="11">
        <f t="shared" si="331"/>
        <v>0.82</v>
      </c>
      <c r="G400" s="13"/>
      <c r="H400" s="13">
        <v>39.619999999999997</v>
      </c>
      <c r="I400" s="13">
        <f t="shared" si="318"/>
        <v>26.965371999999999</v>
      </c>
      <c r="J400" s="20"/>
      <c r="K400" s="20"/>
      <c r="L400" s="20"/>
      <c r="M400" s="20"/>
      <c r="N400" s="20"/>
      <c r="O400" s="13"/>
      <c r="P400" s="13"/>
      <c r="Q400" s="13"/>
      <c r="R400" s="13"/>
      <c r="S400" s="13"/>
      <c r="T400" s="13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18">
        <f t="shared" si="329"/>
        <v>39.619999999999997</v>
      </c>
      <c r="AF400" s="18">
        <f t="shared" si="330"/>
        <v>0.68059999999999998</v>
      </c>
      <c r="AG400" s="18">
        <f t="shared" si="332"/>
        <v>26.965371999999999</v>
      </c>
      <c r="AH400" s="18"/>
      <c r="AI400" s="18"/>
      <c r="AJ400" s="18"/>
      <c r="AK400" s="33" t="s">
        <v>494</v>
      </c>
      <c r="AL400" s="34"/>
    </row>
    <row r="401" spans="1:38" ht="15.6" customHeight="1" x14ac:dyDescent="0.25">
      <c r="A401" s="8" t="s">
        <v>475</v>
      </c>
      <c r="B401" s="13">
        <f t="shared" si="336"/>
        <v>0.83830000000000027</v>
      </c>
      <c r="C401" s="13">
        <v>-0.9</v>
      </c>
      <c r="D401" s="13">
        <f t="shared" si="335"/>
        <v>-0.9</v>
      </c>
      <c r="E401" s="11">
        <f>(-1.87+-1.95)/2</f>
        <v>-1.9100000000000001</v>
      </c>
      <c r="F401" s="11">
        <f t="shared" si="331"/>
        <v>1.0100000000000002</v>
      </c>
      <c r="G401" s="13"/>
      <c r="H401" s="13">
        <v>39.630000000000003</v>
      </c>
      <c r="I401" s="13">
        <f t="shared" si="318"/>
        <v>33.221829000000014</v>
      </c>
      <c r="J401" s="20"/>
      <c r="K401" s="20"/>
      <c r="L401" s="20"/>
      <c r="M401" s="20"/>
      <c r="N401" s="20"/>
      <c r="O401" s="13"/>
      <c r="P401" s="13"/>
      <c r="Q401" s="13"/>
      <c r="R401" s="13"/>
      <c r="S401" s="13"/>
      <c r="T401" s="13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18">
        <f t="shared" si="329"/>
        <v>39.630000000000003</v>
      </c>
      <c r="AF401" s="18">
        <f t="shared" si="330"/>
        <v>0.83830000000000027</v>
      </c>
      <c r="AG401" s="18">
        <f t="shared" si="332"/>
        <v>33.221829000000014</v>
      </c>
      <c r="AH401" s="18"/>
      <c r="AI401" s="18"/>
      <c r="AJ401" s="18"/>
      <c r="AK401" s="33" t="s">
        <v>495</v>
      </c>
      <c r="AL401" s="34"/>
    </row>
    <row r="402" spans="1:38" ht="15.6" customHeight="1" x14ac:dyDescent="0.25">
      <c r="A402" s="8" t="s">
        <v>476</v>
      </c>
      <c r="B402" s="13">
        <f t="shared" si="336"/>
        <v>0.85905000000000009</v>
      </c>
      <c r="C402" s="13">
        <v>-0.9</v>
      </c>
      <c r="D402" s="13">
        <f t="shared" si="335"/>
        <v>-0.9</v>
      </c>
      <c r="E402" s="11">
        <f>(-1.92+-1.95)/2</f>
        <v>-1.9350000000000001</v>
      </c>
      <c r="F402" s="11">
        <f>D402-E402</f>
        <v>1.0350000000000001</v>
      </c>
      <c r="G402" s="13"/>
      <c r="H402" s="13">
        <v>14.61</v>
      </c>
      <c r="I402" s="13">
        <f t="shared" si="318"/>
        <v>12.550720500000001</v>
      </c>
      <c r="J402" s="20"/>
      <c r="K402" s="20"/>
      <c r="L402" s="20"/>
      <c r="M402" s="20"/>
      <c r="N402" s="20"/>
      <c r="O402" s="13"/>
      <c r="P402" s="13"/>
      <c r="Q402" s="13"/>
      <c r="R402" s="13"/>
      <c r="S402" s="13"/>
      <c r="T402" s="13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18">
        <f t="shared" si="329"/>
        <v>14.61</v>
      </c>
      <c r="AF402" s="18">
        <f t="shared" si="330"/>
        <v>0.85905000000000009</v>
      </c>
      <c r="AG402" s="18">
        <f t="shared" si="332"/>
        <v>12.550720500000001</v>
      </c>
      <c r="AH402" s="18"/>
      <c r="AI402" s="18"/>
      <c r="AJ402" s="18"/>
      <c r="AK402" s="33" t="s">
        <v>496</v>
      </c>
      <c r="AL402" s="34"/>
    </row>
    <row r="403" spans="1:38" ht="15.6" customHeight="1" x14ac:dyDescent="0.25">
      <c r="A403" s="8" t="s">
        <v>477</v>
      </c>
      <c r="B403" s="13">
        <f t="shared" si="336"/>
        <v>0.9212999999999999</v>
      </c>
      <c r="C403" s="13">
        <v>-0.9</v>
      </c>
      <c r="D403" s="13">
        <f t="shared" si="335"/>
        <v>-0.9</v>
      </c>
      <c r="E403" s="11">
        <f>(-2.07+-1.95)/2</f>
        <v>-2.0099999999999998</v>
      </c>
      <c r="F403" s="11">
        <f>D403-E403</f>
        <v>1.1099999999999999</v>
      </c>
      <c r="G403" s="13"/>
      <c r="H403" s="13">
        <v>59.99</v>
      </c>
      <c r="I403" s="13">
        <f t="shared" si="318"/>
        <v>55.268786999999996</v>
      </c>
      <c r="J403" s="20"/>
      <c r="K403" s="20"/>
      <c r="L403" s="20"/>
      <c r="M403" s="20"/>
      <c r="N403" s="20"/>
      <c r="O403" s="13"/>
      <c r="P403" s="13"/>
      <c r="Q403" s="13"/>
      <c r="R403" s="13"/>
      <c r="S403" s="13"/>
      <c r="T403" s="13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18">
        <f t="shared" si="329"/>
        <v>59.99</v>
      </c>
      <c r="AF403" s="18">
        <f t="shared" si="330"/>
        <v>0.9212999999999999</v>
      </c>
      <c r="AG403" s="18">
        <f t="shared" si="332"/>
        <v>55.268786999999996</v>
      </c>
      <c r="AH403" s="18"/>
      <c r="AI403" s="18"/>
      <c r="AJ403" s="18"/>
      <c r="AK403" s="33" t="s">
        <v>497</v>
      </c>
      <c r="AL403" s="34"/>
    </row>
    <row r="404" spans="1:38" ht="15.6" customHeight="1" x14ac:dyDescent="0.25">
      <c r="A404" s="8" t="s">
        <v>478</v>
      </c>
      <c r="B404" s="13">
        <f t="shared" si="336"/>
        <v>0.66399999999999992</v>
      </c>
      <c r="C404" s="13">
        <v>-0.9</v>
      </c>
      <c r="D404" s="13">
        <f t="shared" si="335"/>
        <v>-0.9</v>
      </c>
      <c r="E404" s="11">
        <f>(-1.63+-1.77)/2</f>
        <v>-1.7</v>
      </c>
      <c r="F404" s="11">
        <f t="shared" si="331"/>
        <v>0.79999999999999993</v>
      </c>
      <c r="G404" s="13"/>
      <c r="H404" s="13">
        <v>69.72</v>
      </c>
      <c r="I404" s="13">
        <f t="shared" si="318"/>
        <v>46.294079999999994</v>
      </c>
      <c r="J404" s="20"/>
      <c r="K404" s="20"/>
      <c r="L404" s="20"/>
      <c r="M404" s="20"/>
      <c r="N404" s="20"/>
      <c r="O404" s="13"/>
      <c r="P404" s="13"/>
      <c r="Q404" s="13"/>
      <c r="R404" s="13"/>
      <c r="S404" s="13"/>
      <c r="T404" s="13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18">
        <f t="shared" si="329"/>
        <v>69.72</v>
      </c>
      <c r="AF404" s="18">
        <f t="shared" si="330"/>
        <v>0.66399999999999992</v>
      </c>
      <c r="AG404" s="18">
        <f t="shared" si="332"/>
        <v>46.294079999999994</v>
      </c>
      <c r="AH404" s="18"/>
      <c r="AI404" s="18"/>
      <c r="AJ404" s="18"/>
      <c r="AK404" s="33" t="s">
        <v>498</v>
      </c>
      <c r="AL404" s="34"/>
    </row>
    <row r="405" spans="1:38" ht="15.6" customHeight="1" x14ac:dyDescent="0.25">
      <c r="A405" s="8" t="s">
        <v>500</v>
      </c>
      <c r="B405" s="13">
        <f t="shared" si="336"/>
        <v>0.74700000000000011</v>
      </c>
      <c r="C405" s="13">
        <v>-0.9</v>
      </c>
      <c r="D405" s="13">
        <f t="shared" si="335"/>
        <v>-0.9</v>
      </c>
      <c r="E405" s="11">
        <f>(-1.73+-1.87)/2</f>
        <v>-1.8</v>
      </c>
      <c r="F405" s="11">
        <f t="shared" si="331"/>
        <v>0.9</v>
      </c>
      <c r="G405" s="13"/>
      <c r="H405" s="13">
        <v>69.72</v>
      </c>
      <c r="I405" s="13">
        <f t="shared" ref="I405" si="340">H405*B405</f>
        <v>52.080840000000009</v>
      </c>
      <c r="J405" s="20"/>
      <c r="K405" s="20"/>
      <c r="L405" s="20"/>
      <c r="M405" s="20"/>
      <c r="N405" s="20"/>
      <c r="O405" s="13"/>
      <c r="P405" s="13"/>
      <c r="Q405" s="13"/>
      <c r="R405" s="13"/>
      <c r="S405" s="13"/>
      <c r="T405" s="13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18">
        <f t="shared" si="329"/>
        <v>69.72</v>
      </c>
      <c r="AF405" s="18">
        <f t="shared" si="330"/>
        <v>0.74700000000000011</v>
      </c>
      <c r="AG405" s="18">
        <f t="shared" si="332"/>
        <v>52.080840000000009</v>
      </c>
      <c r="AH405" s="18"/>
      <c r="AI405" s="18"/>
      <c r="AJ405" s="18"/>
      <c r="AK405" s="33" t="s">
        <v>499</v>
      </c>
      <c r="AL405" s="34"/>
    </row>
    <row r="406" spans="1:38" ht="15.6" customHeight="1" x14ac:dyDescent="0.25">
      <c r="A406" s="8" t="s">
        <v>501</v>
      </c>
      <c r="B406" s="13">
        <f t="shared" si="336"/>
        <v>0.77604999999999991</v>
      </c>
      <c r="C406" s="13">
        <v>-0.9</v>
      </c>
      <c r="D406" s="13">
        <f t="shared" si="335"/>
        <v>-0.9</v>
      </c>
      <c r="E406" s="11">
        <f>(-1.8+-1.87)/2</f>
        <v>-1.835</v>
      </c>
      <c r="F406" s="11">
        <f t="shared" ref="F406:F430" si="341">D406-E406</f>
        <v>0.93499999999999994</v>
      </c>
      <c r="G406" s="13"/>
      <c r="H406" s="13">
        <v>32.840000000000003</v>
      </c>
      <c r="I406" s="13">
        <f t="shared" ref="I406:I428" si="342">H406*B406</f>
        <v>25.485482000000001</v>
      </c>
      <c r="J406" s="20"/>
      <c r="K406" s="20"/>
      <c r="L406" s="20"/>
      <c r="M406" s="20"/>
      <c r="N406" s="20"/>
      <c r="O406" s="13"/>
      <c r="P406" s="13"/>
      <c r="Q406" s="13"/>
      <c r="R406" s="13"/>
      <c r="S406" s="13"/>
      <c r="T406" s="13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18">
        <f t="shared" si="329"/>
        <v>32.840000000000003</v>
      </c>
      <c r="AF406" s="18">
        <f t="shared" si="330"/>
        <v>0.77604999999999991</v>
      </c>
      <c r="AG406" s="18">
        <f t="shared" si="332"/>
        <v>25.485482000000001</v>
      </c>
      <c r="AH406" s="18"/>
      <c r="AI406" s="18"/>
      <c r="AJ406" s="18"/>
      <c r="AK406" s="33" t="s">
        <v>513</v>
      </c>
      <c r="AL406" s="34"/>
    </row>
    <row r="407" spans="1:38" ht="15.6" customHeight="1" x14ac:dyDescent="0.25">
      <c r="A407" s="8" t="s">
        <v>502</v>
      </c>
      <c r="B407" s="13">
        <f t="shared" si="336"/>
        <v>0.73039999999999994</v>
      </c>
      <c r="C407" s="13">
        <v>-0.9</v>
      </c>
      <c r="D407" s="13">
        <f t="shared" si="335"/>
        <v>-0.9</v>
      </c>
      <c r="E407" s="11">
        <f>(-1.8+-1.76)/2</f>
        <v>-1.78</v>
      </c>
      <c r="F407" s="11">
        <f t="shared" si="341"/>
        <v>0.88</v>
      </c>
      <c r="G407" s="13"/>
      <c r="H407" s="13">
        <v>21.45</v>
      </c>
      <c r="I407" s="13">
        <f t="shared" si="342"/>
        <v>15.667079999999999</v>
      </c>
      <c r="J407" s="20"/>
      <c r="K407" s="20"/>
      <c r="L407" s="20"/>
      <c r="M407" s="20"/>
      <c r="N407" s="20"/>
      <c r="O407" s="13"/>
      <c r="P407" s="13"/>
      <c r="Q407" s="13"/>
      <c r="R407" s="13"/>
      <c r="S407" s="13"/>
      <c r="T407" s="13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18">
        <f t="shared" si="329"/>
        <v>21.45</v>
      </c>
      <c r="AF407" s="18">
        <f t="shared" si="330"/>
        <v>0.73039999999999994</v>
      </c>
      <c r="AG407" s="18">
        <f t="shared" si="332"/>
        <v>15.667079999999999</v>
      </c>
      <c r="AH407" s="18"/>
      <c r="AI407" s="18"/>
      <c r="AJ407" s="18"/>
      <c r="AK407" s="33" t="s">
        <v>514</v>
      </c>
      <c r="AL407" s="34"/>
    </row>
    <row r="408" spans="1:38" ht="15.6" customHeight="1" x14ac:dyDescent="0.25">
      <c r="A408" s="8" t="s">
        <v>503</v>
      </c>
      <c r="B408" s="13">
        <f t="shared" si="336"/>
        <v>0.84660000000000002</v>
      </c>
      <c r="C408" s="13">
        <v>-0.9</v>
      </c>
      <c r="D408" s="13">
        <f t="shared" si="335"/>
        <v>-0.9</v>
      </c>
      <c r="E408" s="11">
        <f>(-1.87+-1.97)/2</f>
        <v>-1.92</v>
      </c>
      <c r="F408" s="11">
        <f t="shared" si="341"/>
        <v>1.02</v>
      </c>
      <c r="G408" s="13"/>
      <c r="H408" s="13">
        <v>48.85</v>
      </c>
      <c r="I408" s="13">
        <f t="shared" si="342"/>
        <v>41.356410000000004</v>
      </c>
      <c r="J408" s="20"/>
      <c r="K408" s="20"/>
      <c r="L408" s="20"/>
      <c r="M408" s="20"/>
      <c r="N408" s="20"/>
      <c r="O408" s="13"/>
      <c r="P408" s="13"/>
      <c r="Q408" s="13"/>
      <c r="R408" s="13"/>
      <c r="S408" s="13"/>
      <c r="T408" s="13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18">
        <f t="shared" si="329"/>
        <v>48.85</v>
      </c>
      <c r="AF408" s="18">
        <f t="shared" si="330"/>
        <v>0.84660000000000002</v>
      </c>
      <c r="AG408" s="18">
        <f t="shared" si="332"/>
        <v>41.356410000000004</v>
      </c>
      <c r="AH408" s="18"/>
      <c r="AI408" s="18"/>
      <c r="AJ408" s="18"/>
      <c r="AK408" s="33" t="s">
        <v>515</v>
      </c>
      <c r="AL408" s="34"/>
    </row>
    <row r="409" spans="1:38" ht="15.6" customHeight="1" x14ac:dyDescent="0.25">
      <c r="A409" s="8" t="s">
        <v>504</v>
      </c>
      <c r="B409" s="13">
        <f t="shared" si="336"/>
        <v>0.92960000000000009</v>
      </c>
      <c r="C409" s="13">
        <v>-0.9</v>
      </c>
      <c r="D409" s="13">
        <f t="shared" si="335"/>
        <v>-0.9</v>
      </c>
      <c r="E409" s="11">
        <f>(-2.07+-1.97)/2</f>
        <v>-2.02</v>
      </c>
      <c r="F409" s="11">
        <f t="shared" si="341"/>
        <v>1.1200000000000001</v>
      </c>
      <c r="G409" s="13"/>
      <c r="H409" s="13">
        <v>48.12</v>
      </c>
      <c r="I409" s="13">
        <f t="shared" si="342"/>
        <v>44.732351999999999</v>
      </c>
      <c r="J409" s="20"/>
      <c r="K409" s="20"/>
      <c r="L409" s="20"/>
      <c r="M409" s="20"/>
      <c r="N409" s="20"/>
      <c r="O409" s="13"/>
      <c r="P409" s="13"/>
      <c r="Q409" s="13"/>
      <c r="R409" s="13"/>
      <c r="S409" s="13"/>
      <c r="T409" s="13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18">
        <f t="shared" si="329"/>
        <v>48.12</v>
      </c>
      <c r="AF409" s="18">
        <f t="shared" si="330"/>
        <v>0.92960000000000009</v>
      </c>
      <c r="AG409" s="18">
        <f t="shared" si="332"/>
        <v>44.732351999999999</v>
      </c>
      <c r="AH409" s="18"/>
      <c r="AI409" s="18"/>
      <c r="AJ409" s="18"/>
      <c r="AK409" s="33" t="s">
        <v>516</v>
      </c>
      <c r="AL409" s="34"/>
    </row>
    <row r="410" spans="1:38" ht="15.6" customHeight="1" x14ac:dyDescent="0.25">
      <c r="A410" s="8" t="s">
        <v>505</v>
      </c>
      <c r="B410" s="13">
        <f t="shared" si="336"/>
        <v>1.0250499999999998</v>
      </c>
      <c r="C410" s="13">
        <v>-0.9</v>
      </c>
      <c r="D410" s="13">
        <f t="shared" si="335"/>
        <v>-0.9</v>
      </c>
      <c r="E410" s="11">
        <f>(-2.07+-2.2)/2</f>
        <v>-2.1349999999999998</v>
      </c>
      <c r="F410" s="11">
        <f t="shared" si="341"/>
        <v>1.2349999999999999</v>
      </c>
      <c r="G410" s="13"/>
      <c r="H410" s="13">
        <v>64.87</v>
      </c>
      <c r="I410" s="13">
        <f t="shared" si="342"/>
        <v>66.494993499999993</v>
      </c>
      <c r="J410" s="20"/>
      <c r="K410" s="20"/>
      <c r="L410" s="20"/>
      <c r="M410" s="20"/>
      <c r="N410" s="20"/>
      <c r="O410" s="13"/>
      <c r="P410" s="13"/>
      <c r="Q410" s="13"/>
      <c r="R410" s="13"/>
      <c r="S410" s="13"/>
      <c r="T410" s="13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18">
        <f t="shared" ref="AE410:AE428" si="343">H410</f>
        <v>64.87</v>
      </c>
      <c r="AF410" s="18">
        <f t="shared" ref="AF410:AF428" si="344">B410</f>
        <v>1.0250499999999998</v>
      </c>
      <c r="AG410" s="18">
        <f t="shared" si="332"/>
        <v>66.494993499999993</v>
      </c>
      <c r="AH410" s="18"/>
      <c r="AI410" s="18"/>
      <c r="AJ410" s="18"/>
      <c r="AK410" s="33" t="s">
        <v>518</v>
      </c>
      <c r="AL410" s="34"/>
    </row>
    <row r="411" spans="1:38" ht="15.6" customHeight="1" x14ac:dyDescent="0.25">
      <c r="A411" s="8" t="s">
        <v>506</v>
      </c>
      <c r="B411" s="13">
        <f t="shared" si="336"/>
        <v>0.80925000000000002</v>
      </c>
      <c r="C411" s="13">
        <f>C370</f>
        <v>-1.0249999999999999</v>
      </c>
      <c r="D411" s="13">
        <f t="shared" si="335"/>
        <v>-1.0249999999999999</v>
      </c>
      <c r="E411" s="11">
        <f>(-2.07+-1.93)/2</f>
        <v>-2</v>
      </c>
      <c r="F411" s="11">
        <f t="shared" si="341"/>
        <v>0.97500000000000009</v>
      </c>
      <c r="G411" s="13"/>
      <c r="H411" s="13">
        <v>67.95</v>
      </c>
      <c r="I411" s="13">
        <f t="shared" si="342"/>
        <v>54.988537500000007</v>
      </c>
      <c r="J411" s="20"/>
      <c r="K411" s="20"/>
      <c r="L411" s="20"/>
      <c r="M411" s="20"/>
      <c r="N411" s="20"/>
      <c r="O411" s="13"/>
      <c r="P411" s="13"/>
      <c r="Q411" s="13"/>
      <c r="R411" s="13"/>
      <c r="S411" s="13"/>
      <c r="T411" s="13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18">
        <f t="shared" si="343"/>
        <v>67.95</v>
      </c>
      <c r="AF411" s="18">
        <f t="shared" si="344"/>
        <v>0.80925000000000002</v>
      </c>
      <c r="AG411" s="18">
        <f t="shared" si="332"/>
        <v>54.988537500000007</v>
      </c>
      <c r="AH411" s="18"/>
      <c r="AI411" s="18"/>
      <c r="AJ411" s="18"/>
      <c r="AK411" s="33" t="s">
        <v>517</v>
      </c>
      <c r="AL411" s="34"/>
    </row>
    <row r="412" spans="1:38" ht="15.6" customHeight="1" x14ac:dyDescent="0.25">
      <c r="A412" s="8" t="s">
        <v>507</v>
      </c>
      <c r="B412" s="13">
        <f>(0.5*F412)+(0.33*F412)+0.1</f>
        <v>0.71835000000000004</v>
      </c>
      <c r="C412" s="13">
        <f t="shared" ref="C412:C417" si="345">C372</f>
        <v>-1.1499999999999999</v>
      </c>
      <c r="D412" s="13">
        <f t="shared" si="335"/>
        <v>-1.1499999999999999</v>
      </c>
      <c r="E412" s="11">
        <f>(-1.86+-1.93)/2</f>
        <v>-1.895</v>
      </c>
      <c r="F412" s="11">
        <f t="shared" si="341"/>
        <v>0.74500000000000011</v>
      </c>
      <c r="G412" s="13"/>
      <c r="H412" s="13">
        <v>35.31</v>
      </c>
      <c r="I412" s="13">
        <f t="shared" si="342"/>
        <v>25.364938500000004</v>
      </c>
      <c r="J412" s="20"/>
      <c r="K412" s="20"/>
      <c r="L412" s="20"/>
      <c r="M412" s="20"/>
      <c r="N412" s="20"/>
      <c r="O412" s="13"/>
      <c r="P412" s="13"/>
      <c r="Q412" s="13"/>
      <c r="R412" s="13"/>
      <c r="S412" s="13"/>
      <c r="T412" s="13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18">
        <f t="shared" si="343"/>
        <v>35.31</v>
      </c>
      <c r="AF412" s="18">
        <f t="shared" si="344"/>
        <v>0.71835000000000004</v>
      </c>
      <c r="AG412" s="18">
        <f t="shared" si="332"/>
        <v>25.364938500000004</v>
      </c>
      <c r="AH412" s="18"/>
      <c r="AI412" s="18"/>
      <c r="AJ412" s="18"/>
      <c r="AK412" s="33" t="s">
        <v>519</v>
      </c>
      <c r="AL412" s="34"/>
    </row>
    <row r="413" spans="1:38" ht="15.6" customHeight="1" x14ac:dyDescent="0.25">
      <c r="A413" s="8" t="s">
        <v>508</v>
      </c>
      <c r="B413" s="13">
        <f t="shared" ref="B413:B417" si="346">(0.5*F413)+(0.33*F413)+0.1</f>
        <v>0.67270000000000019</v>
      </c>
      <c r="C413" s="13">
        <f t="shared" si="345"/>
        <v>-1.1499999999999999</v>
      </c>
      <c r="D413" s="13">
        <f t="shared" si="335"/>
        <v>-1.1499999999999999</v>
      </c>
      <c r="E413" s="11">
        <f>(-1.86+-1.82)/2</f>
        <v>-1.84</v>
      </c>
      <c r="F413" s="11">
        <f t="shared" si="341"/>
        <v>0.69000000000000017</v>
      </c>
      <c r="G413" s="13"/>
      <c r="H413" s="13">
        <v>18.78</v>
      </c>
      <c r="I413" s="13">
        <f t="shared" si="342"/>
        <v>12.633306000000005</v>
      </c>
      <c r="J413" s="20"/>
      <c r="K413" s="20"/>
      <c r="L413" s="20"/>
      <c r="M413" s="20"/>
      <c r="N413" s="20"/>
      <c r="O413" s="13"/>
      <c r="P413" s="13"/>
      <c r="Q413" s="13"/>
      <c r="R413" s="13"/>
      <c r="S413" s="13"/>
      <c r="T413" s="13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18">
        <f t="shared" si="343"/>
        <v>18.78</v>
      </c>
      <c r="AF413" s="18">
        <f t="shared" si="344"/>
        <v>0.67270000000000019</v>
      </c>
      <c r="AG413" s="18">
        <f t="shared" si="332"/>
        <v>12.633306000000005</v>
      </c>
      <c r="AH413" s="18"/>
      <c r="AI413" s="18"/>
      <c r="AJ413" s="18"/>
      <c r="AK413" s="33" t="s">
        <v>520</v>
      </c>
      <c r="AL413" s="34"/>
    </row>
    <row r="414" spans="1:38" ht="15.6" customHeight="1" x14ac:dyDescent="0.25">
      <c r="A414" s="8" t="s">
        <v>509</v>
      </c>
      <c r="B414" s="13">
        <f t="shared" si="346"/>
        <v>0.64780000000000004</v>
      </c>
      <c r="C414" s="13">
        <f t="shared" si="345"/>
        <v>-1.1499999999999999</v>
      </c>
      <c r="D414" s="13">
        <f t="shared" si="335"/>
        <v>-1.1499999999999999</v>
      </c>
      <c r="E414" s="11">
        <f>(-1.86+-1.76)/2</f>
        <v>-1.81</v>
      </c>
      <c r="F414" s="11">
        <f t="shared" si="341"/>
        <v>0.66000000000000014</v>
      </c>
      <c r="G414" s="13"/>
      <c r="H414" s="13">
        <v>51.29</v>
      </c>
      <c r="I414" s="13">
        <f t="shared" si="342"/>
        <v>33.225662</v>
      </c>
      <c r="J414" s="20"/>
      <c r="K414" s="20"/>
      <c r="L414" s="20"/>
      <c r="M414" s="20"/>
      <c r="N414" s="20"/>
      <c r="O414" s="13"/>
      <c r="P414" s="13"/>
      <c r="Q414" s="13"/>
      <c r="R414" s="13"/>
      <c r="S414" s="13"/>
      <c r="T414" s="13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18">
        <f t="shared" si="343"/>
        <v>51.29</v>
      </c>
      <c r="AF414" s="18">
        <f t="shared" si="344"/>
        <v>0.64780000000000004</v>
      </c>
      <c r="AG414" s="18">
        <f t="shared" si="332"/>
        <v>33.225662</v>
      </c>
      <c r="AH414" s="18"/>
      <c r="AI414" s="18"/>
      <c r="AJ414" s="18"/>
      <c r="AK414" s="33" t="s">
        <v>523</v>
      </c>
      <c r="AL414" s="34"/>
    </row>
    <row r="415" spans="1:38" ht="15.6" customHeight="1" x14ac:dyDescent="0.25">
      <c r="A415" s="8" t="s">
        <v>510</v>
      </c>
      <c r="B415" s="13">
        <f t="shared" si="346"/>
        <v>0.61875000000000002</v>
      </c>
      <c r="C415" s="13">
        <f t="shared" si="345"/>
        <v>-1.1499999999999999</v>
      </c>
      <c r="D415" s="13">
        <f t="shared" si="335"/>
        <v>-1.1499999999999999</v>
      </c>
      <c r="E415" s="11">
        <f>(-1.79+-1.76)/2</f>
        <v>-1.7749999999999999</v>
      </c>
      <c r="F415" s="11">
        <f t="shared" si="341"/>
        <v>0.625</v>
      </c>
      <c r="G415" s="13"/>
      <c r="H415" s="13">
        <v>16.63</v>
      </c>
      <c r="I415" s="13">
        <f t="shared" si="342"/>
        <v>10.2898125</v>
      </c>
      <c r="J415" s="20"/>
      <c r="K415" s="20"/>
      <c r="L415" s="20"/>
      <c r="M415" s="20"/>
      <c r="N415" s="20"/>
      <c r="O415" s="13"/>
      <c r="P415" s="13"/>
      <c r="Q415" s="13"/>
      <c r="R415" s="13"/>
      <c r="S415" s="13"/>
      <c r="T415" s="13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18">
        <f t="shared" si="343"/>
        <v>16.63</v>
      </c>
      <c r="AF415" s="18">
        <f t="shared" si="344"/>
        <v>0.61875000000000002</v>
      </c>
      <c r="AG415" s="18">
        <f t="shared" si="332"/>
        <v>10.2898125</v>
      </c>
      <c r="AH415" s="18"/>
      <c r="AI415" s="18"/>
      <c r="AJ415" s="18"/>
      <c r="AK415" s="33" t="s">
        <v>522</v>
      </c>
      <c r="AL415" s="34"/>
    </row>
    <row r="416" spans="1:38" ht="15.6" customHeight="1" x14ac:dyDescent="0.25">
      <c r="A416" s="8" t="s">
        <v>511</v>
      </c>
      <c r="B416" s="13">
        <f t="shared" si="346"/>
        <v>0.65610000000000013</v>
      </c>
      <c r="C416" s="13">
        <f t="shared" si="345"/>
        <v>-1.1499999999999999</v>
      </c>
      <c r="D416" s="13">
        <f t="shared" si="335"/>
        <v>-1.1499999999999999</v>
      </c>
      <c r="E416" s="11">
        <f>(-1.79+-1.85)/2</f>
        <v>-1.82</v>
      </c>
      <c r="F416" s="11">
        <f t="shared" si="341"/>
        <v>0.67000000000000015</v>
      </c>
      <c r="G416" s="13"/>
      <c r="H416" s="13">
        <v>28.18</v>
      </c>
      <c r="I416" s="13">
        <f t="shared" si="342"/>
        <v>18.488898000000002</v>
      </c>
      <c r="J416" s="20"/>
      <c r="K416" s="20"/>
      <c r="L416" s="20"/>
      <c r="M416" s="20"/>
      <c r="N416" s="20"/>
      <c r="O416" s="13"/>
      <c r="P416" s="13"/>
      <c r="Q416" s="13"/>
      <c r="R416" s="13"/>
      <c r="S416" s="13"/>
      <c r="T416" s="13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18">
        <f t="shared" si="343"/>
        <v>28.18</v>
      </c>
      <c r="AF416" s="18">
        <f t="shared" si="344"/>
        <v>0.65610000000000013</v>
      </c>
      <c r="AG416" s="18">
        <f t="shared" si="332"/>
        <v>18.488898000000002</v>
      </c>
      <c r="AH416" s="18"/>
      <c r="AI416" s="18"/>
      <c r="AJ416" s="18"/>
      <c r="AK416" s="33" t="s">
        <v>521</v>
      </c>
      <c r="AL416" s="34"/>
    </row>
    <row r="417" spans="1:40" ht="15.6" customHeight="1" x14ac:dyDescent="0.25">
      <c r="A417" s="8" t="s">
        <v>512</v>
      </c>
      <c r="B417" s="13">
        <f t="shared" si="346"/>
        <v>0.71420000000000017</v>
      </c>
      <c r="C417" s="13">
        <f t="shared" si="345"/>
        <v>-1.1499999999999999</v>
      </c>
      <c r="D417" s="13">
        <f t="shared" si="335"/>
        <v>-1.1499999999999999</v>
      </c>
      <c r="E417" s="11">
        <f>(-1.93+-1.85)/2</f>
        <v>-1.8900000000000001</v>
      </c>
      <c r="F417" s="11">
        <f t="shared" si="341"/>
        <v>0.74000000000000021</v>
      </c>
      <c r="G417" s="13"/>
      <c r="H417" s="13">
        <v>38.43</v>
      </c>
      <c r="I417" s="13">
        <f>H417*B417</f>
        <v>27.446706000000006</v>
      </c>
      <c r="J417" s="20"/>
      <c r="K417" s="20"/>
      <c r="L417" s="20"/>
      <c r="M417" s="20"/>
      <c r="N417" s="20"/>
      <c r="O417" s="13"/>
      <c r="P417" s="13"/>
      <c r="Q417" s="13"/>
      <c r="R417" s="13"/>
      <c r="S417" s="13"/>
      <c r="T417" s="13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18">
        <f t="shared" si="343"/>
        <v>38.43</v>
      </c>
      <c r="AF417" s="18">
        <f t="shared" si="344"/>
        <v>0.71420000000000017</v>
      </c>
      <c r="AG417" s="18">
        <f t="shared" si="332"/>
        <v>27.446706000000006</v>
      </c>
      <c r="AH417" s="18"/>
      <c r="AI417" s="18"/>
      <c r="AJ417" s="18"/>
      <c r="AK417" s="33" t="s">
        <v>524</v>
      </c>
      <c r="AL417" s="34"/>
    </row>
    <row r="418" spans="1:40" ht="15.6" customHeight="1" x14ac:dyDescent="0.25">
      <c r="A418" s="8" t="s">
        <v>618</v>
      </c>
      <c r="B418" s="13">
        <f>(0.5*F418)+((0.25*F418)*2)</f>
        <v>1.865</v>
      </c>
      <c r="C418" s="13">
        <f>0.035</f>
        <v>3.5000000000000003E-2</v>
      </c>
      <c r="D418" s="13">
        <f>C418-0.09</f>
        <v>-5.4999999999999993E-2</v>
      </c>
      <c r="E418" s="11">
        <v>-1.92</v>
      </c>
      <c r="F418" s="11">
        <f t="shared" si="341"/>
        <v>1.865</v>
      </c>
      <c r="G418" s="13"/>
      <c r="H418" s="13">
        <v>57.89</v>
      </c>
      <c r="I418" s="13">
        <f>H418*B418</f>
        <v>107.96485</v>
      </c>
      <c r="J418" s="20"/>
      <c r="K418" s="20"/>
      <c r="L418" s="20"/>
      <c r="M418" s="20"/>
      <c r="N418" s="20"/>
      <c r="O418" s="13"/>
      <c r="P418" s="13"/>
      <c r="Q418" s="13"/>
      <c r="R418" s="13"/>
      <c r="S418" s="13"/>
      <c r="T418" s="13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18">
        <f t="shared" si="343"/>
        <v>57.89</v>
      </c>
      <c r="AF418" s="18">
        <f t="shared" si="344"/>
        <v>1.865</v>
      </c>
      <c r="AG418" s="18">
        <f t="shared" si="332"/>
        <v>107.96485</v>
      </c>
      <c r="AH418" s="18"/>
      <c r="AI418" s="18"/>
      <c r="AJ418" s="18"/>
      <c r="AK418" s="33" t="s">
        <v>624</v>
      </c>
      <c r="AL418" s="34"/>
      <c r="AM418" s="34"/>
      <c r="AN418" s="34"/>
    </row>
    <row r="419" spans="1:40" ht="15.6" customHeight="1" x14ac:dyDescent="0.25">
      <c r="A419" s="8" t="s">
        <v>619</v>
      </c>
      <c r="B419" s="13">
        <f>(0.5*F419)+((0.25*F419)*2)</f>
        <v>1.0899999999999999</v>
      </c>
      <c r="C419" s="13">
        <v>-0.9</v>
      </c>
      <c r="D419" s="13">
        <f>C419</f>
        <v>-0.9</v>
      </c>
      <c r="E419" s="11">
        <f>((-1.9+-1.96)/2)-0.06</f>
        <v>-1.99</v>
      </c>
      <c r="F419" s="11">
        <f t="shared" si="341"/>
        <v>1.0899999999999999</v>
      </c>
      <c r="G419" s="13"/>
      <c r="H419" s="13">
        <v>33.28</v>
      </c>
      <c r="I419" s="13">
        <f t="shared" ref="I419:I427" si="347">H419*B419</f>
        <v>36.275199999999998</v>
      </c>
      <c r="J419" s="20"/>
      <c r="K419" s="20"/>
      <c r="L419" s="20"/>
      <c r="M419" s="20"/>
      <c r="N419" s="20"/>
      <c r="O419" s="13"/>
      <c r="P419" s="13"/>
      <c r="Q419" s="13"/>
      <c r="R419" s="13"/>
      <c r="S419" s="13"/>
      <c r="T419" s="13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18">
        <f t="shared" si="343"/>
        <v>33.28</v>
      </c>
      <c r="AF419" s="18">
        <f t="shared" si="344"/>
        <v>1.0899999999999999</v>
      </c>
      <c r="AG419" s="18">
        <f t="shared" si="332"/>
        <v>36.275199999999998</v>
      </c>
      <c r="AH419" s="18"/>
      <c r="AI419" s="18"/>
      <c r="AJ419" s="18"/>
      <c r="AK419" s="33" t="s">
        <v>625</v>
      </c>
      <c r="AL419" s="34"/>
      <c r="AM419" s="34"/>
      <c r="AN419" s="34"/>
    </row>
    <row r="420" spans="1:40" ht="15.6" customHeight="1" x14ac:dyDescent="0.25">
      <c r="A420" s="8" t="s">
        <v>620</v>
      </c>
      <c r="B420" s="13">
        <f t="shared" ref="B420:B427" si="348">(0.5*F420)+((0.25*F420)*2)</f>
        <v>1.1200000000000001</v>
      </c>
      <c r="C420" s="13">
        <v>-0.9</v>
      </c>
      <c r="D420" s="13">
        <f t="shared" ref="D420:D427" si="349">C420</f>
        <v>-0.9</v>
      </c>
      <c r="E420" s="11">
        <f>((-1.93+-1.99)/2)-0.06</f>
        <v>-2.02</v>
      </c>
      <c r="F420" s="11">
        <f t="shared" si="341"/>
        <v>1.1200000000000001</v>
      </c>
      <c r="G420" s="13"/>
      <c r="H420" s="13">
        <v>25.59</v>
      </c>
      <c r="I420" s="13">
        <f t="shared" si="347"/>
        <v>28.660800000000002</v>
      </c>
      <c r="J420" s="20"/>
      <c r="K420" s="20"/>
      <c r="L420" s="20"/>
      <c r="M420" s="20"/>
      <c r="N420" s="20"/>
      <c r="O420" s="13"/>
      <c r="P420" s="13"/>
      <c r="Q420" s="13"/>
      <c r="R420" s="13"/>
      <c r="S420" s="13"/>
      <c r="T420" s="13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18">
        <f t="shared" si="343"/>
        <v>25.59</v>
      </c>
      <c r="AF420" s="18">
        <f t="shared" si="344"/>
        <v>1.1200000000000001</v>
      </c>
      <c r="AG420" s="18">
        <f t="shared" si="332"/>
        <v>28.660800000000002</v>
      </c>
      <c r="AH420" s="18"/>
      <c r="AI420" s="18"/>
      <c r="AJ420" s="18"/>
      <c r="AK420" s="33" t="s">
        <v>626</v>
      </c>
      <c r="AL420" s="34"/>
      <c r="AM420" s="34"/>
      <c r="AN420" s="34"/>
    </row>
    <row r="421" spans="1:40" ht="15.6" customHeight="1" x14ac:dyDescent="0.25">
      <c r="A421" s="8" t="s">
        <v>621</v>
      </c>
      <c r="B421" s="13">
        <f t="shared" si="348"/>
        <v>1.5250000000000004</v>
      </c>
      <c r="C421" s="13">
        <v>-0.9</v>
      </c>
      <c r="D421" s="13">
        <f t="shared" si="349"/>
        <v>-0.9</v>
      </c>
      <c r="E421" s="11">
        <f>((-1.99+-2.74)/2)-0.06</f>
        <v>-2.4250000000000003</v>
      </c>
      <c r="F421" s="11">
        <f t="shared" si="341"/>
        <v>1.5250000000000004</v>
      </c>
      <c r="G421" s="13"/>
      <c r="H421" s="13">
        <v>56.01</v>
      </c>
      <c r="I421" s="13">
        <f t="shared" si="347"/>
        <v>85.415250000000015</v>
      </c>
      <c r="J421" s="20"/>
      <c r="K421" s="20"/>
      <c r="L421" s="20"/>
      <c r="M421" s="20"/>
      <c r="N421" s="20"/>
      <c r="O421" s="13"/>
      <c r="P421" s="13"/>
      <c r="Q421" s="13"/>
      <c r="R421" s="13"/>
      <c r="S421" s="13"/>
      <c r="T421" s="13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18">
        <f t="shared" si="343"/>
        <v>56.01</v>
      </c>
      <c r="AF421" s="18">
        <f t="shared" si="344"/>
        <v>1.5250000000000004</v>
      </c>
      <c r="AG421" s="18">
        <f t="shared" si="332"/>
        <v>85.415250000000015</v>
      </c>
      <c r="AH421" s="18"/>
      <c r="AI421" s="18"/>
      <c r="AJ421" s="18"/>
      <c r="AK421" s="33" t="s">
        <v>627</v>
      </c>
      <c r="AL421" s="34"/>
      <c r="AM421" s="34"/>
      <c r="AN421" s="34"/>
    </row>
    <row r="422" spans="1:40" ht="15.6" customHeight="1" x14ac:dyDescent="0.25">
      <c r="A422" s="8" t="s">
        <v>622</v>
      </c>
      <c r="B422" s="13">
        <f t="shared" si="348"/>
        <v>1.6300000000000003</v>
      </c>
      <c r="C422" s="13">
        <v>-0.9</v>
      </c>
      <c r="D422" s="13">
        <f t="shared" si="349"/>
        <v>-0.9</v>
      </c>
      <c r="E422" s="11">
        <f>((-2.74+-2.2)/2)-0.06</f>
        <v>-2.5300000000000002</v>
      </c>
      <c r="F422" s="11">
        <f t="shared" si="341"/>
        <v>1.6300000000000003</v>
      </c>
      <c r="G422" s="13"/>
      <c r="H422" s="13">
        <v>30.65</v>
      </c>
      <c r="I422" s="13">
        <f t="shared" si="347"/>
        <v>49.959500000000006</v>
      </c>
      <c r="J422" s="20"/>
      <c r="K422" s="20"/>
      <c r="L422" s="20"/>
      <c r="M422" s="20"/>
      <c r="N422" s="20"/>
      <c r="O422" s="13"/>
      <c r="P422" s="13"/>
      <c r="Q422" s="13"/>
      <c r="R422" s="13"/>
      <c r="S422" s="13"/>
      <c r="T422" s="13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18">
        <f t="shared" si="343"/>
        <v>30.65</v>
      </c>
      <c r="AF422" s="18">
        <f t="shared" si="344"/>
        <v>1.6300000000000003</v>
      </c>
      <c r="AG422" s="18">
        <f t="shared" si="332"/>
        <v>49.959500000000006</v>
      </c>
      <c r="AH422" s="18"/>
      <c r="AI422" s="18"/>
      <c r="AJ422" s="18"/>
      <c r="AK422" s="33" t="s">
        <v>628</v>
      </c>
      <c r="AL422" s="34"/>
      <c r="AM422" s="34"/>
      <c r="AN422" s="34"/>
    </row>
    <row r="423" spans="1:40" ht="15.6" customHeight="1" x14ac:dyDescent="0.25">
      <c r="A423" s="8" t="s">
        <v>623</v>
      </c>
      <c r="B423" s="13">
        <f t="shared" si="348"/>
        <v>1.105</v>
      </c>
      <c r="C423" s="13">
        <v>-0.9</v>
      </c>
      <c r="D423" s="13">
        <f t="shared" si="349"/>
        <v>-0.9</v>
      </c>
      <c r="E423" s="11">
        <f>((-1.94+-1.95)/2)-0.06</f>
        <v>-2.0049999999999999</v>
      </c>
      <c r="F423" s="11">
        <f t="shared" si="341"/>
        <v>1.105</v>
      </c>
      <c r="G423" s="13"/>
      <c r="H423" s="13">
        <v>57.54</v>
      </c>
      <c r="I423" s="13">
        <f t="shared" si="347"/>
        <v>63.581699999999998</v>
      </c>
      <c r="J423" s="20"/>
      <c r="K423" s="20"/>
      <c r="L423" s="20"/>
      <c r="M423" s="20"/>
      <c r="N423" s="20"/>
      <c r="O423" s="13"/>
      <c r="P423" s="13"/>
      <c r="Q423" s="13"/>
      <c r="R423" s="13"/>
      <c r="S423" s="13"/>
      <c r="T423" s="13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18">
        <f t="shared" si="343"/>
        <v>57.54</v>
      </c>
      <c r="AF423" s="18">
        <f t="shared" si="344"/>
        <v>1.105</v>
      </c>
      <c r="AG423" s="18">
        <f t="shared" si="332"/>
        <v>63.581699999999998</v>
      </c>
      <c r="AH423" s="18"/>
      <c r="AI423" s="18"/>
      <c r="AJ423" s="18"/>
      <c r="AK423" s="33" t="s">
        <v>629</v>
      </c>
      <c r="AL423" s="34"/>
      <c r="AM423" s="34"/>
      <c r="AN423" s="34"/>
    </row>
    <row r="424" spans="1:40" ht="15.6" customHeight="1" x14ac:dyDescent="0.25">
      <c r="A424" s="8" t="s">
        <v>630</v>
      </c>
      <c r="B424" s="13">
        <f t="shared" si="348"/>
        <v>1.1750000000000003</v>
      </c>
      <c r="C424" s="13">
        <v>-0.9</v>
      </c>
      <c r="D424" s="13">
        <f t="shared" si="349"/>
        <v>-0.9</v>
      </c>
      <c r="E424" s="11">
        <f>((-2.08+-1.95)/2)-0.06</f>
        <v>-2.0750000000000002</v>
      </c>
      <c r="F424" s="11">
        <f t="shared" si="341"/>
        <v>1.1750000000000003</v>
      </c>
      <c r="G424" s="13"/>
      <c r="H424" s="13">
        <f>79.49+10.45</f>
        <v>89.94</v>
      </c>
      <c r="I424" s="13">
        <f t="shared" si="347"/>
        <v>105.67950000000002</v>
      </c>
      <c r="J424" s="20"/>
      <c r="K424" s="20"/>
      <c r="L424" s="20"/>
      <c r="M424" s="20"/>
      <c r="N424" s="20"/>
      <c r="O424" s="13"/>
      <c r="P424" s="13"/>
      <c r="Q424" s="13"/>
      <c r="R424" s="13"/>
      <c r="S424" s="13"/>
      <c r="T424" s="13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18">
        <f t="shared" si="343"/>
        <v>89.94</v>
      </c>
      <c r="AF424" s="18">
        <f t="shared" si="344"/>
        <v>1.1750000000000003</v>
      </c>
      <c r="AG424" s="18">
        <f t="shared" si="332"/>
        <v>105.67950000000002</v>
      </c>
      <c r="AH424" s="18"/>
      <c r="AI424" s="18"/>
      <c r="AJ424" s="18"/>
      <c r="AK424" s="33" t="s">
        <v>631</v>
      </c>
      <c r="AL424" s="34"/>
      <c r="AM424" s="34"/>
      <c r="AN424" s="34"/>
    </row>
    <row r="425" spans="1:40" ht="15.6" customHeight="1" x14ac:dyDescent="0.25">
      <c r="A425" s="8" t="s">
        <v>632</v>
      </c>
      <c r="B425" s="13">
        <f t="shared" si="348"/>
        <v>1.0950000000000002</v>
      </c>
      <c r="C425" s="13">
        <v>-0.9</v>
      </c>
      <c r="D425" s="13">
        <f t="shared" si="349"/>
        <v>-0.9</v>
      </c>
      <c r="E425" s="11">
        <f>((-1.91+-1.96)/2)-0.06</f>
        <v>-1.9950000000000001</v>
      </c>
      <c r="F425" s="11">
        <f t="shared" si="341"/>
        <v>1.0950000000000002</v>
      </c>
      <c r="G425" s="13"/>
      <c r="H425" s="13">
        <v>25.88</v>
      </c>
      <c r="I425" s="13">
        <f t="shared" si="347"/>
        <v>28.338600000000003</v>
      </c>
      <c r="J425" s="20"/>
      <c r="K425" s="20"/>
      <c r="L425" s="20"/>
      <c r="M425" s="20"/>
      <c r="N425" s="20"/>
      <c r="O425" s="13"/>
      <c r="P425" s="13"/>
      <c r="Q425" s="13"/>
      <c r="R425" s="13"/>
      <c r="S425" s="13"/>
      <c r="T425" s="13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18">
        <f t="shared" si="343"/>
        <v>25.88</v>
      </c>
      <c r="AF425" s="18">
        <f t="shared" si="344"/>
        <v>1.0950000000000002</v>
      </c>
      <c r="AG425" s="18">
        <f t="shared" si="332"/>
        <v>28.338600000000003</v>
      </c>
      <c r="AH425" s="18"/>
      <c r="AI425" s="18"/>
      <c r="AJ425" s="18"/>
      <c r="AK425" s="33" t="s">
        <v>633</v>
      </c>
      <c r="AL425" s="34"/>
      <c r="AM425" s="34"/>
      <c r="AN425" s="34"/>
    </row>
    <row r="426" spans="1:40" ht="15.6" customHeight="1" x14ac:dyDescent="0.25">
      <c r="A426" s="8" t="s">
        <v>634</v>
      </c>
      <c r="B426" s="13">
        <f t="shared" si="348"/>
        <v>1.82</v>
      </c>
      <c r="C426" s="13">
        <v>0.1</v>
      </c>
      <c r="D426" s="13">
        <f t="shared" si="349"/>
        <v>0.1</v>
      </c>
      <c r="E426" s="11">
        <f>((-1.67+-1.65)/2)-0.06</f>
        <v>-1.72</v>
      </c>
      <c r="F426" s="11">
        <f t="shared" si="341"/>
        <v>1.82</v>
      </c>
      <c r="G426" s="13"/>
      <c r="H426" s="13">
        <v>16.28</v>
      </c>
      <c r="I426" s="13">
        <f t="shared" si="347"/>
        <v>29.629600000000003</v>
      </c>
      <c r="J426" s="20"/>
      <c r="K426" s="20"/>
      <c r="L426" s="20"/>
      <c r="M426" s="20"/>
      <c r="N426" s="20"/>
      <c r="O426" s="13"/>
      <c r="P426" s="13"/>
      <c r="Q426" s="13"/>
      <c r="R426" s="13"/>
      <c r="S426" s="13"/>
      <c r="T426" s="13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18">
        <f t="shared" si="343"/>
        <v>16.28</v>
      </c>
      <c r="AF426" s="18">
        <f t="shared" si="344"/>
        <v>1.82</v>
      </c>
      <c r="AG426" s="18">
        <f t="shared" si="332"/>
        <v>29.629600000000003</v>
      </c>
      <c r="AH426" s="18"/>
      <c r="AI426" s="18"/>
      <c r="AJ426" s="18"/>
      <c r="AK426" s="33" t="s">
        <v>635</v>
      </c>
      <c r="AL426" s="34"/>
      <c r="AM426" s="34"/>
      <c r="AN426" s="34"/>
    </row>
    <row r="427" spans="1:40" ht="15.6" customHeight="1" x14ac:dyDescent="0.25">
      <c r="A427" s="8" t="s">
        <v>636</v>
      </c>
      <c r="B427" s="13">
        <f t="shared" si="348"/>
        <v>2.87</v>
      </c>
      <c r="C427" s="13">
        <v>1.1000000000000001</v>
      </c>
      <c r="D427" s="13">
        <f t="shared" si="349"/>
        <v>1.1000000000000001</v>
      </c>
      <c r="E427" s="11">
        <f>((-1.67+-1.75)/2)-0.06</f>
        <v>-1.77</v>
      </c>
      <c r="F427" s="11">
        <f t="shared" si="341"/>
        <v>2.87</v>
      </c>
      <c r="G427" s="13"/>
      <c r="H427" s="13">
        <v>10.69</v>
      </c>
      <c r="I427" s="13">
        <f t="shared" si="347"/>
        <v>30.680299999999999</v>
      </c>
      <c r="J427" s="20"/>
      <c r="K427" s="20"/>
      <c r="L427" s="20"/>
      <c r="M427" s="20"/>
      <c r="N427" s="20"/>
      <c r="O427" s="13"/>
      <c r="P427" s="13"/>
      <c r="Q427" s="13"/>
      <c r="R427" s="13"/>
      <c r="S427" s="13"/>
      <c r="T427" s="13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18">
        <f t="shared" si="343"/>
        <v>10.69</v>
      </c>
      <c r="AF427" s="18">
        <f t="shared" si="344"/>
        <v>2.87</v>
      </c>
      <c r="AG427" s="18">
        <f t="shared" si="332"/>
        <v>30.680299999999999</v>
      </c>
      <c r="AH427" s="18"/>
      <c r="AI427" s="18"/>
      <c r="AJ427" s="18"/>
      <c r="AK427" s="33" t="s">
        <v>637</v>
      </c>
      <c r="AL427" s="34"/>
      <c r="AM427" s="34"/>
      <c r="AN427" s="34"/>
    </row>
    <row r="428" spans="1:40" ht="15.6" customHeight="1" x14ac:dyDescent="0.25">
      <c r="A428" s="8" t="s">
        <v>556</v>
      </c>
      <c r="B428" s="13">
        <f>(0.3*F428)</f>
        <v>0.21</v>
      </c>
      <c r="C428" s="13">
        <v>0</v>
      </c>
      <c r="D428" s="13">
        <v>0</v>
      </c>
      <c r="E428" s="11">
        <v>-0.7</v>
      </c>
      <c r="F428" s="11">
        <f t="shared" si="341"/>
        <v>0.7</v>
      </c>
      <c r="G428" s="13"/>
      <c r="H428" s="13">
        <v>1407</v>
      </c>
      <c r="I428" s="13">
        <f t="shared" si="342"/>
        <v>295.46999999999997</v>
      </c>
      <c r="J428" s="20"/>
      <c r="K428" s="20"/>
      <c r="L428" s="20"/>
      <c r="M428" s="20"/>
      <c r="N428" s="20"/>
      <c r="O428" s="13"/>
      <c r="P428" s="13"/>
      <c r="Q428" s="13"/>
      <c r="R428" s="13"/>
      <c r="S428" s="13"/>
      <c r="T428" s="13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18">
        <f t="shared" si="343"/>
        <v>1407</v>
      </c>
      <c r="AF428" s="18">
        <f t="shared" si="344"/>
        <v>0.21</v>
      </c>
      <c r="AG428" s="18">
        <f t="shared" ref="AG428" si="350">AF428*AE428</f>
        <v>295.46999999999997</v>
      </c>
      <c r="AH428" s="18"/>
      <c r="AI428" s="18"/>
      <c r="AJ428" s="18"/>
      <c r="AK428" s="33" t="s">
        <v>613</v>
      </c>
      <c r="AL428" s="34"/>
      <c r="AM428" s="34"/>
      <c r="AN428" s="34"/>
    </row>
    <row r="429" spans="1:40" ht="15.6" customHeight="1" x14ac:dyDescent="0.25">
      <c r="A429" s="8" t="s">
        <v>572</v>
      </c>
      <c r="B429" s="13">
        <v>226.44399999999999</v>
      </c>
      <c r="C429" s="13">
        <v>-1.57</v>
      </c>
      <c r="D429" s="13">
        <f t="shared" ref="D429:D434" si="351">C429</f>
        <v>-1.57</v>
      </c>
      <c r="E429" s="11">
        <v>-2.4500000000000002</v>
      </c>
      <c r="F429" s="11">
        <f t="shared" si="341"/>
        <v>0.88000000000000012</v>
      </c>
      <c r="G429" s="13">
        <f>F429*B429</f>
        <v>199.27072000000001</v>
      </c>
      <c r="H429" s="13"/>
      <c r="I429" s="13"/>
      <c r="J429" s="20"/>
      <c r="K429" s="20"/>
      <c r="L429" s="20"/>
      <c r="M429" s="20"/>
      <c r="N429" s="20"/>
      <c r="O429" s="13"/>
      <c r="P429" s="13"/>
      <c r="Q429" s="13"/>
      <c r="R429" s="13"/>
      <c r="S429" s="13"/>
      <c r="T429" s="13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18"/>
      <c r="AF429" s="18"/>
      <c r="AG429" s="18"/>
      <c r="AH429" s="18"/>
      <c r="AI429" s="18"/>
      <c r="AJ429" s="18"/>
      <c r="AK429" s="33" t="s">
        <v>611</v>
      </c>
      <c r="AL429" s="34"/>
      <c r="AM429" s="34"/>
      <c r="AN429" s="34"/>
    </row>
    <row r="430" spans="1:40" ht="15.6" customHeight="1" x14ac:dyDescent="0.25">
      <c r="A430" s="8" t="s">
        <v>573</v>
      </c>
      <c r="B430" s="13">
        <f>826.626-B429</f>
        <v>600.18200000000002</v>
      </c>
      <c r="C430" s="13">
        <v>-1.57</v>
      </c>
      <c r="D430" s="13">
        <f t="shared" si="351"/>
        <v>-1.57</v>
      </c>
      <c r="E430" s="11">
        <v>-2.4500000000000002</v>
      </c>
      <c r="F430" s="11">
        <f t="shared" si="341"/>
        <v>0.88000000000000012</v>
      </c>
      <c r="G430" s="13">
        <f>(F430*B430)/2</f>
        <v>264.08008000000007</v>
      </c>
      <c r="H430" s="13"/>
      <c r="I430" s="13"/>
      <c r="J430" s="20"/>
      <c r="K430" s="20"/>
      <c r="L430" s="20"/>
      <c r="M430" s="20"/>
      <c r="N430" s="20"/>
      <c r="O430" s="13"/>
      <c r="P430" s="13"/>
      <c r="Q430" s="13"/>
      <c r="R430" s="13"/>
      <c r="S430" s="13"/>
      <c r="T430" s="13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18"/>
      <c r="AF430" s="18"/>
      <c r="AG430" s="18"/>
      <c r="AH430" s="18"/>
      <c r="AI430" s="18"/>
      <c r="AJ430" s="18"/>
      <c r="AK430" s="33" t="s">
        <v>610</v>
      </c>
      <c r="AL430" s="34"/>
      <c r="AM430" s="34"/>
      <c r="AN430" s="34"/>
    </row>
    <row r="431" spans="1:40" ht="15.6" customHeight="1" x14ac:dyDescent="0.25">
      <c r="A431" s="8" t="s">
        <v>574</v>
      </c>
      <c r="B431" s="13">
        <f>1048.766-237.912</f>
        <v>810.85400000000004</v>
      </c>
      <c r="C431" s="13">
        <v>-1.45</v>
      </c>
      <c r="D431" s="13">
        <f t="shared" si="351"/>
        <v>-1.45</v>
      </c>
      <c r="E431" s="11">
        <v>-1.57</v>
      </c>
      <c r="F431" s="11">
        <f t="shared" ref="F431:F436" si="352">D431-E431</f>
        <v>0.12000000000000011</v>
      </c>
      <c r="G431" s="13">
        <f>(F431*B431)/2</f>
        <v>48.651240000000044</v>
      </c>
      <c r="H431" s="13"/>
      <c r="I431" s="13"/>
      <c r="J431" s="20"/>
      <c r="K431" s="20"/>
      <c r="L431" s="20"/>
      <c r="M431" s="20"/>
      <c r="N431" s="20"/>
      <c r="O431" s="13"/>
      <c r="P431" s="13"/>
      <c r="Q431" s="13"/>
      <c r="R431" s="13"/>
      <c r="S431" s="13"/>
      <c r="T431" s="13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18"/>
      <c r="AF431" s="18"/>
      <c r="AG431" s="18"/>
      <c r="AH431" s="18"/>
      <c r="AI431" s="18"/>
      <c r="AJ431" s="18"/>
      <c r="AK431" s="33" t="s">
        <v>612</v>
      </c>
      <c r="AL431" s="34"/>
      <c r="AM431" s="34"/>
      <c r="AN431" s="34"/>
    </row>
    <row r="432" spans="1:40" ht="15.6" customHeight="1" x14ac:dyDescent="0.25">
      <c r="A432" s="8" t="s">
        <v>582</v>
      </c>
      <c r="B432" s="13">
        <v>1110.0119999999999</v>
      </c>
      <c r="C432" s="13">
        <f>(-0.125+-0.49)/2</f>
        <v>-0.3075</v>
      </c>
      <c r="D432" s="13">
        <f t="shared" si="351"/>
        <v>-0.3075</v>
      </c>
      <c r="E432" s="11">
        <v>-1.45</v>
      </c>
      <c r="F432" s="11">
        <f t="shared" si="352"/>
        <v>1.1425000000000001</v>
      </c>
      <c r="G432" s="13">
        <f>(F432*B432)/2</f>
        <v>634.09435499999995</v>
      </c>
      <c r="H432" s="13"/>
      <c r="I432" s="13"/>
      <c r="J432" s="20"/>
      <c r="K432" s="20"/>
      <c r="L432" s="20"/>
      <c r="M432" s="20"/>
      <c r="N432" s="20"/>
      <c r="O432" s="13"/>
      <c r="P432" s="13"/>
      <c r="Q432" s="13"/>
      <c r="R432" s="13"/>
      <c r="S432" s="13"/>
      <c r="T432" s="13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18"/>
      <c r="AF432" s="18"/>
      <c r="AG432" s="18"/>
      <c r="AH432" s="18"/>
      <c r="AI432" s="18"/>
      <c r="AJ432" s="18"/>
      <c r="AK432" s="33" t="s">
        <v>609</v>
      </c>
      <c r="AL432" s="34"/>
      <c r="AM432" s="34"/>
      <c r="AN432" s="34"/>
    </row>
    <row r="433" spans="1:38" ht="15.6" customHeight="1" x14ac:dyDescent="0.25">
      <c r="A433" s="8" t="s">
        <v>579</v>
      </c>
      <c r="B433" s="13">
        <f>679.267-349.945</f>
        <v>329.32200000000006</v>
      </c>
      <c r="C433" s="13">
        <v>0</v>
      </c>
      <c r="D433" s="13">
        <f t="shared" si="351"/>
        <v>0</v>
      </c>
      <c r="E433" s="11">
        <v>-0.1</v>
      </c>
      <c r="F433" s="11">
        <f t="shared" si="352"/>
        <v>0.1</v>
      </c>
      <c r="G433" s="13">
        <f>(F433*B433)/2</f>
        <v>16.466100000000004</v>
      </c>
      <c r="H433" s="13"/>
      <c r="I433" s="13"/>
      <c r="J433" s="20"/>
      <c r="K433" s="20"/>
      <c r="L433" s="20"/>
      <c r="M433" s="20"/>
      <c r="N433" s="20"/>
      <c r="O433" s="13"/>
      <c r="P433" s="13"/>
      <c r="Q433" s="13"/>
      <c r="R433" s="13"/>
      <c r="S433" s="13"/>
      <c r="T433" s="13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18"/>
      <c r="AF433" s="18"/>
      <c r="AG433" s="18"/>
      <c r="AH433" s="18"/>
      <c r="AI433" s="18"/>
      <c r="AJ433" s="18"/>
      <c r="AK433" s="33"/>
      <c r="AL433" s="34"/>
    </row>
    <row r="434" spans="1:38" ht="15.6" customHeight="1" x14ac:dyDescent="0.25">
      <c r="A434" s="8" t="s">
        <v>580</v>
      </c>
      <c r="B434" s="13">
        <v>349.94499999999999</v>
      </c>
      <c r="C434" s="13">
        <v>0</v>
      </c>
      <c r="D434" s="13">
        <f t="shared" si="351"/>
        <v>0</v>
      </c>
      <c r="E434" s="11">
        <v>-0.1</v>
      </c>
      <c r="F434" s="11">
        <f t="shared" si="352"/>
        <v>0.1</v>
      </c>
      <c r="G434" s="13">
        <f>(F434*B434)</f>
        <v>34.994500000000002</v>
      </c>
      <c r="H434" s="13"/>
      <c r="I434" s="13"/>
      <c r="J434" s="20"/>
      <c r="K434" s="20"/>
      <c r="L434" s="20"/>
      <c r="M434" s="20"/>
      <c r="N434" s="20"/>
      <c r="O434" s="13"/>
      <c r="P434" s="13"/>
      <c r="Q434" s="13"/>
      <c r="R434" s="13"/>
      <c r="S434" s="13"/>
      <c r="T434" s="13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18"/>
      <c r="AF434" s="18"/>
      <c r="AG434" s="18"/>
      <c r="AH434" s="18"/>
      <c r="AI434" s="18"/>
      <c r="AJ434" s="18"/>
      <c r="AK434" s="33"/>
      <c r="AL434" s="34"/>
    </row>
    <row r="435" spans="1:38" ht="15.6" customHeight="1" x14ac:dyDescent="0.25">
      <c r="A435" s="8" t="s">
        <v>581</v>
      </c>
      <c r="B435" s="13">
        <f>349.945-169.504</f>
        <v>180.441</v>
      </c>
      <c r="C435" s="13">
        <f>E433</f>
        <v>-0.1</v>
      </c>
      <c r="D435" s="13">
        <f t="shared" ref="D435:D462" si="353">C435</f>
        <v>-0.1</v>
      </c>
      <c r="E435" s="11">
        <v>-0.3</v>
      </c>
      <c r="F435" s="11">
        <f t="shared" si="352"/>
        <v>0.19999999999999998</v>
      </c>
      <c r="G435" s="13">
        <f t="shared" ref="G435:G438" si="354">(F435*B435)/2</f>
        <v>18.0441</v>
      </c>
      <c r="H435" s="13"/>
      <c r="I435" s="13"/>
      <c r="J435" s="20"/>
      <c r="K435" s="20"/>
      <c r="L435" s="20"/>
      <c r="M435" s="20"/>
      <c r="N435" s="20"/>
      <c r="O435" s="13"/>
      <c r="P435" s="13"/>
      <c r="Q435" s="13"/>
      <c r="R435" s="13"/>
      <c r="S435" s="13"/>
      <c r="T435" s="13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18"/>
      <c r="AF435" s="18"/>
      <c r="AG435" s="18"/>
      <c r="AH435" s="18"/>
      <c r="AI435" s="18"/>
      <c r="AJ435" s="18"/>
      <c r="AK435" s="33"/>
      <c r="AL435" s="34"/>
    </row>
    <row r="436" spans="1:38" ht="15.6" customHeight="1" x14ac:dyDescent="0.25">
      <c r="A436" s="8" t="s">
        <v>583</v>
      </c>
      <c r="B436" s="13">
        <v>169.50399999999999</v>
      </c>
      <c r="C436" s="13">
        <v>-0.1</v>
      </c>
      <c r="D436" s="13">
        <f t="shared" si="353"/>
        <v>-0.1</v>
      </c>
      <c r="E436" s="11">
        <v>-0.3</v>
      </c>
      <c r="F436" s="11">
        <f t="shared" si="352"/>
        <v>0.19999999999999998</v>
      </c>
      <c r="G436" s="13">
        <f>(F436*B436)</f>
        <v>33.900799999999997</v>
      </c>
      <c r="H436" s="13"/>
      <c r="I436" s="13"/>
      <c r="J436" s="20"/>
      <c r="K436" s="20"/>
      <c r="L436" s="20"/>
      <c r="M436" s="20"/>
      <c r="N436" s="20"/>
      <c r="O436" s="13"/>
      <c r="P436" s="13"/>
      <c r="Q436" s="13"/>
      <c r="R436" s="13"/>
      <c r="S436" s="13"/>
      <c r="T436" s="13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18"/>
      <c r="AF436" s="18"/>
      <c r="AG436" s="18"/>
      <c r="AH436" s="18"/>
      <c r="AI436" s="18"/>
      <c r="AJ436" s="18"/>
      <c r="AK436" s="33"/>
      <c r="AL436" s="34"/>
    </row>
    <row r="437" spans="1:38" ht="15.6" customHeight="1" x14ac:dyDescent="0.25">
      <c r="A437" s="8" t="s">
        <v>584</v>
      </c>
      <c r="B437" s="13">
        <f>169.504-71.07-13.497</f>
        <v>84.936999999999998</v>
      </c>
      <c r="C437" s="13">
        <f>E435</f>
        <v>-0.3</v>
      </c>
      <c r="D437" s="13">
        <f t="shared" si="353"/>
        <v>-0.3</v>
      </c>
      <c r="E437" s="11">
        <v>-0.4</v>
      </c>
      <c r="F437" s="11">
        <f t="shared" ref="F437:F438" si="355">D437-E437</f>
        <v>0.10000000000000003</v>
      </c>
      <c r="G437" s="13">
        <f t="shared" si="354"/>
        <v>4.2468500000000011</v>
      </c>
      <c r="H437" s="13"/>
      <c r="I437" s="13"/>
      <c r="J437" s="20"/>
      <c r="K437" s="20"/>
      <c r="L437" s="20"/>
      <c r="M437" s="20"/>
      <c r="N437" s="20"/>
      <c r="O437" s="13"/>
      <c r="P437" s="13"/>
      <c r="Q437" s="13"/>
      <c r="R437" s="13"/>
      <c r="S437" s="13"/>
      <c r="T437" s="13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18"/>
      <c r="AF437" s="18"/>
      <c r="AG437" s="18"/>
      <c r="AH437" s="18"/>
      <c r="AI437" s="18"/>
      <c r="AJ437" s="18"/>
      <c r="AK437" s="33"/>
      <c r="AL437" s="34"/>
    </row>
    <row r="438" spans="1:38" ht="15.6" customHeight="1" x14ac:dyDescent="0.25">
      <c r="A438" s="8" t="s">
        <v>585</v>
      </c>
      <c r="B438" s="13">
        <v>13.497</v>
      </c>
      <c r="C438" s="13">
        <f>E437</f>
        <v>-0.4</v>
      </c>
      <c r="D438" s="13">
        <f t="shared" si="353"/>
        <v>-0.4</v>
      </c>
      <c r="E438" s="11">
        <v>-0.6</v>
      </c>
      <c r="F438" s="11">
        <f t="shared" si="355"/>
        <v>0.19999999999999996</v>
      </c>
      <c r="G438" s="13">
        <f t="shared" si="354"/>
        <v>1.3496999999999997</v>
      </c>
      <c r="H438" s="13"/>
      <c r="I438" s="13"/>
      <c r="J438" s="20"/>
      <c r="K438" s="20"/>
      <c r="L438" s="20"/>
      <c r="M438" s="20"/>
      <c r="N438" s="20"/>
      <c r="O438" s="13"/>
      <c r="P438" s="13"/>
      <c r="Q438" s="13"/>
      <c r="R438" s="13"/>
      <c r="S438" s="13"/>
      <c r="T438" s="13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18"/>
      <c r="AF438" s="18"/>
      <c r="AG438" s="18"/>
      <c r="AH438" s="18"/>
      <c r="AI438" s="18"/>
      <c r="AJ438" s="18"/>
      <c r="AK438" s="33"/>
      <c r="AL438" s="34"/>
    </row>
    <row r="439" spans="1:38" ht="15.6" customHeight="1" x14ac:dyDescent="0.25">
      <c r="A439" s="8" t="s">
        <v>586</v>
      </c>
      <c r="B439" s="13">
        <f>169.504-30.248</f>
        <v>139.256</v>
      </c>
      <c r="C439" s="13">
        <f>E437</f>
        <v>-0.4</v>
      </c>
      <c r="D439" s="13">
        <f t="shared" si="353"/>
        <v>-0.4</v>
      </c>
      <c r="E439" s="11">
        <v>-0.7</v>
      </c>
      <c r="F439" s="11">
        <f t="shared" ref="F439:F444" si="356">D439-E439</f>
        <v>0.29999999999999993</v>
      </c>
      <c r="G439" s="13">
        <f>(F439*B439)/2</f>
        <v>20.888399999999994</v>
      </c>
      <c r="H439" s="13"/>
      <c r="I439" s="13"/>
      <c r="J439" s="20"/>
      <c r="K439" s="20"/>
      <c r="L439" s="20"/>
      <c r="M439" s="20"/>
      <c r="N439" s="20"/>
      <c r="O439" s="13"/>
      <c r="P439" s="13"/>
      <c r="Q439" s="13"/>
      <c r="R439" s="13"/>
      <c r="S439" s="13"/>
      <c r="T439" s="13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18"/>
      <c r="AF439" s="18"/>
      <c r="AG439" s="18"/>
      <c r="AH439" s="18"/>
      <c r="AI439" s="18"/>
      <c r="AJ439" s="18"/>
      <c r="AK439" s="33"/>
      <c r="AL439" s="34"/>
    </row>
    <row r="440" spans="1:38" ht="15.6" customHeight="1" x14ac:dyDescent="0.25">
      <c r="A440" s="8" t="s">
        <v>587</v>
      </c>
      <c r="B440" s="13">
        <v>30.248000000000001</v>
      </c>
      <c r="C440" s="13">
        <v>-0.4</v>
      </c>
      <c r="D440" s="13">
        <f t="shared" si="353"/>
        <v>-0.4</v>
      </c>
      <c r="E440" s="11">
        <v>-0.7</v>
      </c>
      <c r="F440" s="11">
        <f t="shared" si="356"/>
        <v>0.29999999999999993</v>
      </c>
      <c r="G440" s="13">
        <f>(F440*B440)</f>
        <v>9.0743999999999989</v>
      </c>
      <c r="H440" s="13"/>
      <c r="I440" s="13"/>
      <c r="J440" s="20"/>
      <c r="K440" s="20"/>
      <c r="L440" s="20"/>
      <c r="M440" s="20"/>
      <c r="N440" s="20"/>
      <c r="O440" s="13"/>
      <c r="P440" s="13"/>
      <c r="Q440" s="13"/>
      <c r="R440" s="13"/>
      <c r="S440" s="13"/>
      <c r="T440" s="13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18"/>
      <c r="AF440" s="18"/>
      <c r="AG440" s="18"/>
      <c r="AH440" s="18"/>
      <c r="AI440" s="18"/>
      <c r="AJ440" s="18"/>
      <c r="AK440" s="33"/>
      <c r="AL440" s="34"/>
    </row>
    <row r="441" spans="1:38" ht="15.6" customHeight="1" x14ac:dyDescent="0.25">
      <c r="A441" s="8" t="s">
        <v>588</v>
      </c>
      <c r="B441" s="13">
        <f>59.251-22.157</f>
        <v>37.093999999999994</v>
      </c>
      <c r="C441" s="13">
        <v>0</v>
      </c>
      <c r="D441" s="13">
        <f t="shared" si="353"/>
        <v>0</v>
      </c>
      <c r="E441" s="11">
        <v>-0.1</v>
      </c>
      <c r="F441" s="11">
        <f t="shared" si="356"/>
        <v>0.1</v>
      </c>
      <c r="G441" s="13">
        <f>(F441*B441)/2</f>
        <v>1.8546999999999998</v>
      </c>
      <c r="H441" s="13"/>
      <c r="I441" s="13"/>
      <c r="J441" s="20"/>
      <c r="K441" s="20"/>
      <c r="L441" s="20"/>
      <c r="M441" s="20"/>
      <c r="N441" s="20"/>
      <c r="O441" s="13"/>
      <c r="P441" s="13"/>
      <c r="Q441" s="13"/>
      <c r="R441" s="13"/>
      <c r="S441" s="13"/>
      <c r="T441" s="13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18"/>
      <c r="AF441" s="18"/>
      <c r="AG441" s="18"/>
      <c r="AH441" s="18"/>
      <c r="AI441" s="18"/>
      <c r="AJ441" s="18"/>
      <c r="AK441" s="33"/>
      <c r="AL441" s="34"/>
    </row>
    <row r="442" spans="1:38" ht="15.6" customHeight="1" x14ac:dyDescent="0.25">
      <c r="A442" s="8" t="s">
        <v>589</v>
      </c>
      <c r="B442" s="13">
        <v>22.157</v>
      </c>
      <c r="C442" s="13">
        <v>0</v>
      </c>
      <c r="D442" s="13">
        <f t="shared" si="353"/>
        <v>0</v>
      </c>
      <c r="E442" s="11">
        <v>-0.1</v>
      </c>
      <c r="F442" s="11">
        <f t="shared" si="356"/>
        <v>0.1</v>
      </c>
      <c r="G442" s="13">
        <f>(F442*B442)</f>
        <v>2.2157</v>
      </c>
      <c r="H442" s="13"/>
      <c r="I442" s="13"/>
      <c r="J442" s="20"/>
      <c r="K442" s="20"/>
      <c r="L442" s="20"/>
      <c r="M442" s="20"/>
      <c r="N442" s="20"/>
      <c r="O442" s="13"/>
      <c r="P442" s="13"/>
      <c r="Q442" s="13"/>
      <c r="R442" s="13"/>
      <c r="S442" s="13"/>
      <c r="T442" s="13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18"/>
      <c r="AF442" s="18"/>
      <c r="AG442" s="18"/>
      <c r="AH442" s="18"/>
      <c r="AI442" s="18"/>
      <c r="AJ442" s="18"/>
      <c r="AK442" s="33"/>
      <c r="AL442" s="34"/>
    </row>
    <row r="443" spans="1:38" ht="15.6" customHeight="1" x14ac:dyDescent="0.25">
      <c r="A443" s="8" t="s">
        <v>590</v>
      </c>
      <c r="B443" s="13">
        <f>22.517-4.793</f>
        <v>17.724</v>
      </c>
      <c r="C443" s="13">
        <f>E442</f>
        <v>-0.1</v>
      </c>
      <c r="D443" s="13">
        <f t="shared" si="353"/>
        <v>-0.1</v>
      </c>
      <c r="E443" s="11">
        <v>-0.2</v>
      </c>
      <c r="F443" s="11">
        <f t="shared" si="356"/>
        <v>0.1</v>
      </c>
      <c r="G443" s="13">
        <f t="shared" ref="G443:G444" si="357">(F443*B443)/2</f>
        <v>0.8862000000000001</v>
      </c>
      <c r="H443" s="13"/>
      <c r="I443" s="13"/>
      <c r="J443" s="20"/>
      <c r="K443" s="20"/>
      <c r="L443" s="20"/>
      <c r="M443" s="20"/>
      <c r="N443" s="20"/>
      <c r="O443" s="13"/>
      <c r="P443" s="13"/>
      <c r="Q443" s="13"/>
      <c r="R443" s="13"/>
      <c r="S443" s="13"/>
      <c r="T443" s="13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18"/>
      <c r="AF443" s="18"/>
      <c r="AG443" s="18"/>
      <c r="AH443" s="18"/>
      <c r="AI443" s="18"/>
      <c r="AJ443" s="18"/>
      <c r="AK443" s="33"/>
      <c r="AL443" s="34"/>
    </row>
    <row r="444" spans="1:38" ht="15.6" customHeight="1" x14ac:dyDescent="0.25">
      <c r="A444" s="8" t="s">
        <v>591</v>
      </c>
      <c r="B444" s="13">
        <v>4.7930000000000001</v>
      </c>
      <c r="C444" s="13">
        <v>-0.2</v>
      </c>
      <c r="D444" s="13">
        <f t="shared" si="353"/>
        <v>-0.2</v>
      </c>
      <c r="E444" s="11">
        <v>-0.3</v>
      </c>
      <c r="F444" s="11">
        <f t="shared" si="356"/>
        <v>9.9999999999999978E-2</v>
      </c>
      <c r="G444" s="13">
        <f t="shared" si="357"/>
        <v>0.23964999999999995</v>
      </c>
      <c r="H444" s="13"/>
      <c r="I444" s="13"/>
      <c r="J444" s="20"/>
      <c r="K444" s="20"/>
      <c r="L444" s="20"/>
      <c r="M444" s="20"/>
      <c r="N444" s="20"/>
      <c r="O444" s="13"/>
      <c r="P444" s="13"/>
      <c r="Q444" s="13"/>
      <c r="R444" s="13"/>
      <c r="S444" s="13"/>
      <c r="T444" s="13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18"/>
      <c r="AF444" s="18"/>
      <c r="AG444" s="18"/>
      <c r="AH444" s="18"/>
      <c r="AI444" s="18"/>
      <c r="AJ444" s="18"/>
      <c r="AK444" s="33"/>
      <c r="AL444" s="34"/>
    </row>
    <row r="445" spans="1:38" ht="15.6" customHeight="1" x14ac:dyDescent="0.25">
      <c r="A445" s="8" t="s">
        <v>592</v>
      </c>
      <c r="B445" s="13">
        <f>129.976-114.251</f>
        <v>15.724999999999994</v>
      </c>
      <c r="C445" s="13">
        <v>0</v>
      </c>
      <c r="D445" s="13">
        <f t="shared" si="353"/>
        <v>0</v>
      </c>
      <c r="E445" s="11">
        <v>-0.11</v>
      </c>
      <c r="F445" s="11">
        <f t="shared" ref="F445:F454" si="358">D445-E445</f>
        <v>0.11</v>
      </c>
      <c r="G445" s="13">
        <f t="shared" ref="G445:G454" si="359">(F445*B445)/2</f>
        <v>0.86487499999999973</v>
      </c>
      <c r="H445" s="13"/>
      <c r="I445" s="13"/>
      <c r="J445" s="20"/>
      <c r="K445" s="20"/>
      <c r="L445" s="20"/>
      <c r="M445" s="20"/>
      <c r="N445" s="20"/>
      <c r="O445" s="13"/>
      <c r="P445" s="13"/>
      <c r="Q445" s="13"/>
      <c r="R445" s="13"/>
      <c r="S445" s="13"/>
      <c r="T445" s="13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18"/>
      <c r="AF445" s="18"/>
      <c r="AG445" s="18"/>
      <c r="AH445" s="18"/>
      <c r="AI445" s="18"/>
      <c r="AJ445" s="18"/>
      <c r="AK445" s="33"/>
      <c r="AL445" s="34"/>
    </row>
    <row r="446" spans="1:38" ht="15.6" customHeight="1" x14ac:dyDescent="0.25">
      <c r="A446" s="8" t="s">
        <v>593</v>
      </c>
      <c r="B446" s="13">
        <v>114.251</v>
      </c>
      <c r="C446" s="13">
        <v>0</v>
      </c>
      <c r="D446" s="13">
        <f t="shared" si="353"/>
        <v>0</v>
      </c>
      <c r="E446" s="11">
        <v>-0.11</v>
      </c>
      <c r="F446" s="11">
        <f t="shared" si="358"/>
        <v>0.11</v>
      </c>
      <c r="G446" s="13">
        <f>(F446*B446)</f>
        <v>12.56761</v>
      </c>
      <c r="H446" s="13"/>
      <c r="I446" s="13"/>
      <c r="J446" s="20"/>
      <c r="K446" s="20"/>
      <c r="L446" s="20"/>
      <c r="M446" s="20"/>
      <c r="N446" s="20"/>
      <c r="O446" s="13"/>
      <c r="P446" s="13"/>
      <c r="Q446" s="13"/>
      <c r="R446" s="13"/>
      <c r="S446" s="13"/>
      <c r="T446" s="13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18"/>
      <c r="AF446" s="18"/>
      <c r="AG446" s="18"/>
      <c r="AH446" s="18"/>
      <c r="AI446" s="18"/>
      <c r="AJ446" s="18"/>
      <c r="AK446" s="33"/>
      <c r="AL446" s="34"/>
    </row>
    <row r="447" spans="1:38" ht="15.6" customHeight="1" x14ac:dyDescent="0.25">
      <c r="A447" s="8" t="s">
        <v>594</v>
      </c>
      <c r="B447" s="13">
        <f>114.251-94.184</f>
        <v>20.067000000000007</v>
      </c>
      <c r="C447" s="13">
        <v>-0.11</v>
      </c>
      <c r="D447" s="13">
        <f t="shared" si="353"/>
        <v>-0.11</v>
      </c>
      <c r="E447" s="11">
        <v>-0.2</v>
      </c>
      <c r="F447" s="11">
        <f t="shared" si="358"/>
        <v>9.0000000000000011E-2</v>
      </c>
      <c r="G447" s="13">
        <f t="shared" si="359"/>
        <v>0.90301500000000046</v>
      </c>
      <c r="H447" s="13"/>
      <c r="I447" s="13"/>
      <c r="J447" s="20"/>
      <c r="K447" s="20"/>
      <c r="L447" s="20"/>
      <c r="M447" s="20"/>
      <c r="N447" s="20"/>
      <c r="O447" s="13"/>
      <c r="P447" s="13"/>
      <c r="Q447" s="13"/>
      <c r="R447" s="13"/>
      <c r="S447" s="13"/>
      <c r="T447" s="13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18"/>
      <c r="AF447" s="18"/>
      <c r="AG447" s="18"/>
      <c r="AH447" s="18"/>
      <c r="AI447" s="18"/>
      <c r="AJ447" s="18"/>
      <c r="AK447" s="33"/>
      <c r="AL447" s="34"/>
    </row>
    <row r="448" spans="1:38" ht="15.6" customHeight="1" x14ac:dyDescent="0.25">
      <c r="A448" s="8" t="s">
        <v>595</v>
      </c>
      <c r="B448" s="13">
        <v>94.183999999999997</v>
      </c>
      <c r="C448" s="13">
        <v>-0.11</v>
      </c>
      <c r="D448" s="13">
        <f t="shared" si="353"/>
        <v>-0.11</v>
      </c>
      <c r="E448" s="11">
        <v>-0.2</v>
      </c>
      <c r="F448" s="11">
        <f t="shared" si="358"/>
        <v>9.0000000000000011E-2</v>
      </c>
      <c r="G448" s="13">
        <f>(F448*B448)</f>
        <v>8.476560000000001</v>
      </c>
      <c r="H448" s="13"/>
      <c r="I448" s="13"/>
      <c r="J448" s="20"/>
      <c r="K448" s="20"/>
      <c r="L448" s="20"/>
      <c r="M448" s="20"/>
      <c r="N448" s="20"/>
      <c r="O448" s="13"/>
      <c r="P448" s="13"/>
      <c r="Q448" s="13"/>
      <c r="R448" s="13"/>
      <c r="S448" s="13"/>
      <c r="T448" s="13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18"/>
      <c r="AF448" s="18"/>
      <c r="AG448" s="18"/>
      <c r="AH448" s="18"/>
      <c r="AI448" s="18"/>
      <c r="AJ448" s="18"/>
      <c r="AK448" s="33"/>
      <c r="AL448" s="34"/>
    </row>
    <row r="449" spans="1:38" ht="15.6" customHeight="1" x14ac:dyDescent="0.25">
      <c r="A449" s="8" t="s">
        <v>596</v>
      </c>
      <c r="B449" s="13">
        <f>94.184-67.489</f>
        <v>26.694999999999993</v>
      </c>
      <c r="C449" s="13">
        <v>-0.2</v>
      </c>
      <c r="D449" s="13">
        <f t="shared" si="353"/>
        <v>-0.2</v>
      </c>
      <c r="E449" s="11">
        <v>-0.3</v>
      </c>
      <c r="F449" s="11">
        <f t="shared" si="358"/>
        <v>9.9999999999999978E-2</v>
      </c>
      <c r="G449" s="13">
        <f t="shared" si="359"/>
        <v>1.3347499999999994</v>
      </c>
      <c r="H449" s="13"/>
      <c r="I449" s="13"/>
      <c r="J449" s="20"/>
      <c r="K449" s="20"/>
      <c r="L449" s="20"/>
      <c r="M449" s="20"/>
      <c r="N449" s="20"/>
      <c r="O449" s="13"/>
      <c r="P449" s="13"/>
      <c r="Q449" s="13"/>
      <c r="R449" s="13"/>
      <c r="S449" s="13"/>
      <c r="T449" s="13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18"/>
      <c r="AF449" s="18"/>
      <c r="AG449" s="18"/>
      <c r="AH449" s="18"/>
      <c r="AI449" s="18"/>
      <c r="AJ449" s="18"/>
      <c r="AK449" s="33"/>
      <c r="AL449" s="34"/>
    </row>
    <row r="450" spans="1:38" ht="15.6" customHeight="1" x14ac:dyDescent="0.25">
      <c r="A450" s="8" t="s">
        <v>597</v>
      </c>
      <c r="B450" s="13">
        <v>67.489000000000004</v>
      </c>
      <c r="C450" s="13">
        <v>-0.2</v>
      </c>
      <c r="D450" s="13">
        <f t="shared" si="353"/>
        <v>-0.2</v>
      </c>
      <c r="E450" s="11">
        <v>-0.3</v>
      </c>
      <c r="F450" s="11">
        <f t="shared" si="358"/>
        <v>9.9999999999999978E-2</v>
      </c>
      <c r="G450" s="13">
        <f>(F450*B450)</f>
        <v>6.748899999999999</v>
      </c>
      <c r="H450" s="13"/>
      <c r="I450" s="13"/>
      <c r="J450" s="20"/>
      <c r="K450" s="20"/>
      <c r="L450" s="20"/>
      <c r="M450" s="20"/>
      <c r="N450" s="20"/>
      <c r="O450" s="13"/>
      <c r="P450" s="13"/>
      <c r="Q450" s="13"/>
      <c r="R450" s="13"/>
      <c r="S450" s="13"/>
      <c r="T450" s="13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18"/>
      <c r="AF450" s="18"/>
      <c r="AG450" s="18"/>
      <c r="AH450" s="18"/>
      <c r="AI450" s="18"/>
      <c r="AJ450" s="18"/>
      <c r="AK450" s="33"/>
      <c r="AL450" s="34"/>
    </row>
    <row r="451" spans="1:38" ht="15.6" customHeight="1" x14ac:dyDescent="0.25">
      <c r="A451" s="8" t="s">
        <v>598</v>
      </c>
      <c r="B451" s="13">
        <f>67.489-19.502</f>
        <v>47.987000000000009</v>
      </c>
      <c r="C451" s="13">
        <v>-0.3</v>
      </c>
      <c r="D451" s="13">
        <f t="shared" si="353"/>
        <v>-0.3</v>
      </c>
      <c r="E451" s="11">
        <v>-0.4</v>
      </c>
      <c r="F451" s="11">
        <f t="shared" si="358"/>
        <v>0.10000000000000003</v>
      </c>
      <c r="G451" s="13">
        <f t="shared" si="359"/>
        <v>2.3993500000000014</v>
      </c>
      <c r="H451" s="13"/>
      <c r="I451" s="13"/>
      <c r="J451" s="20"/>
      <c r="K451" s="20"/>
      <c r="L451" s="20"/>
      <c r="M451" s="20"/>
      <c r="N451" s="20"/>
      <c r="O451" s="13"/>
      <c r="P451" s="13"/>
      <c r="Q451" s="13"/>
      <c r="R451" s="13"/>
      <c r="S451" s="13"/>
      <c r="T451" s="13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18"/>
      <c r="AF451" s="18"/>
      <c r="AG451" s="18"/>
      <c r="AH451" s="18"/>
      <c r="AI451" s="18"/>
      <c r="AJ451" s="18"/>
      <c r="AK451" s="33"/>
      <c r="AL451" s="34"/>
    </row>
    <row r="452" spans="1:38" ht="15.6" customHeight="1" x14ac:dyDescent="0.25">
      <c r="A452" s="8" t="s">
        <v>599</v>
      </c>
      <c r="B452" s="13">
        <v>19.501999999999999</v>
      </c>
      <c r="C452" s="13">
        <v>-0.3</v>
      </c>
      <c r="D452" s="13">
        <f t="shared" si="353"/>
        <v>-0.3</v>
      </c>
      <c r="E452" s="11">
        <v>-0.4</v>
      </c>
      <c r="F452" s="11">
        <f t="shared" si="358"/>
        <v>0.10000000000000003</v>
      </c>
      <c r="G452" s="13">
        <f>(F452*B452)</f>
        <v>1.9502000000000006</v>
      </c>
      <c r="H452" s="13"/>
      <c r="I452" s="13"/>
      <c r="J452" s="20"/>
      <c r="K452" s="20"/>
      <c r="L452" s="20"/>
      <c r="M452" s="20"/>
      <c r="N452" s="20"/>
      <c r="O452" s="13"/>
      <c r="P452" s="13"/>
      <c r="Q452" s="13"/>
      <c r="R452" s="13"/>
      <c r="S452" s="13"/>
      <c r="T452" s="13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18"/>
      <c r="AF452" s="18"/>
      <c r="AG452" s="18"/>
      <c r="AH452" s="18"/>
      <c r="AI452" s="18"/>
      <c r="AJ452" s="18"/>
      <c r="AK452" s="33"/>
      <c r="AL452" s="34"/>
    </row>
    <row r="453" spans="1:38" ht="15.6" customHeight="1" x14ac:dyDescent="0.25">
      <c r="A453" s="8" t="s">
        <v>600</v>
      </c>
      <c r="B453" s="13">
        <f>19.5/2</f>
        <v>9.75</v>
      </c>
      <c r="C453" s="13">
        <v>-0.4</v>
      </c>
      <c r="D453" s="13">
        <f t="shared" si="353"/>
        <v>-0.4</v>
      </c>
      <c r="E453" s="11">
        <v>-0.5</v>
      </c>
      <c r="F453" s="11">
        <f t="shared" si="358"/>
        <v>9.9999999999999978E-2</v>
      </c>
      <c r="G453" s="13">
        <f>(F453*B453)</f>
        <v>0.97499999999999976</v>
      </c>
      <c r="H453" s="13"/>
      <c r="I453" s="13"/>
      <c r="J453" s="20"/>
      <c r="K453" s="20"/>
      <c r="L453" s="20"/>
      <c r="M453" s="20"/>
      <c r="N453" s="20"/>
      <c r="O453" s="13"/>
      <c r="P453" s="13"/>
      <c r="Q453" s="13"/>
      <c r="R453" s="13"/>
      <c r="S453" s="13"/>
      <c r="T453" s="13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18"/>
      <c r="AF453" s="18"/>
      <c r="AG453" s="18"/>
      <c r="AH453" s="18"/>
      <c r="AI453" s="18"/>
      <c r="AJ453" s="18"/>
      <c r="AK453" s="33"/>
      <c r="AL453" s="34"/>
    </row>
    <row r="454" spans="1:38" ht="15.6" customHeight="1" x14ac:dyDescent="0.25">
      <c r="A454" s="8" t="s">
        <v>601</v>
      </c>
      <c r="B454" s="13">
        <f>79.905-68.308</f>
        <v>11.596999999999994</v>
      </c>
      <c r="C454" s="13">
        <v>0</v>
      </c>
      <c r="D454" s="13">
        <f t="shared" si="353"/>
        <v>0</v>
      </c>
      <c r="E454" s="11">
        <v>-0.1</v>
      </c>
      <c r="F454" s="11">
        <f t="shared" si="358"/>
        <v>0.1</v>
      </c>
      <c r="G454" s="13">
        <f t="shared" si="359"/>
        <v>0.57984999999999975</v>
      </c>
      <c r="H454" s="13"/>
      <c r="I454" s="13"/>
      <c r="J454" s="20"/>
      <c r="K454" s="20"/>
      <c r="L454" s="20"/>
      <c r="M454" s="20"/>
      <c r="N454" s="20"/>
      <c r="O454" s="13"/>
      <c r="P454" s="13"/>
      <c r="Q454" s="13"/>
      <c r="R454" s="13"/>
      <c r="S454" s="13"/>
      <c r="T454" s="13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18"/>
      <c r="AF454" s="18"/>
      <c r="AG454" s="18"/>
      <c r="AH454" s="18"/>
      <c r="AI454" s="18"/>
      <c r="AJ454" s="18"/>
      <c r="AK454" s="33"/>
      <c r="AL454" s="34"/>
    </row>
    <row r="455" spans="1:38" ht="15.6" customHeight="1" x14ac:dyDescent="0.25">
      <c r="A455" s="8" t="s">
        <v>602</v>
      </c>
      <c r="B455" s="13">
        <v>68.308000000000007</v>
      </c>
      <c r="C455" s="13">
        <v>0</v>
      </c>
      <c r="D455" s="13">
        <f t="shared" si="353"/>
        <v>0</v>
      </c>
      <c r="E455" s="11">
        <v>-0.1</v>
      </c>
      <c r="F455" s="11">
        <f t="shared" ref="F455:F461" si="360">D455-E455</f>
        <v>0.1</v>
      </c>
      <c r="G455" s="13">
        <f>(F455*B455)</f>
        <v>6.8308000000000009</v>
      </c>
      <c r="H455" s="13"/>
      <c r="I455" s="13"/>
      <c r="J455" s="20"/>
      <c r="K455" s="20"/>
      <c r="L455" s="20"/>
      <c r="M455" s="20"/>
      <c r="N455" s="20"/>
      <c r="O455" s="13"/>
      <c r="P455" s="13"/>
      <c r="Q455" s="13"/>
      <c r="R455" s="13"/>
      <c r="S455" s="13"/>
      <c r="T455" s="13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18"/>
      <c r="AF455" s="18"/>
      <c r="AG455" s="18"/>
      <c r="AH455" s="18"/>
      <c r="AI455" s="18"/>
      <c r="AJ455" s="18"/>
      <c r="AK455" s="33"/>
      <c r="AL455" s="34"/>
    </row>
    <row r="456" spans="1:38" ht="15.6" customHeight="1" x14ac:dyDescent="0.25">
      <c r="A456" s="8" t="s">
        <v>603</v>
      </c>
      <c r="B456" s="13">
        <f>68.31-53.607</f>
        <v>14.703000000000003</v>
      </c>
      <c r="C456" s="13">
        <v>-0.1</v>
      </c>
      <c r="D456" s="13">
        <f t="shared" si="353"/>
        <v>-0.1</v>
      </c>
      <c r="E456" s="11">
        <v>-0.2</v>
      </c>
      <c r="F456" s="11">
        <f t="shared" si="360"/>
        <v>0.1</v>
      </c>
      <c r="G456" s="13">
        <f t="shared" ref="G456:G461" si="361">(F456*B456)/2</f>
        <v>0.73515000000000019</v>
      </c>
      <c r="H456" s="13"/>
      <c r="I456" s="13"/>
      <c r="J456" s="20"/>
      <c r="K456" s="20"/>
      <c r="L456" s="20"/>
      <c r="M456" s="20"/>
      <c r="N456" s="20"/>
      <c r="O456" s="13"/>
      <c r="P456" s="13"/>
      <c r="Q456" s="13"/>
      <c r="R456" s="13"/>
      <c r="S456" s="13"/>
      <c r="T456" s="13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18"/>
      <c r="AF456" s="18"/>
      <c r="AG456" s="18"/>
      <c r="AH456" s="18"/>
      <c r="AI456" s="18"/>
      <c r="AJ456" s="18"/>
      <c r="AK456" s="33"/>
      <c r="AL456" s="34"/>
    </row>
    <row r="457" spans="1:38" ht="15.6" customHeight="1" x14ac:dyDescent="0.25">
      <c r="A457" s="8" t="s">
        <v>604</v>
      </c>
      <c r="B457" s="13">
        <v>53.606999999999999</v>
      </c>
      <c r="C457" s="13">
        <v>-0.1</v>
      </c>
      <c r="D457" s="13">
        <f t="shared" si="353"/>
        <v>-0.1</v>
      </c>
      <c r="E457" s="11">
        <v>-0.2</v>
      </c>
      <c r="F457" s="11">
        <f t="shared" si="360"/>
        <v>0.1</v>
      </c>
      <c r="G457" s="13">
        <f>(F457*B457)</f>
        <v>5.3607000000000005</v>
      </c>
      <c r="H457" s="13"/>
      <c r="I457" s="13"/>
      <c r="J457" s="20"/>
      <c r="K457" s="20"/>
      <c r="L457" s="20"/>
      <c r="M457" s="20"/>
      <c r="N457" s="20"/>
      <c r="O457" s="13"/>
      <c r="P457" s="13"/>
      <c r="Q457" s="13"/>
      <c r="R457" s="13"/>
      <c r="S457" s="13"/>
      <c r="T457" s="13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18"/>
      <c r="AF457" s="18"/>
      <c r="AG457" s="18"/>
      <c r="AH457" s="18"/>
      <c r="AI457" s="18"/>
      <c r="AJ457" s="18"/>
      <c r="AK457" s="33"/>
      <c r="AL457" s="34"/>
    </row>
    <row r="458" spans="1:38" ht="15.6" customHeight="1" x14ac:dyDescent="0.25">
      <c r="A458" s="8" t="s">
        <v>605</v>
      </c>
      <c r="B458" s="13">
        <f>53.61-34.489</f>
        <v>19.121000000000002</v>
      </c>
      <c r="C458" s="13">
        <v>-0.2</v>
      </c>
      <c r="D458" s="13">
        <f t="shared" si="353"/>
        <v>-0.2</v>
      </c>
      <c r="E458" s="11">
        <v>-0.3</v>
      </c>
      <c r="F458" s="11">
        <f t="shared" si="360"/>
        <v>9.9999999999999978E-2</v>
      </c>
      <c r="G458" s="13">
        <f t="shared" si="361"/>
        <v>0.95604999999999984</v>
      </c>
      <c r="H458" s="13"/>
      <c r="I458" s="13"/>
      <c r="J458" s="20"/>
      <c r="K458" s="20"/>
      <c r="L458" s="20"/>
      <c r="M458" s="20"/>
      <c r="N458" s="20"/>
      <c r="O458" s="13"/>
      <c r="P458" s="13"/>
      <c r="Q458" s="13"/>
      <c r="R458" s="13"/>
      <c r="S458" s="13"/>
      <c r="T458" s="13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18"/>
      <c r="AF458" s="18"/>
      <c r="AG458" s="18"/>
      <c r="AH458" s="18"/>
      <c r="AI458" s="18"/>
      <c r="AJ458" s="18"/>
      <c r="AK458" s="33"/>
      <c r="AL458" s="34"/>
    </row>
    <row r="459" spans="1:38" ht="15.6" customHeight="1" x14ac:dyDescent="0.25">
      <c r="A459" s="8" t="s">
        <v>606</v>
      </c>
      <c r="B459" s="13">
        <v>34.488999999999997</v>
      </c>
      <c r="C459" s="13">
        <v>-0.2</v>
      </c>
      <c r="D459" s="13">
        <f t="shared" si="353"/>
        <v>-0.2</v>
      </c>
      <c r="E459" s="11">
        <v>-0.3</v>
      </c>
      <c r="F459" s="11">
        <f t="shared" si="360"/>
        <v>9.9999999999999978E-2</v>
      </c>
      <c r="G459" s="13">
        <f>(F459*B459)</f>
        <v>3.4488999999999987</v>
      </c>
      <c r="H459" s="13"/>
      <c r="I459" s="13"/>
      <c r="J459" s="20"/>
      <c r="K459" s="20"/>
      <c r="L459" s="20"/>
      <c r="M459" s="20"/>
      <c r="N459" s="20"/>
      <c r="O459" s="13"/>
      <c r="P459" s="13"/>
      <c r="Q459" s="13"/>
      <c r="R459" s="13"/>
      <c r="S459" s="13"/>
      <c r="T459" s="13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18"/>
      <c r="AF459" s="18"/>
      <c r="AG459" s="18"/>
      <c r="AH459" s="18"/>
      <c r="AI459" s="18"/>
      <c r="AJ459" s="18"/>
      <c r="AK459" s="33"/>
      <c r="AL459" s="34"/>
    </row>
    <row r="460" spans="1:38" ht="15.6" customHeight="1" x14ac:dyDescent="0.25">
      <c r="A460" s="8" t="s">
        <v>607</v>
      </c>
      <c r="B460" s="13">
        <f>34.49-2.355</f>
        <v>32.135000000000005</v>
      </c>
      <c r="C460" s="13">
        <v>-0.3</v>
      </c>
      <c r="D460" s="13">
        <f t="shared" si="353"/>
        <v>-0.3</v>
      </c>
      <c r="E460" s="11">
        <v>-0.4</v>
      </c>
      <c r="F460" s="11">
        <f t="shared" si="360"/>
        <v>0.10000000000000003</v>
      </c>
      <c r="G460" s="13">
        <f t="shared" si="361"/>
        <v>1.6067500000000008</v>
      </c>
      <c r="H460" s="13"/>
      <c r="I460" s="13"/>
      <c r="J460" s="20"/>
      <c r="K460" s="20"/>
      <c r="L460" s="20"/>
      <c r="M460" s="20"/>
      <c r="N460" s="20"/>
      <c r="O460" s="13"/>
      <c r="P460" s="13"/>
      <c r="Q460" s="13"/>
      <c r="R460" s="13"/>
      <c r="S460" s="13"/>
      <c r="T460" s="13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18"/>
      <c r="AF460" s="18"/>
      <c r="AG460" s="18"/>
      <c r="AH460" s="18"/>
      <c r="AI460" s="18"/>
      <c r="AJ460" s="18"/>
      <c r="AK460" s="33"/>
      <c r="AL460" s="34"/>
    </row>
    <row r="461" spans="1:38" ht="15.6" customHeight="1" x14ac:dyDescent="0.25">
      <c r="A461" s="8" t="s">
        <v>608</v>
      </c>
      <c r="B461" s="13">
        <v>2.355</v>
      </c>
      <c r="C461" s="13">
        <v>-0.3</v>
      </c>
      <c r="D461" s="13">
        <f t="shared" si="353"/>
        <v>-0.3</v>
      </c>
      <c r="E461" s="11">
        <v>-0.4</v>
      </c>
      <c r="F461" s="11">
        <f t="shared" si="360"/>
        <v>0.10000000000000003</v>
      </c>
      <c r="G461" s="13">
        <f t="shared" si="361"/>
        <v>0.11775000000000004</v>
      </c>
      <c r="H461" s="13"/>
      <c r="I461" s="13"/>
      <c r="J461" s="20"/>
      <c r="K461" s="20"/>
      <c r="L461" s="20"/>
      <c r="M461" s="20"/>
      <c r="N461" s="20"/>
      <c r="O461" s="13"/>
      <c r="P461" s="13"/>
      <c r="Q461" s="13"/>
      <c r="R461" s="13"/>
      <c r="S461" s="13"/>
      <c r="T461" s="13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18"/>
      <c r="AF461" s="18"/>
      <c r="AG461" s="18"/>
      <c r="AH461" s="18"/>
      <c r="AI461" s="18"/>
      <c r="AJ461" s="18"/>
      <c r="AK461" s="33"/>
      <c r="AL461" s="34"/>
    </row>
    <row r="462" spans="1:38" ht="15.6" customHeight="1" x14ac:dyDescent="0.25">
      <c r="A462" s="8" t="s">
        <v>638</v>
      </c>
      <c r="B462" s="13">
        <v>770.43</v>
      </c>
      <c r="C462" s="13">
        <f>(0.085+0.005)/2</f>
        <v>4.5000000000000005E-2</v>
      </c>
      <c r="D462" s="13">
        <f t="shared" si="353"/>
        <v>4.5000000000000005E-2</v>
      </c>
      <c r="E462" s="11">
        <f>(-0.34+-0.45)/2</f>
        <v>-0.39500000000000002</v>
      </c>
      <c r="F462" s="11">
        <f t="shared" ref="F462" si="362">D462-E462</f>
        <v>0.44</v>
      </c>
      <c r="G462" s="13">
        <f>F462*B462</f>
        <v>338.98919999999998</v>
      </c>
      <c r="H462" s="13"/>
      <c r="I462" s="13"/>
      <c r="J462" s="20">
        <f>F462</f>
        <v>0.44</v>
      </c>
      <c r="K462" s="20">
        <f>B462</f>
        <v>770.43</v>
      </c>
      <c r="L462" s="31">
        <f>K462*J462</f>
        <v>338.98919999999998</v>
      </c>
      <c r="M462" s="31">
        <f>L462*1.8</f>
        <v>610.18056000000001</v>
      </c>
      <c r="N462" s="20"/>
      <c r="O462" s="13"/>
      <c r="P462" s="13"/>
      <c r="Q462" s="13"/>
      <c r="R462" s="13"/>
      <c r="S462" s="13"/>
      <c r="T462" s="13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18"/>
      <c r="AF462" s="18"/>
      <c r="AG462" s="18"/>
      <c r="AH462" s="18"/>
      <c r="AI462" s="18"/>
      <c r="AJ462" s="18"/>
      <c r="AK462" s="30"/>
    </row>
    <row r="463" spans="1:38" ht="15.6" customHeight="1" x14ac:dyDescent="0.25">
      <c r="A463" s="8"/>
      <c r="B463" s="13"/>
      <c r="C463" s="13"/>
      <c r="D463" s="13"/>
      <c r="E463" s="11"/>
      <c r="F463" s="11"/>
      <c r="G463" s="13"/>
      <c r="H463" s="13"/>
      <c r="I463" s="13"/>
      <c r="J463" s="20"/>
      <c r="K463" s="20"/>
      <c r="L463" s="20"/>
      <c r="M463" s="20"/>
      <c r="N463" s="20"/>
      <c r="O463" s="13"/>
      <c r="P463" s="13"/>
      <c r="Q463" s="13"/>
      <c r="R463" s="13"/>
      <c r="S463" s="13"/>
      <c r="T463" s="13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18"/>
      <c r="AF463" s="18"/>
      <c r="AG463" s="18"/>
      <c r="AH463" s="18"/>
      <c r="AI463" s="18"/>
      <c r="AJ463" s="18"/>
      <c r="AK463" s="30"/>
    </row>
    <row r="464" spans="1:38" ht="15.6" customHeight="1" x14ac:dyDescent="0.25">
      <c r="A464" s="8"/>
      <c r="B464" s="13"/>
      <c r="C464" s="13"/>
      <c r="D464" s="13"/>
      <c r="E464" s="11"/>
      <c r="F464" s="11"/>
      <c r="G464" s="13"/>
      <c r="H464" s="13"/>
      <c r="I464" s="13"/>
      <c r="J464" s="20"/>
      <c r="K464" s="20"/>
      <c r="L464" s="20"/>
      <c r="M464" s="20"/>
      <c r="N464" s="20"/>
      <c r="O464" s="13"/>
      <c r="P464" s="13"/>
      <c r="Q464" s="13"/>
      <c r="R464" s="13"/>
      <c r="S464" s="13"/>
      <c r="T464" s="13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18"/>
      <c r="AF464" s="18"/>
      <c r="AG464" s="18"/>
      <c r="AH464" s="18"/>
      <c r="AI464" s="18"/>
      <c r="AJ464" s="18"/>
      <c r="AK464" s="30"/>
    </row>
    <row r="465" spans="1:38" ht="15.6" customHeight="1" x14ac:dyDescent="0.25">
      <c r="A465" s="8"/>
      <c r="B465" s="13"/>
      <c r="C465" s="13"/>
      <c r="D465" s="13"/>
      <c r="E465" s="11"/>
      <c r="F465" s="11"/>
      <c r="G465" s="13"/>
      <c r="H465" s="13"/>
      <c r="I465" s="13"/>
      <c r="J465" s="20"/>
      <c r="K465" s="20"/>
      <c r="L465" s="20"/>
      <c r="M465" s="20"/>
      <c r="N465" s="20"/>
      <c r="O465" s="13"/>
      <c r="P465" s="13"/>
      <c r="Q465" s="13"/>
      <c r="R465" s="13"/>
      <c r="S465" s="13"/>
      <c r="T465" s="13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18"/>
      <c r="AF465" s="18"/>
      <c r="AG465" s="18"/>
      <c r="AH465" s="18"/>
      <c r="AI465" s="18"/>
      <c r="AJ465" s="18"/>
      <c r="AK465" s="30"/>
    </row>
    <row r="466" spans="1:38" ht="15.6" customHeight="1" x14ac:dyDescent="0.25">
      <c r="A466" s="8"/>
      <c r="B466" s="13"/>
      <c r="C466" s="13"/>
      <c r="D466" s="13"/>
      <c r="E466" s="11"/>
      <c r="F466" s="11"/>
      <c r="G466" s="13"/>
      <c r="H466" s="13"/>
      <c r="I466" s="13"/>
      <c r="J466" s="20"/>
      <c r="K466" s="20"/>
      <c r="L466" s="20"/>
      <c r="M466" s="20"/>
      <c r="N466" s="20"/>
      <c r="O466" s="13"/>
      <c r="P466" s="13"/>
      <c r="Q466" s="13"/>
      <c r="R466" s="13"/>
      <c r="S466" s="13"/>
      <c r="T466" s="13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18"/>
      <c r="AF466" s="18"/>
      <c r="AG466" s="18"/>
      <c r="AH466" s="18"/>
      <c r="AI466" s="18"/>
      <c r="AJ466" s="18"/>
      <c r="AK466" s="33"/>
      <c r="AL466" s="34"/>
    </row>
    <row r="467" spans="1:38" ht="15.6" customHeight="1" x14ac:dyDescent="0.25">
      <c r="A467" s="8"/>
      <c r="B467" s="13"/>
      <c r="C467" s="13"/>
      <c r="D467" s="13"/>
      <c r="E467" s="11"/>
      <c r="F467" s="11"/>
      <c r="G467" s="13"/>
      <c r="H467" s="13"/>
      <c r="I467" s="13"/>
      <c r="J467" s="20"/>
      <c r="K467" s="20"/>
      <c r="L467" s="20"/>
      <c r="M467" s="20"/>
      <c r="N467" s="20"/>
      <c r="O467" s="13"/>
      <c r="P467" s="13"/>
      <c r="Q467" s="13"/>
      <c r="R467" s="13"/>
      <c r="S467" s="13"/>
      <c r="T467" s="13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18"/>
      <c r="AF467" s="18"/>
      <c r="AG467" s="18"/>
      <c r="AH467" s="18"/>
      <c r="AI467" s="18"/>
      <c r="AJ467" s="18"/>
      <c r="AK467" s="33"/>
      <c r="AL467" s="34"/>
    </row>
    <row r="468" spans="1:38" ht="15.6" customHeight="1" x14ac:dyDescent="0.25">
      <c r="A468" s="8"/>
      <c r="B468" s="13"/>
      <c r="C468" s="13"/>
      <c r="D468" s="13"/>
      <c r="E468" s="11"/>
      <c r="F468" s="11"/>
      <c r="G468" s="13"/>
      <c r="H468" s="13"/>
      <c r="I468" s="13"/>
      <c r="J468" s="20"/>
      <c r="K468" s="20"/>
      <c r="L468" s="20"/>
      <c r="M468" s="20"/>
      <c r="N468" s="20"/>
      <c r="O468" s="13"/>
      <c r="P468" s="13"/>
      <c r="Q468" s="13"/>
      <c r="R468" s="13"/>
      <c r="S468" s="13"/>
      <c r="T468" s="13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18"/>
      <c r="AF468" s="18"/>
      <c r="AG468" s="18"/>
      <c r="AH468" s="18"/>
      <c r="AI468" s="18"/>
      <c r="AJ468" s="18"/>
      <c r="AK468" s="33"/>
      <c r="AL468" s="34"/>
    </row>
    <row r="469" spans="1:38" ht="15.6" customHeight="1" x14ac:dyDescent="0.25">
      <c r="A469" s="8"/>
      <c r="B469" s="13"/>
      <c r="C469" s="13"/>
      <c r="D469" s="13"/>
      <c r="E469" s="11"/>
      <c r="F469" s="11"/>
      <c r="G469" s="13"/>
      <c r="H469" s="13"/>
      <c r="I469" s="13"/>
      <c r="J469" s="20"/>
      <c r="K469" s="20"/>
      <c r="L469" s="20"/>
      <c r="M469" s="20"/>
      <c r="N469" s="20"/>
      <c r="O469" s="13"/>
      <c r="P469" s="13"/>
      <c r="Q469" s="13"/>
      <c r="R469" s="13"/>
      <c r="S469" s="13"/>
      <c r="T469" s="13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18"/>
      <c r="AF469" s="18"/>
      <c r="AG469" s="18"/>
      <c r="AH469" s="18"/>
      <c r="AI469" s="18"/>
      <c r="AJ469" s="18"/>
    </row>
    <row r="470" spans="1:38" ht="15.6" customHeight="1" x14ac:dyDescent="0.25"/>
    <row r="471" spans="1:38" ht="15.6" customHeight="1" thickBot="1" x14ac:dyDescent="0.3"/>
    <row r="472" spans="1:38" ht="13.8" thickBot="1" x14ac:dyDescent="0.3">
      <c r="J472" s="52" t="s">
        <v>316</v>
      </c>
      <c r="K472" s="53"/>
      <c r="L472" s="22">
        <f>SUM(L8:L471)</f>
        <v>624.80567999999994</v>
      </c>
      <c r="M472" s="24"/>
      <c r="N472" s="71" t="s">
        <v>317</v>
      </c>
      <c r="O472" s="72"/>
      <c r="P472" s="22">
        <f>SUM(P8:P471)</f>
        <v>1271.4148199999995</v>
      </c>
      <c r="Q472" s="24"/>
      <c r="R472" s="71" t="s">
        <v>318</v>
      </c>
      <c r="S472" s="72"/>
      <c r="T472" s="22">
        <f>SUM(T8:T471)</f>
        <v>115.57574999999999</v>
      </c>
      <c r="U472" s="73" t="s">
        <v>337</v>
      </c>
      <c r="V472" s="74"/>
      <c r="W472" s="22">
        <f>SUM(W8:W471)</f>
        <v>3810.61</v>
      </c>
      <c r="X472" s="21"/>
      <c r="Y472" s="71" t="s">
        <v>319</v>
      </c>
      <c r="Z472" s="72"/>
      <c r="AA472" s="22">
        <f>SUM(AA8:AA471)</f>
        <v>679.62400500000001</v>
      </c>
      <c r="AB472" s="71" t="s">
        <v>320</v>
      </c>
      <c r="AC472" s="72"/>
      <c r="AD472" s="22">
        <f>SUM(AD8:AD471)</f>
        <v>535.23112000000015</v>
      </c>
      <c r="AE472" s="25"/>
      <c r="AF472" s="25" t="s">
        <v>642</v>
      </c>
      <c r="AG472" s="25"/>
      <c r="AH472" s="25"/>
      <c r="AI472" s="25"/>
      <c r="AJ472" s="25"/>
    </row>
    <row r="473" spans="1:38" ht="13.8" thickBot="1" x14ac:dyDescent="0.3">
      <c r="J473" s="52" t="s">
        <v>353</v>
      </c>
      <c r="K473" s="53"/>
      <c r="L473" s="53"/>
      <c r="M473" s="22">
        <f>SUM(M8:M472)</f>
        <v>1153.2318720000001</v>
      </c>
      <c r="N473" s="52" t="s">
        <v>352</v>
      </c>
      <c r="O473" s="53"/>
      <c r="P473" s="53"/>
      <c r="Q473" s="22">
        <f>SUM(Q8:Q472)</f>
        <v>2161.4051940000004</v>
      </c>
      <c r="U473" s="52" t="s">
        <v>336</v>
      </c>
      <c r="V473" s="53"/>
      <c r="W473" s="53"/>
      <c r="X473" s="22">
        <f>SUM(X8:X472)</f>
        <v>6859.0980000000009</v>
      </c>
    </row>
    <row r="474" spans="1:38" x14ac:dyDescent="0.25">
      <c r="M474" s="32" t="s">
        <v>640</v>
      </c>
    </row>
    <row r="475" spans="1:38" x14ac:dyDescent="0.25">
      <c r="M475" s="32" t="s">
        <v>641</v>
      </c>
    </row>
  </sheetData>
  <sheetProtection algorithmName="SHA-512" hashValue="D2RBKE4PlHg5pJcXfZu67kp+HcuqHv+8mYY5yLceDhMStPhg5rbnom2NDSHTS7welmJa+Y16PZbXihyfCXr4SQ==" saltValue="6UXPGEOgyLYkoI3vUztGdQ==" spinCount="100000" sheet="1" objects="1" scenarios="1"/>
  <mergeCells count="183">
    <mergeCell ref="R472:S472"/>
    <mergeCell ref="U472:V472"/>
    <mergeCell ref="AK329:AL329"/>
    <mergeCell ref="AK330:AL330"/>
    <mergeCell ref="AK356:AL356"/>
    <mergeCell ref="AK357:AL357"/>
    <mergeCell ref="AK353:AL353"/>
    <mergeCell ref="AK354:AL354"/>
    <mergeCell ref="AK336:AL336"/>
    <mergeCell ref="AK337:AL337"/>
    <mergeCell ref="AK338:AL338"/>
    <mergeCell ref="AK339:AL339"/>
    <mergeCell ref="AK340:AL340"/>
    <mergeCell ref="AK361:AL361"/>
    <mergeCell ref="AK344:AL344"/>
    <mergeCell ref="AK362:AL362"/>
    <mergeCell ref="AK363:AL363"/>
    <mergeCell ref="AK364:AL364"/>
    <mergeCell ref="AK341:AL341"/>
    <mergeCell ref="AK455:AL455"/>
    <mergeCell ref="AK456:AL456"/>
    <mergeCell ref="AK457:AL457"/>
    <mergeCell ref="AK458:AL458"/>
    <mergeCell ref="AK459:AL459"/>
    <mergeCell ref="N473:P473"/>
    <mergeCell ref="J473:L473"/>
    <mergeCell ref="A1:G1"/>
    <mergeCell ref="A2:B2"/>
    <mergeCell ref="B3:B6"/>
    <mergeCell ref="C3:C6"/>
    <mergeCell ref="D3:D6"/>
    <mergeCell ref="F3:F6"/>
    <mergeCell ref="E3:E6"/>
    <mergeCell ref="G3:G6"/>
    <mergeCell ref="A4:A7"/>
    <mergeCell ref="J472:K472"/>
    <mergeCell ref="N472:O472"/>
    <mergeCell ref="AN10:AN11"/>
    <mergeCell ref="AM10:AM11"/>
    <mergeCell ref="AM12:AM14"/>
    <mergeCell ref="AN12:AN14"/>
    <mergeCell ref="AN16:AN17"/>
    <mergeCell ref="AM16:AM17"/>
    <mergeCell ref="Y4:AA6"/>
    <mergeCell ref="AB4:AD6"/>
    <mergeCell ref="U473:W473"/>
    <mergeCell ref="Y472:Z472"/>
    <mergeCell ref="AB472:AC472"/>
    <mergeCell ref="AK451:AL451"/>
    <mergeCell ref="AK452:AL452"/>
    <mergeCell ref="AK453:AL453"/>
    <mergeCell ref="AK434:AL434"/>
    <mergeCell ref="AK436:AL436"/>
    <mergeCell ref="AK438:AL438"/>
    <mergeCell ref="AK440:AL440"/>
    <mergeCell ref="AK317:AL317"/>
    <mergeCell ref="AK318:AL318"/>
    <mergeCell ref="AK319:AL319"/>
    <mergeCell ref="AK320:AL320"/>
    <mergeCell ref="AK321:AL321"/>
    <mergeCell ref="AE4:AG6"/>
    <mergeCell ref="AH4:AJ6"/>
    <mergeCell ref="J3:AJ3"/>
    <mergeCell ref="H3:H6"/>
    <mergeCell ref="I3:I6"/>
    <mergeCell ref="U4:X6"/>
    <mergeCell ref="J4:M6"/>
    <mergeCell ref="N4:Q6"/>
    <mergeCell ref="R4:T6"/>
    <mergeCell ref="AK323:AL323"/>
    <mergeCell ref="AK327:AL327"/>
    <mergeCell ref="AK331:AL331"/>
    <mergeCell ref="AK334:AL334"/>
    <mergeCell ref="AK335:AL335"/>
    <mergeCell ref="AK324:AL324"/>
    <mergeCell ref="AK325:AL325"/>
    <mergeCell ref="AK326:AL326"/>
    <mergeCell ref="AK328:AL328"/>
    <mergeCell ref="AK342:AL342"/>
    <mergeCell ref="AK467:AL467"/>
    <mergeCell ref="AK468:AL468"/>
    <mergeCell ref="AK345:AL345"/>
    <mergeCell ref="AK346:AL346"/>
    <mergeCell ref="AK347:AL347"/>
    <mergeCell ref="AK348:AL348"/>
    <mergeCell ref="AK349:AL349"/>
    <mergeCell ref="AK350:AL350"/>
    <mergeCell ref="AK351:AL351"/>
    <mergeCell ref="AK352:AL352"/>
    <mergeCell ref="AK355:AL355"/>
    <mergeCell ref="AK358:AL358"/>
    <mergeCell ref="AK359:AL359"/>
    <mergeCell ref="AK360:AL360"/>
    <mergeCell ref="AK454:AL454"/>
    <mergeCell ref="AK366:AL366"/>
    <mergeCell ref="AK367:AL367"/>
    <mergeCell ref="AK368:AL368"/>
    <mergeCell ref="AK369:AL369"/>
    <mergeCell ref="AK370:AL370"/>
    <mergeCell ref="AK372:AL372"/>
    <mergeCell ref="AK373:AL373"/>
    <mergeCell ref="AK374:AL374"/>
    <mergeCell ref="AK389:AL389"/>
    <mergeCell ref="AK390:AL390"/>
    <mergeCell ref="AK365:AL365"/>
    <mergeCell ref="AK378:AL378"/>
    <mergeCell ref="AK379:AL379"/>
    <mergeCell ref="AK380:AL380"/>
    <mergeCell ref="AK381:AL381"/>
    <mergeCell ref="AK397:AL397"/>
    <mergeCell ref="AK375:AL375"/>
    <mergeCell ref="AK376:AL376"/>
    <mergeCell ref="AK377:AL377"/>
    <mergeCell ref="AK382:AL382"/>
    <mergeCell ref="AK383:AL383"/>
    <mergeCell ref="AK384:AL384"/>
    <mergeCell ref="AK385:AL385"/>
    <mergeCell ref="AK386:AL386"/>
    <mergeCell ref="AK387:AL387"/>
    <mergeCell ref="AK371:AL371"/>
    <mergeCell ref="AK343:AL343"/>
    <mergeCell ref="AK322:AL322"/>
    <mergeCell ref="AK332:AL332"/>
    <mergeCell ref="AK333:AL333"/>
    <mergeCell ref="AK407:AL407"/>
    <mergeCell ref="AK408:AL408"/>
    <mergeCell ref="AK409:AL409"/>
    <mergeCell ref="AK410:AL410"/>
    <mergeCell ref="AK411:AL411"/>
    <mergeCell ref="AK402:AL402"/>
    <mergeCell ref="AK403:AL403"/>
    <mergeCell ref="AK404:AL404"/>
    <mergeCell ref="AK405:AL405"/>
    <mergeCell ref="AK406:AL406"/>
    <mergeCell ref="AK398:AL398"/>
    <mergeCell ref="AK399:AL399"/>
    <mergeCell ref="AK400:AL400"/>
    <mergeCell ref="AK401:AL401"/>
    <mergeCell ref="AK391:AL391"/>
    <mergeCell ref="AK392:AL392"/>
    <mergeCell ref="AK393:AL393"/>
    <mergeCell ref="AK394:AL394"/>
    <mergeCell ref="AK396:AL396"/>
    <mergeCell ref="AK388:AL388"/>
    <mergeCell ref="AK466:AL466"/>
    <mergeCell ref="AK395:AL395"/>
    <mergeCell ref="AK446:AL446"/>
    <mergeCell ref="AK447:AL447"/>
    <mergeCell ref="AK448:AL448"/>
    <mergeCell ref="AK449:AL449"/>
    <mergeCell ref="AK450:AL450"/>
    <mergeCell ref="AK441:AL441"/>
    <mergeCell ref="AK442:AL442"/>
    <mergeCell ref="AK443:AL443"/>
    <mergeCell ref="AK444:AL444"/>
    <mergeCell ref="AK445:AL445"/>
    <mergeCell ref="AK433:AL433"/>
    <mergeCell ref="AK435:AL435"/>
    <mergeCell ref="AK437:AL437"/>
    <mergeCell ref="AK439:AL439"/>
    <mergeCell ref="AK417:AL417"/>
    <mergeCell ref="AK412:AL412"/>
    <mergeCell ref="AK413:AL413"/>
    <mergeCell ref="AK414:AL414"/>
    <mergeCell ref="AK415:AL415"/>
    <mergeCell ref="AK416:AL416"/>
    <mergeCell ref="AK460:AL460"/>
    <mergeCell ref="AK461:AL461"/>
    <mergeCell ref="AK418:AN418"/>
    <mergeCell ref="AK428:AN428"/>
    <mergeCell ref="AK429:AN429"/>
    <mergeCell ref="AK430:AN430"/>
    <mergeCell ref="AK431:AN431"/>
    <mergeCell ref="AK432:AN432"/>
    <mergeCell ref="AK419:AN419"/>
    <mergeCell ref="AK420:AN420"/>
    <mergeCell ref="AK421:AN421"/>
    <mergeCell ref="AK422:AN422"/>
    <mergeCell ref="AK423:AN423"/>
    <mergeCell ref="AK424:AN424"/>
    <mergeCell ref="AK425:AN425"/>
    <mergeCell ref="AK426:AN426"/>
    <mergeCell ref="AK427:AN427"/>
  </mergeCells>
  <phoneticPr fontId="2" type="noConversion"/>
  <pageMargins left="0.7" right="0.7" top="0.75" bottom="0.75" header="0.3" footer="0.3"/>
  <pageSetup paperSize="9" orientation="portrait" r:id="rId1"/>
  <ignoredErrors>
    <ignoredError sqref="B310:B311 AB2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D690CD592F4D87CEB2CDEC370919" ma:contentTypeVersion="13" ma:contentTypeDescription="Een nieuw document maken." ma:contentTypeScope="" ma:versionID="cc4417e87d35cd9e409a0c6ec6a585d7">
  <xsd:schema xmlns:xsd="http://www.w3.org/2001/XMLSchema" xmlns:xs="http://www.w3.org/2001/XMLSchema" xmlns:p="http://schemas.microsoft.com/office/2006/metadata/properties" xmlns:ns2="1ab0bea7-c8f8-48e7-83d9-ff109cc61ffb" xmlns:ns3="6330af3e-124e-4370-93dc-1e40237cda74" targetNamespace="http://schemas.microsoft.com/office/2006/metadata/properties" ma:root="true" ma:fieldsID="8cc7ae286e494187e25cf9d809218735" ns2:_="" ns3:_="">
    <xsd:import namespace="1ab0bea7-c8f8-48e7-83d9-ff109cc61ffb"/>
    <xsd:import namespace="6330af3e-124e-4370-93dc-1e40237cda7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0bea7-c8f8-48e7-83d9-ff109cc61f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ce1eae8-6915-4119-bdeb-9ec08327580f}" ma:internalName="TaxCatchAll" ma:showField="CatchAllData" ma:web="1ab0bea7-c8f8-48e7-83d9-ff109cc61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0af3e-124e-4370-93dc-1e40237cd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dbd3f78-6442-4cfd-a6a2-cdfdee836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30af3e-124e-4370-93dc-1e40237cda74">
      <Terms xmlns="http://schemas.microsoft.com/office/infopath/2007/PartnerControls"/>
    </lcf76f155ced4ddcb4097134ff3c332f>
    <TaxCatchAll xmlns="1ab0bea7-c8f8-48e7-83d9-ff109cc61ff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766D30-E1A2-4A09-8CFF-7A0F8FB52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0bea7-c8f8-48e7-83d9-ff109cc61ffb"/>
    <ds:schemaRef ds:uri="6330af3e-124e-4370-93dc-1e40237cd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7987A5-2906-454B-924C-28E16C77A73B}">
  <ds:schemaRefs>
    <ds:schemaRef ds:uri="http://purl.org/dc/terms/"/>
    <ds:schemaRef ds:uri="6330af3e-124e-4370-93dc-1e40237cda74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1ab0bea7-c8f8-48e7-83d9-ff109cc61ffb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712AA2-81E2-4E9F-9438-406681BF64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Grondbalans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Nese Sezgin</dc:creator>
  <cp:lastModifiedBy>Nese Sezgin</cp:lastModifiedBy>
  <cp:lastPrinted>2024-10-10T08:42:10Z</cp:lastPrinted>
  <dcterms:created xsi:type="dcterms:W3CDTF">2024-09-18T12:50:40Z</dcterms:created>
  <dcterms:modified xsi:type="dcterms:W3CDTF">2025-02-03T10:09:52Z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0x010100D4F6D690CD592F4D87CEB2CDEC370919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