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RO Amersfoort en Haarlem\Aanbesteding 2024\Correspondentie\"/>
    </mc:Choice>
  </mc:AlternateContent>
  <xr:revisionPtr revIDLastSave="0" documentId="8_{97F565D0-67B6-411C-9A51-C743F88409EB}" xr6:coauthVersionLast="47" xr6:coauthVersionMax="47" xr10:uidLastSave="{00000000-0000-0000-0000-000000000000}"/>
  <bookViews>
    <workbookView xWindow="6108" yWindow="2460" windowWidth="23040" windowHeight="12168" firstSheet="1" activeTab="12" xr2:uid="{FC64F751-AFC9-4E85-9843-705E1BF989E9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" sheetId="11" r:id="rId11"/>
    <sheet name="Afroep incidenteel" sheetId="12" r:id="rId12"/>
    <sheet name="Totaal" sheetId="13" r:id="rId13"/>
  </sheets>
  <definedNames>
    <definedName name="_xlnm._FilterDatabase" localSheetId="4" hidden="1">'Ruimten werkdag'!$A$3:$U$162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Afroep!$1:$3</definedName>
    <definedName name="_xlnm.Print_Titles" localSheetId="11">'Afroep incidenteel'!$1:$3</definedName>
    <definedName name="_xlnm.Print_Titles" localSheetId="2">Categorienormen!$1:$3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2">Totaal!$1:$3</definedName>
    <definedName name="_xlnm.Print_Titles" localSheetId="7">'Totaalblad Objecten'!$1:$3</definedName>
    <definedName name="catdw_1_BHB_1">Categorienormen!$F$37</definedName>
    <definedName name="catdw_1_BHV_40">Categorienormen!$F$38</definedName>
    <definedName name="catdw_1_BZB_1">Categorienormen!$F$39</definedName>
    <definedName name="catdw_1_BZV_10">Categorienormen!$F$40</definedName>
    <definedName name="catdw_1_DHB_1">Categorienormen!$F$27</definedName>
    <definedName name="catdw_1_DHV_40">Categorienormen!$F$28</definedName>
    <definedName name="catdw_1_DHV_51">Categorienormen!$F$29</definedName>
    <definedName name="catdw_1_EHB_1">Categorienormen!$F$6</definedName>
    <definedName name="catdw_1_EHV_40">Categorienormen!$F$7</definedName>
    <definedName name="catdw_1_EHV_51">Categorienormen!$F$8</definedName>
    <definedName name="catdw_1_EZB_1">Categorienormen!$F$9</definedName>
    <definedName name="catdw_1_EZV_40">Categorienormen!$F$10</definedName>
    <definedName name="catdw_1_EZV_51">Categorienormen!$F$11</definedName>
    <definedName name="catdw_1_FHB_1">Categorienormen!$F$12</definedName>
    <definedName name="catdw_1_FHV_40">Categorienormen!$F$13</definedName>
    <definedName name="catdw_1_FHV_51">Categorienormen!$F$14</definedName>
    <definedName name="catdw_1_GHB_1">Categorienormen!$F$33</definedName>
    <definedName name="catdw_1_GHV_10">Categorienormen!$F$34</definedName>
    <definedName name="catdw_1_GHV_40">Categorienormen!$F$35</definedName>
    <definedName name="catdw_1_GHV_51">Categorienormen!$F$36</definedName>
    <definedName name="catdw_1_HHB_1">Categorienormen!$F$46</definedName>
    <definedName name="catdw_1_HHV_51">Categorienormen!$F$47</definedName>
    <definedName name="catdw_1_KLHB_1">Categorienormen!$F$43</definedName>
    <definedName name="catdw_1_KLHV_40">Categorienormen!$F$44</definedName>
    <definedName name="catdw_1_KLHV_51">Categorienormen!$F$45</definedName>
    <definedName name="catdw_1_OHB_1">Categorienormen!$F$15</definedName>
    <definedName name="catdw_1_OHV_51">Categorienormen!$F$16</definedName>
    <definedName name="catdw_1_PHB_1">Categorienormen!$F$17</definedName>
    <definedName name="catdw_1_PHV_51">Categorienormen!$F$18</definedName>
    <definedName name="catdw_1_RHB_1">Categorienormen!$F$41</definedName>
    <definedName name="catdw_1_RHV_51">Categorienormen!$F$42</definedName>
    <definedName name="catdw_1_SHB_1">Categorienormen!$F$30</definedName>
    <definedName name="catdw_1_SHV_40">Categorienormen!$F$31</definedName>
    <definedName name="catdw_1_SHV_51">Categorienormen!$F$32</definedName>
    <definedName name="catdw_1_THB_1">Categorienormen!$F$19</definedName>
    <definedName name="catdw_1_THV_40">Categorienormen!$F$20</definedName>
    <definedName name="catdw_1_THV_51">Categorienormen!$F$21</definedName>
    <definedName name="catdw_1_VHB_1">Categorienormen!$F$22</definedName>
    <definedName name="catdw_1_VHV_40">Categorienormen!$F$23</definedName>
    <definedName name="catdw_1_VHV_51">Categorienormen!$F$24</definedName>
    <definedName name="catdw_1_VZB_1">Categorienormen!$F$25</definedName>
    <definedName name="catdw_1_VZV_40">Categorienormen!$F$26</definedName>
    <definedName name="catfd_1_BHB_1">Categorienormen!$C$37</definedName>
    <definedName name="catfd_1_BHV_40">Categorienormen!$C$38</definedName>
    <definedName name="catfd_1_BZB_1">Categorienormen!$C$39</definedName>
    <definedName name="catfd_1_BZV_10">Categorienormen!$C$40</definedName>
    <definedName name="catfd_1_DHB_1">Categorienormen!$C$27</definedName>
    <definedName name="catfd_1_DHV_40">Categorienormen!$C$28</definedName>
    <definedName name="catfd_1_DHV_51">Categorienormen!$C$29</definedName>
    <definedName name="catfd_1_EHB_1">Categorienormen!$C$6</definedName>
    <definedName name="catfd_1_EHV_40">Categorienormen!$C$7</definedName>
    <definedName name="catfd_1_EHV_51">Categorienormen!$C$8</definedName>
    <definedName name="catfd_1_EZB_1">Categorienormen!$C$9</definedName>
    <definedName name="catfd_1_EZV_40">Categorienormen!$C$10</definedName>
    <definedName name="catfd_1_EZV_51">Categorienormen!$C$11</definedName>
    <definedName name="catfd_1_FHB_1">Categorienormen!$C$12</definedName>
    <definedName name="catfd_1_FHV_40">Categorienormen!$C$13</definedName>
    <definedName name="catfd_1_FHV_51">Categorienormen!$C$14</definedName>
    <definedName name="catfd_1_GHB_1">Categorienormen!$C$33</definedName>
    <definedName name="catfd_1_GHV_10">Categorienormen!$C$34</definedName>
    <definedName name="catfd_1_GHV_40">Categorienormen!$C$35</definedName>
    <definedName name="catfd_1_GHV_51">Categorienormen!$C$36</definedName>
    <definedName name="catfd_1_HHB_1">Categorienormen!$C$46</definedName>
    <definedName name="catfd_1_HHV_51">Categorienormen!$C$47</definedName>
    <definedName name="catfd_1_KLHB_1">Categorienormen!$C$43</definedName>
    <definedName name="catfd_1_KLHV_40">Categorienormen!$C$44</definedName>
    <definedName name="catfd_1_KLHV_51">Categorienormen!$C$45</definedName>
    <definedName name="catfd_1_OHB_1">Categorienormen!$C$15</definedName>
    <definedName name="catfd_1_OHV_51">Categorienormen!$C$16</definedName>
    <definedName name="catfd_1_PHB_1">Categorienormen!$C$17</definedName>
    <definedName name="catfd_1_PHV_51">Categorienormen!$C$18</definedName>
    <definedName name="catfd_1_RHB_1">Categorienormen!$C$41</definedName>
    <definedName name="catfd_1_RHV_51">Categorienormen!$C$42</definedName>
    <definedName name="catfd_1_SHB_1">Categorienormen!$C$30</definedName>
    <definedName name="catfd_1_SHV_40">Categorienormen!$C$31</definedName>
    <definedName name="catfd_1_SHV_51">Categorienormen!$C$32</definedName>
    <definedName name="catfd_1_THB_1">Categorienormen!$C$19</definedName>
    <definedName name="catfd_1_THV_40">Categorienormen!$C$20</definedName>
    <definedName name="catfd_1_THV_51">Categorienormen!$C$21</definedName>
    <definedName name="catfd_1_VHB_1">Categorienormen!$C$22</definedName>
    <definedName name="catfd_1_VHV_40">Categorienormen!$C$23</definedName>
    <definedName name="catfd_1_VHV_51">Categorienormen!$C$24</definedName>
    <definedName name="catfd_1_VZB_1">Categorienormen!$C$25</definedName>
    <definedName name="catfd_1_VZV_40">Categorienormen!$C$26</definedName>
    <definedName name="catpn_1_BHB_1">Categorienormen!$E$37</definedName>
    <definedName name="catpn_1_BHV_40">Categorienormen!$E$38</definedName>
    <definedName name="catpn_1_BZB_1">Categorienormen!$E$39</definedName>
    <definedName name="catpn_1_BZV_10">Categorienormen!$E$40</definedName>
    <definedName name="catpn_1_DHB_1">Categorienormen!$E$27</definedName>
    <definedName name="catpn_1_DHV_40">Categorienormen!$E$28</definedName>
    <definedName name="catpn_1_DHV_51">Categorienormen!$E$29</definedName>
    <definedName name="catpn_1_EHB_1">Categorienormen!$E$6</definedName>
    <definedName name="catpn_1_EHV_40">Categorienormen!$E$7</definedName>
    <definedName name="catpn_1_EHV_51">Categorienormen!$E$8</definedName>
    <definedName name="catpn_1_EZB_1">Categorienormen!$E$9</definedName>
    <definedName name="catpn_1_EZV_40">Categorienormen!$E$10</definedName>
    <definedName name="catpn_1_EZV_51">Categorienormen!$E$11</definedName>
    <definedName name="catpn_1_FHB_1">Categorienormen!$E$12</definedName>
    <definedName name="catpn_1_FHV_40">Categorienormen!$E$13</definedName>
    <definedName name="catpn_1_FHV_51">Categorienormen!$E$14</definedName>
    <definedName name="catpn_1_GHB_1">Categorienormen!$E$33</definedName>
    <definedName name="catpn_1_GHV_10">Categorienormen!$E$34</definedName>
    <definedName name="catpn_1_GHV_40">Categorienormen!$E$35</definedName>
    <definedName name="catpn_1_GHV_51">Categorienormen!$E$36</definedName>
    <definedName name="catpn_1_HHB_1">Categorienormen!$E$46</definedName>
    <definedName name="catpn_1_HHV_51">Categorienormen!$E$47</definedName>
    <definedName name="catpn_1_KLHB_1">Categorienormen!$E$43</definedName>
    <definedName name="catpn_1_KLHV_40">Categorienormen!$E$44</definedName>
    <definedName name="catpn_1_KLHV_51">Categorienormen!$E$45</definedName>
    <definedName name="catpn_1_OHB_1">Categorienormen!$E$15</definedName>
    <definedName name="catpn_1_OHV_51">Categorienormen!$E$16</definedName>
    <definedName name="catpn_1_PHB_1">Categorienormen!$E$17</definedName>
    <definedName name="catpn_1_PHV_51">Categorienormen!$E$18</definedName>
    <definedName name="catpn_1_RHB_1">Categorienormen!$E$41</definedName>
    <definedName name="catpn_1_RHV_51">Categorienormen!$E$42</definedName>
    <definedName name="catpn_1_SHB_1">Categorienormen!$E$30</definedName>
    <definedName name="catpn_1_SHV_40">Categorienormen!$E$31</definedName>
    <definedName name="catpn_1_SHV_51">Categorienormen!$E$32</definedName>
    <definedName name="catpn_1_THB_1">Categorienormen!$E$19</definedName>
    <definedName name="catpn_1_THV_40">Categorienormen!$E$20</definedName>
    <definedName name="catpn_1_THV_51">Categorienormen!$E$21</definedName>
    <definedName name="catpn_1_VHB_1">Categorienormen!$E$22</definedName>
    <definedName name="catpn_1_VHV_40">Categorienormen!$E$23</definedName>
    <definedName name="catpn_1_VHV_51">Categorienormen!$E$24</definedName>
    <definedName name="catpn_1_VZB_1">Categorienormen!$E$25</definedName>
    <definedName name="catpn_1_VZV_40">Categorienormen!$E$26</definedName>
    <definedName name="cattf_1_BHB_1">Categorienormen!$H$37</definedName>
    <definedName name="cattf_1_BHV_40">Categorienormen!$H$38</definedName>
    <definedName name="cattf_1_BZB_1">Categorienormen!$H$39</definedName>
    <definedName name="cattf_1_BZV_10">Categorienormen!$H$40</definedName>
    <definedName name="cattf_1_DHB_1">Categorienormen!$H$27</definedName>
    <definedName name="cattf_1_DHV_40">Categorienormen!$H$28</definedName>
    <definedName name="cattf_1_DHV_51">Categorienormen!$H$29</definedName>
    <definedName name="cattf_1_EHB_1">Categorienormen!$H$6</definedName>
    <definedName name="cattf_1_EHV_40">Categorienormen!$H$7</definedName>
    <definedName name="cattf_1_EHV_51">Categorienormen!$H$8</definedName>
    <definedName name="cattf_1_EZB_1">Categorienormen!$H$9</definedName>
    <definedName name="cattf_1_EZV_40">Categorienormen!$H$10</definedName>
    <definedName name="cattf_1_EZV_51">Categorienormen!$H$11</definedName>
    <definedName name="cattf_1_FHB_1">Categorienormen!$H$12</definedName>
    <definedName name="cattf_1_FHV_40">Categorienormen!$H$13</definedName>
    <definedName name="cattf_1_FHV_51">Categorienormen!$H$14</definedName>
    <definedName name="cattf_1_GHB_1">Categorienormen!$H$33</definedName>
    <definedName name="cattf_1_GHV_10">Categorienormen!$H$34</definedName>
    <definedName name="cattf_1_GHV_40">Categorienormen!$H$35</definedName>
    <definedName name="cattf_1_GHV_51">Categorienormen!$H$36</definedName>
    <definedName name="cattf_1_HHB_1">Categorienormen!$H$46</definedName>
    <definedName name="cattf_1_HHV_51">Categorienormen!$H$47</definedName>
    <definedName name="cattf_1_KLHB_1">Categorienormen!$H$43</definedName>
    <definedName name="cattf_1_KLHV_40">Categorienormen!$H$44</definedName>
    <definedName name="cattf_1_KLHV_51">Categorienormen!$H$45</definedName>
    <definedName name="cattf_1_OHB_1">Categorienormen!$H$15</definedName>
    <definedName name="cattf_1_OHV_51">Categorienormen!$H$16</definedName>
    <definedName name="cattf_1_PHB_1">Categorienormen!$H$17</definedName>
    <definedName name="cattf_1_PHV_51">Categorienormen!$H$18</definedName>
    <definedName name="cattf_1_RHB_1">Categorienormen!$H$41</definedName>
    <definedName name="cattf_1_RHV_51">Categorienormen!$H$42</definedName>
    <definedName name="cattf_1_SHB_1">Categorienormen!$H$30</definedName>
    <definedName name="cattf_1_SHV_40">Categorienormen!$H$31</definedName>
    <definedName name="cattf_1_SHV_51">Categorienormen!$H$32</definedName>
    <definedName name="cattf_1_THB_1">Categorienormen!$H$19</definedName>
    <definedName name="cattf_1_THV_40">Categorienormen!$H$20</definedName>
    <definedName name="cattf_1_THV_51">Categorienormen!$H$21</definedName>
    <definedName name="cattf_1_VHB_1">Categorienormen!$H$22</definedName>
    <definedName name="cattf_1_VHV_40">Categorienormen!$H$23</definedName>
    <definedName name="cattf_1_VHV_51">Categorienormen!$H$24</definedName>
    <definedName name="cattf_1_VZB_1">Categorienormen!$H$25</definedName>
    <definedName name="cattf_1_VZV_40">Categorienormen!$H$26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Omreken!$A$13:$B$28</definedName>
    <definedName name="dagsoorttabel2">Omreken!$D$13:$E$24</definedName>
    <definedName name="dagsoorttabel3">Omreken!$G$13:$H$16</definedName>
    <definedName name="dagwerk10">'Regulier werk'!$H$12</definedName>
    <definedName name="dagwerk11">'Regulier werk'!$H$13</definedName>
    <definedName name="dagwerk12">'Regulier werk'!$H$14</definedName>
    <definedName name="dagwerk13">'Regulier werk'!$H$15</definedName>
    <definedName name="dagwerk14">'Regulier werk'!$H$16</definedName>
    <definedName name="dagwerk15">'Regulier werk'!$H$17</definedName>
    <definedName name="dagwerk16">'Regulier werk'!$H$18</definedName>
    <definedName name="dagwerk17">'Regulier werk'!$H$19</definedName>
    <definedName name="dagwerk18">'Regulier werk'!$H$20</definedName>
    <definedName name="dagwerk19">'Regulier werk'!$H$21</definedName>
    <definedName name="dagwerk20">'Regulier werk'!$H$22</definedName>
    <definedName name="dagwerk21">'Regulier werk'!$H$23</definedName>
    <definedName name="dagwerk22">'Regulier werk'!$H$24</definedName>
    <definedName name="dagwerk23">'Regulier werk'!$H$25</definedName>
    <definedName name="dagwerk24">'Regulier werk'!$H$26</definedName>
    <definedName name="dagwerk25">'Regulier werk'!$H$27</definedName>
    <definedName name="dagwerk26">'Regulier werk'!$H$28</definedName>
    <definedName name="dagwerk27">'Regulier werk'!$H$29</definedName>
    <definedName name="dagwerk28">'Regulier werk'!$H$30</definedName>
    <definedName name="dagwerk29">'Regulier werk'!$H$31</definedName>
    <definedName name="dagwerk30">'Regulier werk'!$H$32</definedName>
    <definedName name="dagwerk31">'Regulier werk'!$H$33</definedName>
    <definedName name="dagwerk4">'Regulier werk'!$H$6</definedName>
    <definedName name="dagwerk5">'Regulier werk'!$H$7</definedName>
    <definedName name="dagwerk6">'Regulier werk'!$H$8</definedName>
    <definedName name="dagwerk7">'Regulier werk'!$H$9</definedName>
    <definedName name="dagwerk8">'Regulier werk'!$H$10</definedName>
    <definedName name="dagwerk9">'Regulier werk'!$H$11</definedName>
    <definedName name="dagwerktabel1">Objectinformatie!$H$5:$H$32</definedName>
    <definedName name="gemuurtarief1">'Regulier werk'!$J$36</definedName>
    <definedName name="kengetaltabel1">Objectinformatie!$G$5:$G$32</definedName>
    <definedName name="object1_gemuurtarief1">'Ruimten werkdag'!$P$20</definedName>
    <definedName name="object1_opptabel1">Objectinformatie!$J$5:$J$32</definedName>
    <definedName name="object1_prijsdag1">'Ruimten werkdag'!$S$20</definedName>
    <definedName name="object1_prijsjaar1">'Ruimten werkdag'!$U$20</definedName>
    <definedName name="object1_urendag1">'Ruimten werkdag'!$Q$20</definedName>
    <definedName name="object1_urendaghf1">'Ruimten werkdag'!$R$20</definedName>
    <definedName name="object1_urenjaar1">'Ruimten werkdag'!$T$20</definedName>
    <definedName name="object2_gemuurtarief1">'Ruimten werkdag'!$P$49</definedName>
    <definedName name="object2_opptabel1">Objectinformatie!$K$5:$K$32</definedName>
    <definedName name="object2_prijsdag1">'Ruimten werkdag'!$S$49</definedName>
    <definedName name="object2_prijsjaar1">'Ruimten werkdag'!$U$49</definedName>
    <definedName name="object2_urendag1">'Ruimten werkdag'!$Q$49</definedName>
    <definedName name="object2_urendaghf1">'Ruimten werkdag'!$R$49</definedName>
    <definedName name="object2_urenjaar1">'Ruimten werkdag'!$T$49</definedName>
    <definedName name="object3_gemuurtarief1">'Ruimten werkdag'!$P$63</definedName>
    <definedName name="object3_opptabel1">Objectinformatie!$L$5:$L$32</definedName>
    <definedName name="object3_prijsdag1">'Ruimten werkdag'!$S$63</definedName>
    <definedName name="object3_prijsjaar1">'Ruimten werkdag'!$U$63</definedName>
    <definedName name="object3_urendag1">'Ruimten werkdag'!$Q$63</definedName>
    <definedName name="object3_urendaghf1">'Ruimten werkdag'!$R$63</definedName>
    <definedName name="object3_urenjaar1">'Ruimten werkdag'!$T$63</definedName>
    <definedName name="object4_gemuurtarief1">'Ruimten werkdag'!$P$81</definedName>
    <definedName name="object4_opptabel1">Objectinformatie!$M$5:$M$32</definedName>
    <definedName name="object4_prijsdag1">'Ruimten werkdag'!$S$81</definedName>
    <definedName name="object4_prijsjaar1">'Ruimten werkdag'!$U$81</definedName>
    <definedName name="object4_urendag1">'Ruimten werkdag'!$Q$81</definedName>
    <definedName name="object4_urendaghf1">'Ruimten werkdag'!$R$81</definedName>
    <definedName name="object4_urenjaar1">'Ruimten werkdag'!$T$81</definedName>
    <definedName name="object5_gemuurtarief1">'Ruimten werkdag'!$P$97</definedName>
    <definedName name="object5_opptabel1">Objectinformatie!$N$5:$N$32</definedName>
    <definedName name="object5_prijsdag1">'Ruimten werkdag'!$S$97</definedName>
    <definedName name="object5_prijsjaar1">'Ruimten werkdag'!$U$97</definedName>
    <definedName name="object5_urendag1">'Ruimten werkdag'!$Q$97</definedName>
    <definedName name="object5_urendaghf1">'Ruimten werkdag'!$R$97</definedName>
    <definedName name="object5_urenjaar1">'Ruimten werkdag'!$T$97</definedName>
    <definedName name="object6_gemuurtarief1">'Ruimten werkdag'!$P$116</definedName>
    <definedName name="object6_opptabel1">Objectinformatie!$O$5:$O$32</definedName>
    <definedName name="object6_prijsdag1">'Ruimten werkdag'!$S$116</definedName>
    <definedName name="object6_prijsjaar1">'Ruimten werkdag'!$U$116</definedName>
    <definedName name="object6_urendag1">'Ruimten werkdag'!$Q$116</definedName>
    <definedName name="object6_urendaghf1">'Ruimten werkdag'!$R$116</definedName>
    <definedName name="object6_urenjaar1">'Ruimten werkdag'!$T$116</definedName>
    <definedName name="object7_gemuurtarief1">'Ruimten werkdag'!$P$162</definedName>
    <definedName name="object7_opptabel1">Objectinformatie!$P$5:$P$32</definedName>
    <definedName name="object7_prijsdag1">'Ruimten werkdag'!$S$162</definedName>
    <definedName name="object7_prijsjaar1">'Ruimten werkdag'!$U$162</definedName>
    <definedName name="object7_urendag1">'Ruimten werkdag'!$Q$162</definedName>
    <definedName name="object7_urendaghf1">'Ruimten werkdag'!$R$162</definedName>
    <definedName name="object7_urenjaar1">'Ruimten werkdag'!$T$162</definedName>
    <definedName name="objectprijs1_1">Objecten!$R$6</definedName>
    <definedName name="objectprijs2_1">Objecten!$R$7</definedName>
    <definedName name="objectprijs3_1">Objecten!$R$8</definedName>
    <definedName name="objectprijs4_1">Objecten!$R$9</definedName>
    <definedName name="objectprijs5_1">Objecten!$R$10</definedName>
    <definedName name="objectprijs6_1">Objecten!$R$11</definedName>
    <definedName name="objectprijs7_1">Objecten!$R$12</definedName>
    <definedName name="objecturen1_1">Objecten!$Q$6</definedName>
    <definedName name="objecturen2_1">Objecten!$Q$7</definedName>
    <definedName name="objecturen3_1">Objecten!$Q$8</definedName>
    <definedName name="objecturen4_1">Objecten!$Q$9</definedName>
    <definedName name="objecturen5_1">Objecten!$Q$10</definedName>
    <definedName name="objecturen6_1">Objecten!$Q$11</definedName>
    <definedName name="objecturen7_1">Objecten!$Q$12</definedName>
    <definedName name="objecturenhf1_1">Objecten!$P$6</definedName>
    <definedName name="objecturenhf2_1">Objecten!$P$7</definedName>
    <definedName name="objecturenhf3_1">Objecten!$P$8</definedName>
    <definedName name="objecturenhf4_1">Objecten!$P$9</definedName>
    <definedName name="objecturenhf5_1">Objecten!$P$10</definedName>
    <definedName name="objecturenhf6_1">Objecten!$P$11</definedName>
    <definedName name="objecturenhf7_1">Objecten!$P$12</definedName>
    <definedName name="prijsdag1">'Regulier werk'!$L$34</definedName>
    <definedName name="prijsjaar">'Regulier werk'!$N$39</definedName>
    <definedName name="prijsjaar1">'Regulier werk'!$N$34</definedName>
    <definedName name="prijsjaaradditioneel">'Additioneel werk'!$K$9</definedName>
    <definedName name="prijsjaaradditioneel1">'Additioneel werk'!$K$7</definedName>
    <definedName name="prijsjaarafroep">Afroep!$K$18</definedName>
    <definedName name="prijsjaarafroep1">Afroep!$K$10</definedName>
    <definedName name="prijsjaarafroep3">Afroep!$K$16</definedName>
    <definedName name="prijsjaartotaal">Objecten!$R$16</definedName>
    <definedName name="prijsjaartotaal1">Objecten!$R$13</definedName>
    <definedName name="prijsjaartotaaloverzicht">'Totaalblad Objecten'!$G$12</definedName>
    <definedName name="prijsmaandtotaal1">Objecten!$S$13</definedName>
    <definedName name="prodnorm0">Afroep!$H$15</definedName>
    <definedName name="prodnorm10">'Regulier werk'!$G$12</definedName>
    <definedName name="prodnorm11">'Regulier werk'!$G$13</definedName>
    <definedName name="prodnorm12">'Regulier werk'!$G$14</definedName>
    <definedName name="prodnorm13">'Regulier werk'!$G$15</definedName>
    <definedName name="prodnorm14">'Regulier werk'!$G$16</definedName>
    <definedName name="prodnorm15">'Regulier werk'!$G$17</definedName>
    <definedName name="prodnorm16">'Regulier werk'!$G$18</definedName>
    <definedName name="prodnorm17">'Regulier werk'!$G$19</definedName>
    <definedName name="prodnorm18">'Regulier werk'!$G$20</definedName>
    <definedName name="prodnorm19">'Regulier werk'!$G$21</definedName>
    <definedName name="prodnorm20">'Regulier werk'!$G$22</definedName>
    <definedName name="prodnorm21">'Regulier werk'!$G$23</definedName>
    <definedName name="prodnorm22">'Regulier werk'!$G$24</definedName>
    <definedName name="prodnorm23">'Regulier werk'!$G$25</definedName>
    <definedName name="prodnorm24">'Regulier werk'!$G$26</definedName>
    <definedName name="prodnorm25">'Regulier werk'!$G$27</definedName>
    <definedName name="prodnorm26">'Regulier werk'!$G$28</definedName>
    <definedName name="prodnorm27">'Regulier werk'!$G$29</definedName>
    <definedName name="prodnorm28">'Regulier werk'!$G$30</definedName>
    <definedName name="prodnorm29">'Regulier werk'!$G$31</definedName>
    <definedName name="prodnorm3">'Additioneel werk per locatie'!$I$22</definedName>
    <definedName name="prodnorm30">'Regulier werk'!$G$32</definedName>
    <definedName name="prodnorm31">'Regulier werk'!$G$33</definedName>
    <definedName name="prodnorm4">'Regulier werk'!$G$6</definedName>
    <definedName name="prodnorm5">'Regulier werk'!$G$7</definedName>
    <definedName name="prodnorm6">'Regulier werk'!$G$8</definedName>
    <definedName name="prodnorm7">'Regulier werk'!$G$9</definedName>
    <definedName name="prodnorm8">'Regulier werk'!$G$10</definedName>
    <definedName name="prodnorm9">'Regulier werk'!$G$11</definedName>
    <definedName name="taakfreqtabel1">Objectinformatie!$E$5:$E$32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tabel1">Objectinformatie!$I$5:$I$32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werk'!$K$34</definedName>
    <definedName name="urenjaar">'Regulier werk'!$M$39</definedName>
    <definedName name="urenjaar1">'Regulier werk'!$M$34</definedName>
    <definedName name="urenjaartotaal">Objecten!$Q$16</definedName>
    <definedName name="urenjaartotaal1">Objecten!$Q$13</definedName>
    <definedName name="urenjaartotaalhf">Objecten!$P$16</definedName>
    <definedName name="urenjaartotaalhf1">Objecten!$P$13</definedName>
    <definedName name="urenjaartotaaloverzicht">'Totaalblad Objecten'!$F$12</definedName>
    <definedName name="urenjaartotaaloverzichthf">'Totaalblad Objecten'!$E$12</definedName>
    <definedName name="uurfactortabel1">Objectinformatie!$F$5:$F$32</definedName>
    <definedName name="uurtarief0">'Afroep incidenteel'!$E$91</definedName>
    <definedName name="uurtarief10">'Regulier werk'!$J$12</definedName>
    <definedName name="uurtarief11">'Regulier werk'!$J$13</definedName>
    <definedName name="uurtarief12">'Regulier werk'!$J$14</definedName>
    <definedName name="uurtarief13">'Regulier werk'!$J$15</definedName>
    <definedName name="uurtarief14">'Regulier werk'!$J$16</definedName>
    <definedName name="uurtarief15">'Regulier werk'!$J$17</definedName>
    <definedName name="uurtarief16">'Regulier werk'!$J$18</definedName>
    <definedName name="uurtarief17">'Regulier werk'!$J$19</definedName>
    <definedName name="uurtarief18">'Regulier werk'!$J$20</definedName>
    <definedName name="uurtarief19">'Regulier werk'!$J$21</definedName>
    <definedName name="uurtarief20">'Regulier werk'!$J$22</definedName>
    <definedName name="uurtarief21">'Regulier werk'!$J$23</definedName>
    <definedName name="uurtarief22">'Regulier werk'!$J$24</definedName>
    <definedName name="uurtarief23">'Regulier werk'!$J$25</definedName>
    <definedName name="uurtarief24">'Regulier werk'!$J$26</definedName>
    <definedName name="uurtarief25">'Regulier werk'!$J$27</definedName>
    <definedName name="uurtarief26">'Regulier werk'!$J$28</definedName>
    <definedName name="uurtarief27">'Regulier werk'!$J$29</definedName>
    <definedName name="uurtarief28">'Regulier werk'!$J$30</definedName>
    <definedName name="uurtarief29">'Regulier werk'!$J$31</definedName>
    <definedName name="uurtarief3">'Additioneel werk per locatie'!$H$22</definedName>
    <definedName name="uurtarief30">'Regulier werk'!$J$32</definedName>
    <definedName name="uurtarief31">'Regulier werk'!$J$33</definedName>
    <definedName name="uurtarief4">'Regulier werk'!$J$6</definedName>
    <definedName name="uurtarief5">'Regulier werk'!$J$7</definedName>
    <definedName name="uurtarief6">'Regulier werk'!$J$8</definedName>
    <definedName name="uurtarief7">'Regulier werk'!$J$9</definedName>
    <definedName name="uurtarief8">'Regulier werk'!$J$10</definedName>
    <definedName name="uurtarief9">'Regulier werk'!$J$11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3" l="1"/>
  <c r="A1" i="12"/>
  <c r="J15" i="11"/>
  <c r="J14" i="11"/>
  <c r="J13" i="11"/>
  <c r="J9" i="11"/>
  <c r="J8" i="11"/>
  <c r="J7" i="11"/>
  <c r="J6" i="11"/>
  <c r="A1" i="11"/>
  <c r="I22" i="10"/>
  <c r="H22" i="10"/>
  <c r="I18" i="10"/>
  <c r="H18" i="10"/>
  <c r="I14" i="10"/>
  <c r="H14" i="10"/>
  <c r="I10" i="10"/>
  <c r="H10" i="10"/>
  <c r="I6" i="10"/>
  <c r="H6" i="10"/>
  <c r="A1" i="10"/>
  <c r="J6" i="9"/>
  <c r="A1" i="9"/>
  <c r="A1" i="8"/>
  <c r="A1" i="7"/>
  <c r="A1" i="5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2" i="2"/>
  <c r="A51" i="2"/>
  <c r="F50" i="2"/>
  <c r="D50" i="2"/>
  <c r="B50" i="2"/>
  <c r="A49" i="2"/>
  <c r="A48" i="2"/>
  <c r="A47" i="2"/>
  <c r="N9" i="2"/>
  <c r="L9" i="2"/>
  <c r="J9" i="2"/>
  <c r="H9" i="2"/>
  <c r="F9" i="2"/>
  <c r="D9" i="2"/>
  <c r="B9" i="2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30" i="6" l="1"/>
  <c r="E28" i="6"/>
  <c r="E26" i="6"/>
  <c r="E24" i="6"/>
  <c r="E23" i="6"/>
  <c r="E22" i="6"/>
  <c r="E21" i="6"/>
  <c r="E19" i="6"/>
  <c r="E17" i="6"/>
  <c r="E14" i="6"/>
  <c r="E12" i="6"/>
  <c r="E10" i="6"/>
  <c r="E8" i="6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2" i="5"/>
  <c r="L121" i="5"/>
  <c r="L120" i="5"/>
  <c r="L119" i="5"/>
  <c r="L118" i="5"/>
  <c r="F31" i="4"/>
  <c r="F29" i="4"/>
  <c r="F27" i="4"/>
  <c r="F25" i="4"/>
  <c r="F24" i="4"/>
  <c r="F23" i="4"/>
  <c r="F22" i="4"/>
  <c r="F20" i="4"/>
  <c r="F18" i="4"/>
  <c r="F15" i="4"/>
  <c r="F13" i="4"/>
  <c r="F11" i="4"/>
  <c r="F9" i="4"/>
  <c r="E31" i="6"/>
  <c r="E29" i="6"/>
  <c r="E27" i="6"/>
  <c r="E25" i="6"/>
  <c r="E20" i="6"/>
  <c r="E16" i="6"/>
  <c r="E13" i="6"/>
  <c r="E11" i="6"/>
  <c r="E9" i="6"/>
  <c r="E7" i="6"/>
  <c r="E5" i="6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2" i="5"/>
  <c r="L61" i="5"/>
  <c r="L60" i="5"/>
  <c r="L59" i="5"/>
  <c r="L58" i="5"/>
  <c r="L57" i="5"/>
  <c r="L56" i="5"/>
  <c r="L54" i="5"/>
  <c r="L53" i="5"/>
  <c r="L52" i="5"/>
  <c r="L51" i="5"/>
  <c r="L48" i="5"/>
  <c r="L47" i="5"/>
  <c r="L46" i="5"/>
  <c r="L45" i="5"/>
  <c r="L44" i="5"/>
  <c r="L43" i="5"/>
  <c r="L42" i="5"/>
  <c r="L41" i="5"/>
  <c r="L40" i="5"/>
  <c r="L39" i="5"/>
  <c r="L37" i="5"/>
  <c r="L36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32" i="4"/>
  <c r="F30" i="4"/>
  <c r="F28" i="4"/>
  <c r="F26" i="4"/>
  <c r="F21" i="4"/>
  <c r="F17" i="4"/>
  <c r="F14" i="4"/>
  <c r="F12" i="4"/>
  <c r="F10" i="4"/>
  <c r="F8" i="4"/>
  <c r="F6" i="4"/>
  <c r="E18" i="6"/>
  <c r="L123" i="5"/>
  <c r="F19" i="4"/>
  <c r="C9" i="11"/>
  <c r="K9" i="11" s="1"/>
  <c r="L9" i="11" s="1"/>
  <c r="C8" i="11"/>
  <c r="K8" i="11" s="1"/>
  <c r="L8" i="11" s="1"/>
  <c r="C7" i="11"/>
  <c r="K7" i="11" s="1"/>
  <c r="L7" i="11" s="1"/>
  <c r="C6" i="11"/>
  <c r="K6" i="11" s="1"/>
  <c r="E32" i="6"/>
  <c r="E15" i="6"/>
  <c r="E6" i="6"/>
  <c r="L96" i="5"/>
  <c r="L55" i="5"/>
  <c r="L38" i="5"/>
  <c r="L35" i="5"/>
  <c r="L19" i="5"/>
  <c r="F33" i="4"/>
  <c r="F16" i="4"/>
  <c r="F7" i="4"/>
  <c r="C22" i="10"/>
  <c r="C18" i="10"/>
  <c r="C14" i="10"/>
  <c r="C10" i="10"/>
  <c r="C6" i="10"/>
  <c r="C6" i="9"/>
  <c r="K6" i="9" s="1"/>
  <c r="C15" i="11"/>
  <c r="K15" i="11" s="1"/>
  <c r="L15" i="11" s="1"/>
  <c r="C14" i="11"/>
  <c r="K14" i="11" s="1"/>
  <c r="L14" i="11" s="1"/>
  <c r="C13" i="11"/>
  <c r="K13" i="11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G5" i="6"/>
  <c r="M85" i="5"/>
  <c r="M66" i="5"/>
  <c r="M53" i="5"/>
  <c r="M48" i="5"/>
  <c r="M7" i="5"/>
  <c r="K6" i="4"/>
  <c r="H5" i="6"/>
  <c r="N85" i="5"/>
  <c r="N66" i="5"/>
  <c r="N53" i="5"/>
  <c r="N48" i="5"/>
  <c r="N7" i="5"/>
  <c r="I5" i="6"/>
  <c r="P85" i="5"/>
  <c r="P66" i="5"/>
  <c r="P53" i="5"/>
  <c r="P48" i="5"/>
  <c r="P7" i="5"/>
  <c r="L6" i="4"/>
  <c r="G6" i="6"/>
  <c r="M35" i="5"/>
  <c r="K7" i="4"/>
  <c r="M7" i="4" s="1"/>
  <c r="N7" i="4" s="1"/>
  <c r="H6" i="6"/>
  <c r="N35" i="5"/>
  <c r="I6" i="6"/>
  <c r="P35" i="5"/>
  <c r="L7" i="4"/>
  <c r="G7" i="6"/>
  <c r="M107" i="5"/>
  <c r="M91" i="5"/>
  <c r="M90" i="5"/>
  <c r="M74" i="5"/>
  <c r="M73" i="5"/>
  <c r="M72" i="5"/>
  <c r="M70" i="5"/>
  <c r="M61" i="5"/>
  <c r="M58" i="5"/>
  <c r="M45" i="5"/>
  <c r="M44" i="5"/>
  <c r="M43" i="5"/>
  <c r="M42" i="5"/>
  <c r="M30" i="5"/>
  <c r="M29" i="5"/>
  <c r="M28" i="5"/>
  <c r="M26" i="5"/>
  <c r="M16" i="5"/>
  <c r="M15" i="5"/>
  <c r="M12" i="5"/>
  <c r="M11" i="5"/>
  <c r="M8" i="5"/>
  <c r="K8" i="4"/>
  <c r="M8" i="4" s="1"/>
  <c r="N8" i="4" s="1"/>
  <c r="H7" i="6"/>
  <c r="N107" i="5"/>
  <c r="N91" i="5"/>
  <c r="N90" i="5"/>
  <c r="N74" i="5"/>
  <c r="N73" i="5"/>
  <c r="N72" i="5"/>
  <c r="N70" i="5"/>
  <c r="N61" i="5"/>
  <c r="N58" i="5"/>
  <c r="N45" i="5"/>
  <c r="N44" i="5"/>
  <c r="N43" i="5"/>
  <c r="N42" i="5"/>
  <c r="N30" i="5"/>
  <c r="N29" i="5"/>
  <c r="N28" i="5"/>
  <c r="N26" i="5"/>
  <c r="N16" i="5"/>
  <c r="N15" i="5"/>
  <c r="N12" i="5"/>
  <c r="N11" i="5"/>
  <c r="N8" i="5"/>
  <c r="I7" i="6"/>
  <c r="P107" i="5"/>
  <c r="P91" i="5"/>
  <c r="P90" i="5"/>
  <c r="P74" i="5"/>
  <c r="P73" i="5"/>
  <c r="P72" i="5"/>
  <c r="P70" i="5"/>
  <c r="P61" i="5"/>
  <c r="P58" i="5"/>
  <c r="P45" i="5"/>
  <c r="P44" i="5"/>
  <c r="P43" i="5"/>
  <c r="P42" i="5"/>
  <c r="P30" i="5"/>
  <c r="P29" i="5"/>
  <c r="P28" i="5"/>
  <c r="P26" i="5"/>
  <c r="P16" i="5"/>
  <c r="P15" i="5"/>
  <c r="P12" i="5"/>
  <c r="P11" i="5"/>
  <c r="P8" i="5"/>
  <c r="L8" i="4"/>
  <c r="G8" i="6"/>
  <c r="M161" i="5"/>
  <c r="M148" i="5"/>
  <c r="M145" i="5"/>
  <c r="K9" i="4"/>
  <c r="M9" i="4" s="1"/>
  <c r="N9" i="4" s="1"/>
  <c r="H8" i="6"/>
  <c r="N161" i="5"/>
  <c r="N148" i="5"/>
  <c r="N145" i="5"/>
  <c r="I8" i="6"/>
  <c r="P161" i="5"/>
  <c r="P148" i="5"/>
  <c r="P145" i="5"/>
  <c r="L9" i="4"/>
  <c r="G9" i="6"/>
  <c r="M113" i="5"/>
  <c r="K10" i="4"/>
  <c r="M10" i="4" s="1"/>
  <c r="N10" i="4" s="1"/>
  <c r="H9" i="6"/>
  <c r="N113" i="5"/>
  <c r="I9" i="6"/>
  <c r="P113" i="5"/>
  <c r="L10" i="4"/>
  <c r="G10" i="6"/>
  <c r="M119" i="5"/>
  <c r="K11" i="4"/>
  <c r="M11" i="4" s="1"/>
  <c r="N11" i="4" s="1"/>
  <c r="H10" i="6"/>
  <c r="N119" i="5"/>
  <c r="I10" i="6"/>
  <c r="P119" i="5"/>
  <c r="L11" i="4"/>
  <c r="G11" i="6"/>
  <c r="M65" i="5"/>
  <c r="M51" i="5"/>
  <c r="M5" i="5"/>
  <c r="K12" i="4"/>
  <c r="M12" i="4" s="1"/>
  <c r="N12" i="4" s="1"/>
  <c r="H11" i="6"/>
  <c r="N65" i="5"/>
  <c r="N51" i="5"/>
  <c r="N5" i="5"/>
  <c r="I11" i="6"/>
  <c r="P65" i="5"/>
  <c r="P51" i="5"/>
  <c r="P5" i="5"/>
  <c r="L12" i="4"/>
  <c r="G12" i="6"/>
  <c r="M135" i="5"/>
  <c r="M118" i="5"/>
  <c r="K13" i="4"/>
  <c r="M13" i="4" s="1"/>
  <c r="N13" i="4" s="1"/>
  <c r="H12" i="6"/>
  <c r="N135" i="5"/>
  <c r="N118" i="5"/>
  <c r="I12" i="6"/>
  <c r="P135" i="5"/>
  <c r="P118" i="5"/>
  <c r="L13" i="4"/>
  <c r="G13" i="6"/>
  <c r="M114" i="5"/>
  <c r="K14" i="4"/>
  <c r="M14" i="4" s="1"/>
  <c r="N14" i="4" s="1"/>
  <c r="H13" i="6"/>
  <c r="N114" i="5"/>
  <c r="I13" i="6"/>
  <c r="P114" i="5"/>
  <c r="L14" i="4"/>
  <c r="G14" i="6"/>
  <c r="M124" i="5"/>
  <c r="K15" i="4"/>
  <c r="M15" i="4" s="1"/>
  <c r="N15" i="4" s="1"/>
  <c r="H14" i="6"/>
  <c r="N124" i="5"/>
  <c r="I14" i="6"/>
  <c r="P124" i="5"/>
  <c r="L15" i="4"/>
  <c r="G15" i="6"/>
  <c r="M55" i="5"/>
  <c r="M38" i="5"/>
  <c r="M19" i="5"/>
  <c r="K16" i="4"/>
  <c r="M16" i="4" s="1"/>
  <c r="N16" i="4" s="1"/>
  <c r="H15" i="6"/>
  <c r="N55" i="5"/>
  <c r="N38" i="5"/>
  <c r="N19" i="5"/>
  <c r="I15" i="6"/>
  <c r="P55" i="5"/>
  <c r="P38" i="5"/>
  <c r="P19" i="5"/>
  <c r="L16" i="4"/>
  <c r="G16" i="6"/>
  <c r="M101" i="5"/>
  <c r="M100" i="5"/>
  <c r="M95" i="5"/>
  <c r="M80" i="5"/>
  <c r="M79" i="5"/>
  <c r="M54" i="5"/>
  <c r="M39" i="5"/>
  <c r="M34" i="5"/>
  <c r="M33" i="5"/>
  <c r="M18" i="5"/>
  <c r="K17" i="4"/>
  <c r="M17" i="4" s="1"/>
  <c r="N17" i="4" s="1"/>
  <c r="H16" i="6"/>
  <c r="N101" i="5"/>
  <c r="N100" i="5"/>
  <c r="N95" i="5"/>
  <c r="N80" i="5"/>
  <c r="N79" i="5"/>
  <c r="N54" i="5"/>
  <c r="N39" i="5"/>
  <c r="N34" i="5"/>
  <c r="N33" i="5"/>
  <c r="N18" i="5"/>
  <c r="I16" i="6"/>
  <c r="P101" i="5"/>
  <c r="P100" i="5"/>
  <c r="P95" i="5"/>
  <c r="P80" i="5"/>
  <c r="P79" i="5"/>
  <c r="P54" i="5"/>
  <c r="P39" i="5"/>
  <c r="P34" i="5"/>
  <c r="P33" i="5"/>
  <c r="P18" i="5"/>
  <c r="L17" i="4"/>
  <c r="G17" i="6"/>
  <c r="M121" i="5"/>
  <c r="K18" i="4"/>
  <c r="M18" i="4" s="1"/>
  <c r="N18" i="4" s="1"/>
  <c r="H17" i="6"/>
  <c r="N121" i="5"/>
  <c r="I17" i="6"/>
  <c r="P121" i="5"/>
  <c r="L18" i="4"/>
  <c r="G18" i="6"/>
  <c r="M123" i="5"/>
  <c r="K19" i="4"/>
  <c r="M19" i="4" s="1"/>
  <c r="N19" i="4" s="1"/>
  <c r="H18" i="6"/>
  <c r="N123" i="5"/>
  <c r="I18" i="6"/>
  <c r="P123" i="5"/>
  <c r="L19" i="4"/>
  <c r="G19" i="6"/>
  <c r="M160" i="5"/>
  <c r="M159" i="5"/>
  <c r="M158" i="5"/>
  <c r="M157" i="5"/>
  <c r="M156" i="5"/>
  <c r="M155" i="5"/>
  <c r="M154" i="5"/>
  <c r="M153" i="5"/>
  <c r="M140" i="5"/>
  <c r="K20" i="4"/>
  <c r="M20" i="4" s="1"/>
  <c r="N20" i="4" s="1"/>
  <c r="H19" i="6"/>
  <c r="N160" i="5"/>
  <c r="N159" i="5"/>
  <c r="N158" i="5"/>
  <c r="N157" i="5"/>
  <c r="N156" i="5"/>
  <c r="N155" i="5"/>
  <c r="N154" i="5"/>
  <c r="N153" i="5"/>
  <c r="N140" i="5"/>
  <c r="I19" i="6"/>
  <c r="P160" i="5"/>
  <c r="P159" i="5"/>
  <c r="P158" i="5"/>
  <c r="P157" i="5"/>
  <c r="P156" i="5"/>
  <c r="P155" i="5"/>
  <c r="P154" i="5"/>
  <c r="P153" i="5"/>
  <c r="P140" i="5"/>
  <c r="L20" i="4"/>
  <c r="G20" i="6"/>
  <c r="M109" i="5"/>
  <c r="M106" i="5"/>
  <c r="M104" i="5"/>
  <c r="M94" i="5"/>
  <c r="M93" i="5"/>
  <c r="M88" i="5"/>
  <c r="M77" i="5"/>
  <c r="M76" i="5"/>
  <c r="M71" i="5"/>
  <c r="M68" i="5"/>
  <c r="M59" i="5"/>
  <c r="M56" i="5"/>
  <c r="M47" i="5"/>
  <c r="M40" i="5"/>
  <c r="M32" i="5"/>
  <c r="M25" i="5"/>
  <c r="M13" i="5"/>
  <c r="M10" i="5"/>
  <c r="K21" i="4"/>
  <c r="M21" i="4" s="1"/>
  <c r="N21" i="4" s="1"/>
  <c r="H20" i="6"/>
  <c r="N109" i="5"/>
  <c r="N106" i="5"/>
  <c r="N104" i="5"/>
  <c r="N94" i="5"/>
  <c r="N93" i="5"/>
  <c r="N88" i="5"/>
  <c r="N77" i="5"/>
  <c r="N76" i="5"/>
  <c r="N71" i="5"/>
  <c r="N68" i="5"/>
  <c r="N59" i="5"/>
  <c r="N56" i="5"/>
  <c r="N47" i="5"/>
  <c r="N40" i="5"/>
  <c r="N32" i="5"/>
  <c r="N25" i="5"/>
  <c r="N13" i="5"/>
  <c r="N10" i="5"/>
  <c r="I20" i="6"/>
  <c r="P109" i="5"/>
  <c r="P106" i="5"/>
  <c r="P104" i="5"/>
  <c r="P94" i="5"/>
  <c r="P93" i="5"/>
  <c r="P88" i="5"/>
  <c r="P77" i="5"/>
  <c r="P76" i="5"/>
  <c r="P71" i="5"/>
  <c r="P68" i="5"/>
  <c r="P59" i="5"/>
  <c r="P56" i="5"/>
  <c r="P47" i="5"/>
  <c r="P40" i="5"/>
  <c r="P32" i="5"/>
  <c r="P25" i="5"/>
  <c r="P13" i="5"/>
  <c r="P10" i="5"/>
  <c r="L21" i="4"/>
  <c r="G21" i="6"/>
  <c r="M147" i="5"/>
  <c r="M146" i="5"/>
  <c r="M144" i="5"/>
  <c r="K22" i="4"/>
  <c r="M22" i="4" s="1"/>
  <c r="N22" i="4" s="1"/>
  <c r="H21" i="6"/>
  <c r="N147" i="5"/>
  <c r="N146" i="5"/>
  <c r="N144" i="5"/>
  <c r="I21" i="6"/>
  <c r="P147" i="5"/>
  <c r="P146" i="5"/>
  <c r="P144" i="5"/>
  <c r="L22" i="4"/>
  <c r="G22" i="6"/>
  <c r="M125" i="5"/>
  <c r="K23" i="4"/>
  <c r="M23" i="4" s="1"/>
  <c r="N23" i="4" s="1"/>
  <c r="H22" i="6"/>
  <c r="N125" i="5"/>
  <c r="I22" i="6"/>
  <c r="P125" i="5"/>
  <c r="L23" i="4"/>
  <c r="G23" i="6"/>
  <c r="M134" i="5"/>
  <c r="M126" i="5"/>
  <c r="K24" i="4"/>
  <c r="M24" i="4" s="1"/>
  <c r="N24" i="4" s="1"/>
  <c r="H23" i="6"/>
  <c r="N134" i="5"/>
  <c r="N126" i="5"/>
  <c r="I23" i="6"/>
  <c r="P134" i="5"/>
  <c r="P126" i="5"/>
  <c r="L24" i="4"/>
  <c r="G24" i="6"/>
  <c r="M149" i="5"/>
  <c r="M131" i="5"/>
  <c r="M127" i="5"/>
  <c r="K25" i="4"/>
  <c r="M25" i="4" s="1"/>
  <c r="N25" i="4" s="1"/>
  <c r="H24" i="6"/>
  <c r="N149" i="5"/>
  <c r="N131" i="5"/>
  <c r="N127" i="5"/>
  <c r="I24" i="6"/>
  <c r="P149" i="5"/>
  <c r="P131" i="5"/>
  <c r="P127" i="5"/>
  <c r="L25" i="4"/>
  <c r="G25" i="6"/>
  <c r="M111" i="5"/>
  <c r="M110" i="5"/>
  <c r="M108" i="5"/>
  <c r="M105" i="5"/>
  <c r="M103" i="5"/>
  <c r="M92" i="5"/>
  <c r="M89" i="5"/>
  <c r="M87" i="5"/>
  <c r="M86" i="5"/>
  <c r="M78" i="5"/>
  <c r="M75" i="5"/>
  <c r="M69" i="5"/>
  <c r="M67" i="5"/>
  <c r="M60" i="5"/>
  <c r="M57" i="5"/>
  <c r="M52" i="5"/>
  <c r="M46" i="5"/>
  <c r="M41" i="5"/>
  <c r="M36" i="5"/>
  <c r="M31" i="5"/>
  <c r="M27" i="5"/>
  <c r="M17" i="5"/>
  <c r="M14" i="5"/>
  <c r="M9" i="5"/>
  <c r="K26" i="4"/>
  <c r="M26" i="4" s="1"/>
  <c r="N26" i="4" s="1"/>
  <c r="H25" i="6"/>
  <c r="N111" i="5"/>
  <c r="N110" i="5"/>
  <c r="N108" i="5"/>
  <c r="N105" i="5"/>
  <c r="N103" i="5"/>
  <c r="N92" i="5"/>
  <c r="N89" i="5"/>
  <c r="N87" i="5"/>
  <c r="N86" i="5"/>
  <c r="N78" i="5"/>
  <c r="N75" i="5"/>
  <c r="N69" i="5"/>
  <c r="N67" i="5"/>
  <c r="N60" i="5"/>
  <c r="N57" i="5"/>
  <c r="N52" i="5"/>
  <c r="N46" i="5"/>
  <c r="N41" i="5"/>
  <c r="N36" i="5"/>
  <c r="N31" i="5"/>
  <c r="N27" i="5"/>
  <c r="N17" i="5"/>
  <c r="N14" i="5"/>
  <c r="N9" i="5"/>
  <c r="I25" i="6"/>
  <c r="P111" i="5"/>
  <c r="P110" i="5"/>
  <c r="P108" i="5"/>
  <c r="P105" i="5"/>
  <c r="P103" i="5"/>
  <c r="P92" i="5"/>
  <c r="P89" i="5"/>
  <c r="P87" i="5"/>
  <c r="P86" i="5"/>
  <c r="P78" i="5"/>
  <c r="P75" i="5"/>
  <c r="P69" i="5"/>
  <c r="P67" i="5"/>
  <c r="P60" i="5"/>
  <c r="P57" i="5"/>
  <c r="P52" i="5"/>
  <c r="P46" i="5"/>
  <c r="P41" i="5"/>
  <c r="P36" i="5"/>
  <c r="P31" i="5"/>
  <c r="P27" i="5"/>
  <c r="P17" i="5"/>
  <c r="P14" i="5"/>
  <c r="P9" i="5"/>
  <c r="L26" i="4"/>
  <c r="G26" i="6"/>
  <c r="M152" i="5"/>
  <c r="M151" i="5"/>
  <c r="M150" i="5"/>
  <c r="M143" i="5"/>
  <c r="M142" i="5"/>
  <c r="M141" i="5"/>
  <c r="M139" i="5"/>
  <c r="M133" i="5"/>
  <c r="M132" i="5"/>
  <c r="M130" i="5"/>
  <c r="M129" i="5"/>
  <c r="M128" i="5"/>
  <c r="M122" i="5"/>
  <c r="K27" i="4"/>
  <c r="M27" i="4" s="1"/>
  <c r="N27" i="4" s="1"/>
  <c r="H26" i="6"/>
  <c r="N152" i="5"/>
  <c r="N151" i="5"/>
  <c r="N150" i="5"/>
  <c r="N143" i="5"/>
  <c r="N142" i="5"/>
  <c r="N141" i="5"/>
  <c r="N139" i="5"/>
  <c r="N133" i="5"/>
  <c r="N132" i="5"/>
  <c r="N130" i="5"/>
  <c r="N129" i="5"/>
  <c r="N128" i="5"/>
  <c r="N122" i="5"/>
  <c r="I26" i="6"/>
  <c r="P152" i="5"/>
  <c r="P151" i="5"/>
  <c r="P150" i="5"/>
  <c r="P143" i="5"/>
  <c r="P142" i="5"/>
  <c r="P141" i="5"/>
  <c r="P139" i="5"/>
  <c r="P133" i="5"/>
  <c r="P132" i="5"/>
  <c r="P130" i="5"/>
  <c r="P129" i="5"/>
  <c r="P128" i="5"/>
  <c r="P122" i="5"/>
  <c r="L27" i="4"/>
  <c r="G27" i="6"/>
  <c r="M115" i="5"/>
  <c r="K28" i="4"/>
  <c r="M28" i="4" s="1"/>
  <c r="N28" i="4" s="1"/>
  <c r="H27" i="6"/>
  <c r="N115" i="5"/>
  <c r="I27" i="6"/>
  <c r="P115" i="5"/>
  <c r="L28" i="4"/>
  <c r="G28" i="6"/>
  <c r="M136" i="5"/>
  <c r="M120" i="5"/>
  <c r="K29" i="4"/>
  <c r="M29" i="4" s="1"/>
  <c r="N29" i="4" s="1"/>
  <c r="H28" i="6"/>
  <c r="N136" i="5"/>
  <c r="N120" i="5"/>
  <c r="I28" i="6"/>
  <c r="P136" i="5"/>
  <c r="P120" i="5"/>
  <c r="L29" i="4"/>
  <c r="G29" i="6"/>
  <c r="M112" i="5"/>
  <c r="M102" i="5"/>
  <c r="M99" i="5"/>
  <c r="M83" i="5"/>
  <c r="M62" i="5"/>
  <c r="M37" i="5"/>
  <c r="M24" i="5"/>
  <c r="M22" i="5"/>
  <c r="M6" i="5"/>
  <c r="K30" i="4"/>
  <c r="M30" i="4" s="1"/>
  <c r="N30" i="4" s="1"/>
  <c r="H29" i="6"/>
  <c r="N112" i="5"/>
  <c r="N102" i="5"/>
  <c r="N99" i="5"/>
  <c r="N83" i="5"/>
  <c r="N62" i="5"/>
  <c r="N37" i="5"/>
  <c r="N24" i="5"/>
  <c r="N22" i="5"/>
  <c r="N6" i="5"/>
  <c r="I29" i="6"/>
  <c r="P112" i="5"/>
  <c r="P102" i="5"/>
  <c r="P99" i="5"/>
  <c r="P83" i="5"/>
  <c r="P62" i="5"/>
  <c r="P37" i="5"/>
  <c r="P24" i="5"/>
  <c r="P22" i="5"/>
  <c r="P6" i="5"/>
  <c r="L30" i="4"/>
  <c r="G30" i="6"/>
  <c r="M138" i="5"/>
  <c r="M137" i="5"/>
  <c r="K31" i="4"/>
  <c r="M31" i="4" s="1"/>
  <c r="N31" i="4" s="1"/>
  <c r="H30" i="6"/>
  <c r="N138" i="5"/>
  <c r="N137" i="5"/>
  <c r="I30" i="6"/>
  <c r="P138" i="5"/>
  <c r="P137" i="5"/>
  <c r="L31" i="4"/>
  <c r="G31" i="6"/>
  <c r="M84" i="5"/>
  <c r="M23" i="5"/>
  <c r="K32" i="4"/>
  <c r="M32" i="4" s="1"/>
  <c r="N32" i="4" s="1"/>
  <c r="H31" i="6"/>
  <c r="N84" i="5"/>
  <c r="N23" i="5"/>
  <c r="I31" i="6"/>
  <c r="P84" i="5"/>
  <c r="P23" i="5"/>
  <c r="L32" i="4"/>
  <c r="G32" i="6"/>
  <c r="M96" i="5"/>
  <c r="K33" i="4"/>
  <c r="M33" i="4" s="1"/>
  <c r="N33" i="4" s="1"/>
  <c r="H32" i="6"/>
  <c r="N96" i="5"/>
  <c r="I32" i="6"/>
  <c r="P96" i="5"/>
  <c r="L33" i="4"/>
  <c r="K6" i="10"/>
  <c r="K7" i="10" s="1"/>
  <c r="K10" i="10"/>
  <c r="K11" i="10" s="1"/>
  <c r="K14" i="10"/>
  <c r="K15" i="10" s="1"/>
  <c r="K18" i="10"/>
  <c r="K19" i="10" s="1"/>
  <c r="K22" i="10"/>
  <c r="K23" i="10" s="1"/>
  <c r="Q96" i="5" l="1"/>
  <c r="Q23" i="5"/>
  <c r="Q84" i="5"/>
  <c r="Q137" i="5"/>
  <c r="Q138" i="5"/>
  <c r="Q6" i="5"/>
  <c r="Q22" i="5"/>
  <c r="Q24" i="5"/>
  <c r="Q37" i="5"/>
  <c r="Q62" i="5"/>
  <c r="Q83" i="5"/>
  <c r="Q99" i="5"/>
  <c r="Q102" i="5"/>
  <c r="Q112" i="5"/>
  <c r="Q120" i="5"/>
  <c r="Q136" i="5"/>
  <c r="Q115" i="5"/>
  <c r="Q122" i="5"/>
  <c r="Q128" i="5"/>
  <c r="Q129" i="5"/>
  <c r="Q130" i="5"/>
  <c r="Q132" i="5"/>
  <c r="Q133" i="5"/>
  <c r="Q139" i="5"/>
  <c r="Q141" i="5"/>
  <c r="Q142" i="5"/>
  <c r="Q143" i="5"/>
  <c r="Q150" i="5"/>
  <c r="Q151" i="5"/>
  <c r="Q152" i="5"/>
  <c r="Q9" i="5"/>
  <c r="Q14" i="5"/>
  <c r="Q17" i="5"/>
  <c r="Q27" i="5"/>
  <c r="Q31" i="5"/>
  <c r="Q36" i="5"/>
  <c r="Q41" i="5"/>
  <c r="Q46" i="5"/>
  <c r="Q52" i="5"/>
  <c r="Q57" i="5"/>
  <c r="Q60" i="5"/>
  <c r="Q67" i="5"/>
  <c r="Q69" i="5"/>
  <c r="Q75" i="5"/>
  <c r="Q78" i="5"/>
  <c r="Q86" i="5"/>
  <c r="Q87" i="5"/>
  <c r="Q89" i="5"/>
  <c r="Q92" i="5"/>
  <c r="Q103" i="5"/>
  <c r="Q105" i="5"/>
  <c r="Q108" i="5"/>
  <c r="Q110" i="5"/>
  <c r="Q111" i="5"/>
  <c r="Q127" i="5"/>
  <c r="Q131" i="5"/>
  <c r="Q149" i="5"/>
  <c r="Q126" i="5"/>
  <c r="Q134" i="5"/>
  <c r="Q125" i="5"/>
  <c r="Q144" i="5"/>
  <c r="Q146" i="5"/>
  <c r="Q147" i="5"/>
  <c r="Q10" i="5"/>
  <c r="Q13" i="5"/>
  <c r="Q25" i="5"/>
  <c r="Q32" i="5"/>
  <c r="Q40" i="5"/>
  <c r="Q47" i="5"/>
  <c r="Q56" i="5"/>
  <c r="Q59" i="5"/>
  <c r="Q68" i="5"/>
  <c r="Q71" i="5"/>
  <c r="Q76" i="5"/>
  <c r="Q77" i="5"/>
  <c r="Q88" i="5"/>
  <c r="Q93" i="5"/>
  <c r="Q94" i="5"/>
  <c r="Q104" i="5"/>
  <c r="Q106" i="5"/>
  <c r="Q109" i="5"/>
  <c r="Q140" i="5"/>
  <c r="Q153" i="5"/>
  <c r="Q154" i="5"/>
  <c r="Q155" i="5"/>
  <c r="Q156" i="5"/>
  <c r="Q157" i="5"/>
  <c r="Q158" i="5"/>
  <c r="Q159" i="5"/>
  <c r="Q160" i="5"/>
  <c r="Q123" i="5"/>
  <c r="Q121" i="5"/>
  <c r="Q18" i="5"/>
  <c r="Q33" i="5"/>
  <c r="Q34" i="5"/>
  <c r="Q39" i="5"/>
  <c r="Q54" i="5"/>
  <c r="Q79" i="5"/>
  <c r="Q80" i="5"/>
  <c r="Q95" i="5"/>
  <c r="Q100" i="5"/>
  <c r="Q101" i="5"/>
  <c r="Q19" i="5"/>
  <c r="Q38" i="5"/>
  <c r="Q55" i="5"/>
  <c r="Q124" i="5"/>
  <c r="Q114" i="5"/>
  <c r="Q118" i="5"/>
  <c r="Q135" i="5"/>
  <c r="Q5" i="5"/>
  <c r="Q51" i="5"/>
  <c r="Q65" i="5"/>
  <c r="Q119" i="5"/>
  <c r="Q113" i="5"/>
  <c r="Q145" i="5"/>
  <c r="Q148" i="5"/>
  <c r="Q161" i="5"/>
  <c r="Q8" i="5"/>
  <c r="Q11" i="5"/>
  <c r="Q12" i="5"/>
  <c r="Q15" i="5"/>
  <c r="Q16" i="5"/>
  <c r="Q26" i="5"/>
  <c r="Q28" i="5"/>
  <c r="Q29" i="5"/>
  <c r="Q30" i="5"/>
  <c r="Q42" i="5"/>
  <c r="Q43" i="5"/>
  <c r="Q44" i="5"/>
  <c r="Q45" i="5"/>
  <c r="Q58" i="5"/>
  <c r="Q61" i="5"/>
  <c r="Q70" i="5"/>
  <c r="Q72" i="5"/>
  <c r="Q73" i="5"/>
  <c r="Q74" i="5"/>
  <c r="Q90" i="5"/>
  <c r="Q91" i="5"/>
  <c r="Q107" i="5"/>
  <c r="Q35" i="5"/>
  <c r="L34" i="4"/>
  <c r="K34" i="4"/>
  <c r="M6" i="4"/>
  <c r="Q7" i="5"/>
  <c r="Q48" i="5"/>
  <c r="Q53" i="5"/>
  <c r="Q66" i="5"/>
  <c r="Q85" i="5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6" i="11"/>
  <c r="L16" i="11" s="1"/>
  <c r="L13" i="11"/>
  <c r="K7" i="9"/>
  <c r="L6" i="9"/>
  <c r="L6" i="10"/>
  <c r="L10" i="10"/>
  <c r="L14" i="10"/>
  <c r="L18" i="10"/>
  <c r="L22" i="10"/>
  <c r="K10" i="11"/>
  <c r="L6" i="11"/>
  <c r="K18" i="11" l="1"/>
  <c r="L10" i="11"/>
  <c r="L23" i="10"/>
  <c r="M23" i="10" s="1"/>
  <c r="M22" i="10"/>
  <c r="L19" i="10"/>
  <c r="M19" i="10" s="1"/>
  <c r="M18" i="10"/>
  <c r="L15" i="10"/>
  <c r="M15" i="10" s="1"/>
  <c r="M14" i="10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T85" i="5"/>
  <c r="U85" i="5" s="1"/>
  <c r="S85" i="5"/>
  <c r="R85" i="5"/>
  <c r="T66" i="5"/>
  <c r="U66" i="5" s="1"/>
  <c r="S66" i="5"/>
  <c r="R66" i="5"/>
  <c r="T53" i="5"/>
  <c r="U53" i="5" s="1"/>
  <c r="S53" i="5"/>
  <c r="R53" i="5"/>
  <c r="T48" i="5"/>
  <c r="U48" i="5" s="1"/>
  <c r="S48" i="5"/>
  <c r="R48" i="5"/>
  <c r="T7" i="5"/>
  <c r="U7" i="5" s="1"/>
  <c r="S7" i="5"/>
  <c r="R7" i="5"/>
  <c r="M34" i="4"/>
  <c r="N6" i="4"/>
  <c r="N34" i="4" s="1"/>
  <c r="N39" i="4" s="1"/>
  <c r="T35" i="5"/>
  <c r="U35" i="5" s="1"/>
  <c r="S35" i="5"/>
  <c r="R35" i="5"/>
  <c r="T107" i="5"/>
  <c r="U107" i="5" s="1"/>
  <c r="S107" i="5"/>
  <c r="R107" i="5"/>
  <c r="T91" i="5"/>
  <c r="U91" i="5" s="1"/>
  <c r="S91" i="5"/>
  <c r="R91" i="5"/>
  <c r="T90" i="5"/>
  <c r="U90" i="5" s="1"/>
  <c r="S90" i="5"/>
  <c r="R90" i="5"/>
  <c r="T74" i="5"/>
  <c r="U74" i="5" s="1"/>
  <c r="S74" i="5"/>
  <c r="R74" i="5"/>
  <c r="T73" i="5"/>
  <c r="U73" i="5" s="1"/>
  <c r="S73" i="5"/>
  <c r="R73" i="5"/>
  <c r="T72" i="5"/>
  <c r="U72" i="5" s="1"/>
  <c r="S72" i="5"/>
  <c r="R72" i="5"/>
  <c r="T70" i="5"/>
  <c r="U70" i="5" s="1"/>
  <c r="S70" i="5"/>
  <c r="R70" i="5"/>
  <c r="T61" i="5"/>
  <c r="U61" i="5" s="1"/>
  <c r="S61" i="5"/>
  <c r="R61" i="5"/>
  <c r="T58" i="5"/>
  <c r="U58" i="5" s="1"/>
  <c r="S58" i="5"/>
  <c r="R58" i="5"/>
  <c r="T45" i="5"/>
  <c r="U45" i="5" s="1"/>
  <c r="S45" i="5"/>
  <c r="R45" i="5"/>
  <c r="T44" i="5"/>
  <c r="U44" i="5" s="1"/>
  <c r="S44" i="5"/>
  <c r="R44" i="5"/>
  <c r="T43" i="5"/>
  <c r="U43" i="5" s="1"/>
  <c r="S43" i="5"/>
  <c r="R43" i="5"/>
  <c r="T42" i="5"/>
  <c r="U42" i="5" s="1"/>
  <c r="S42" i="5"/>
  <c r="R42" i="5"/>
  <c r="T30" i="5"/>
  <c r="U30" i="5" s="1"/>
  <c r="S30" i="5"/>
  <c r="R30" i="5"/>
  <c r="T29" i="5"/>
  <c r="U29" i="5" s="1"/>
  <c r="S29" i="5"/>
  <c r="R29" i="5"/>
  <c r="T28" i="5"/>
  <c r="U28" i="5" s="1"/>
  <c r="S28" i="5"/>
  <c r="R28" i="5"/>
  <c r="T26" i="5"/>
  <c r="U26" i="5" s="1"/>
  <c r="S26" i="5"/>
  <c r="R26" i="5"/>
  <c r="T16" i="5"/>
  <c r="U16" i="5" s="1"/>
  <c r="S16" i="5"/>
  <c r="R16" i="5"/>
  <c r="T15" i="5"/>
  <c r="U15" i="5" s="1"/>
  <c r="S15" i="5"/>
  <c r="R15" i="5"/>
  <c r="T12" i="5"/>
  <c r="U12" i="5" s="1"/>
  <c r="S12" i="5"/>
  <c r="R12" i="5"/>
  <c r="T11" i="5"/>
  <c r="U11" i="5" s="1"/>
  <c r="S11" i="5"/>
  <c r="R11" i="5"/>
  <c r="T8" i="5"/>
  <c r="U8" i="5" s="1"/>
  <c r="S8" i="5"/>
  <c r="R8" i="5"/>
  <c r="T161" i="5"/>
  <c r="U161" i="5" s="1"/>
  <c r="S161" i="5"/>
  <c r="R161" i="5"/>
  <c r="T148" i="5"/>
  <c r="U148" i="5" s="1"/>
  <c r="S148" i="5"/>
  <c r="R148" i="5"/>
  <c r="T145" i="5"/>
  <c r="U145" i="5" s="1"/>
  <c r="S145" i="5"/>
  <c r="R145" i="5"/>
  <c r="T113" i="5"/>
  <c r="U113" i="5" s="1"/>
  <c r="S113" i="5"/>
  <c r="R113" i="5"/>
  <c r="T119" i="5"/>
  <c r="U119" i="5" s="1"/>
  <c r="S119" i="5"/>
  <c r="R119" i="5"/>
  <c r="Q81" i="5"/>
  <c r="T65" i="5"/>
  <c r="S65" i="5"/>
  <c r="S81" i="5" s="1"/>
  <c r="R65" i="5"/>
  <c r="R81" i="5" s="1"/>
  <c r="Q63" i="5"/>
  <c r="T51" i="5"/>
  <c r="S51" i="5"/>
  <c r="S63" i="5" s="1"/>
  <c r="R51" i="5"/>
  <c r="R63" i="5" s="1"/>
  <c r="Q20" i="5"/>
  <c r="T5" i="5"/>
  <c r="S5" i="5"/>
  <c r="S20" i="5" s="1"/>
  <c r="R5" i="5"/>
  <c r="R20" i="5" s="1"/>
  <c r="T135" i="5"/>
  <c r="U135" i="5" s="1"/>
  <c r="S135" i="5"/>
  <c r="R135" i="5"/>
  <c r="Q162" i="5"/>
  <c r="T118" i="5"/>
  <c r="S118" i="5"/>
  <c r="S162" i="5" s="1"/>
  <c r="R118" i="5"/>
  <c r="R162" i="5" s="1"/>
  <c r="T114" i="5"/>
  <c r="U114" i="5" s="1"/>
  <c r="S114" i="5"/>
  <c r="R114" i="5"/>
  <c r="T124" i="5"/>
  <c r="U124" i="5" s="1"/>
  <c r="S124" i="5"/>
  <c r="R124" i="5"/>
  <c r="T55" i="5"/>
  <c r="U55" i="5" s="1"/>
  <c r="S55" i="5"/>
  <c r="R55" i="5"/>
  <c r="T38" i="5"/>
  <c r="U38" i="5" s="1"/>
  <c r="S38" i="5"/>
  <c r="R38" i="5"/>
  <c r="T19" i="5"/>
  <c r="U19" i="5" s="1"/>
  <c r="S19" i="5"/>
  <c r="R19" i="5"/>
  <c r="T101" i="5"/>
  <c r="U101" i="5" s="1"/>
  <c r="S101" i="5"/>
  <c r="R101" i="5"/>
  <c r="T100" i="5"/>
  <c r="U100" i="5" s="1"/>
  <c r="S100" i="5"/>
  <c r="R100" i="5"/>
  <c r="T95" i="5"/>
  <c r="U95" i="5" s="1"/>
  <c r="S95" i="5"/>
  <c r="R95" i="5"/>
  <c r="T80" i="5"/>
  <c r="U80" i="5" s="1"/>
  <c r="S80" i="5"/>
  <c r="R80" i="5"/>
  <c r="T79" i="5"/>
  <c r="U79" i="5" s="1"/>
  <c r="S79" i="5"/>
  <c r="R79" i="5"/>
  <c r="T54" i="5"/>
  <c r="U54" i="5" s="1"/>
  <c r="S54" i="5"/>
  <c r="R54" i="5"/>
  <c r="T39" i="5"/>
  <c r="U39" i="5" s="1"/>
  <c r="S39" i="5"/>
  <c r="R39" i="5"/>
  <c r="T34" i="5"/>
  <c r="U34" i="5" s="1"/>
  <c r="S34" i="5"/>
  <c r="R34" i="5"/>
  <c r="T33" i="5"/>
  <c r="U33" i="5" s="1"/>
  <c r="S33" i="5"/>
  <c r="R33" i="5"/>
  <c r="T18" i="5"/>
  <c r="U18" i="5" s="1"/>
  <c r="S18" i="5"/>
  <c r="R18" i="5"/>
  <c r="T121" i="5"/>
  <c r="U121" i="5" s="1"/>
  <c r="S121" i="5"/>
  <c r="R121" i="5"/>
  <c r="T123" i="5"/>
  <c r="U123" i="5" s="1"/>
  <c r="S123" i="5"/>
  <c r="R123" i="5"/>
  <c r="T160" i="5"/>
  <c r="U160" i="5" s="1"/>
  <c r="S160" i="5"/>
  <c r="R160" i="5"/>
  <c r="T159" i="5"/>
  <c r="U159" i="5" s="1"/>
  <c r="S159" i="5"/>
  <c r="R159" i="5"/>
  <c r="T158" i="5"/>
  <c r="U158" i="5" s="1"/>
  <c r="S158" i="5"/>
  <c r="R158" i="5"/>
  <c r="T157" i="5"/>
  <c r="U157" i="5" s="1"/>
  <c r="S157" i="5"/>
  <c r="R157" i="5"/>
  <c r="T156" i="5"/>
  <c r="U156" i="5" s="1"/>
  <c r="S156" i="5"/>
  <c r="R156" i="5"/>
  <c r="T155" i="5"/>
  <c r="U155" i="5" s="1"/>
  <c r="S155" i="5"/>
  <c r="R155" i="5"/>
  <c r="T154" i="5"/>
  <c r="U154" i="5" s="1"/>
  <c r="S154" i="5"/>
  <c r="R154" i="5"/>
  <c r="T153" i="5"/>
  <c r="U153" i="5" s="1"/>
  <c r="S153" i="5"/>
  <c r="R153" i="5"/>
  <c r="T140" i="5"/>
  <c r="U140" i="5" s="1"/>
  <c r="S140" i="5"/>
  <c r="R140" i="5"/>
  <c r="T109" i="5"/>
  <c r="U109" i="5" s="1"/>
  <c r="S109" i="5"/>
  <c r="R109" i="5"/>
  <c r="T106" i="5"/>
  <c r="U106" i="5" s="1"/>
  <c r="S106" i="5"/>
  <c r="R106" i="5"/>
  <c r="T104" i="5"/>
  <c r="U104" i="5" s="1"/>
  <c r="S104" i="5"/>
  <c r="R104" i="5"/>
  <c r="T94" i="5"/>
  <c r="U94" i="5" s="1"/>
  <c r="S94" i="5"/>
  <c r="R94" i="5"/>
  <c r="T93" i="5"/>
  <c r="U93" i="5" s="1"/>
  <c r="S93" i="5"/>
  <c r="R93" i="5"/>
  <c r="T88" i="5"/>
  <c r="U88" i="5" s="1"/>
  <c r="S88" i="5"/>
  <c r="R88" i="5"/>
  <c r="T77" i="5"/>
  <c r="U77" i="5" s="1"/>
  <c r="S77" i="5"/>
  <c r="R77" i="5"/>
  <c r="T76" i="5"/>
  <c r="U76" i="5" s="1"/>
  <c r="S76" i="5"/>
  <c r="R76" i="5"/>
  <c r="T71" i="5"/>
  <c r="U71" i="5" s="1"/>
  <c r="S71" i="5"/>
  <c r="R71" i="5"/>
  <c r="T68" i="5"/>
  <c r="U68" i="5" s="1"/>
  <c r="S68" i="5"/>
  <c r="R68" i="5"/>
  <c r="T59" i="5"/>
  <c r="U59" i="5" s="1"/>
  <c r="S59" i="5"/>
  <c r="R59" i="5"/>
  <c r="T56" i="5"/>
  <c r="U56" i="5" s="1"/>
  <c r="S56" i="5"/>
  <c r="R56" i="5"/>
  <c r="T47" i="5"/>
  <c r="U47" i="5" s="1"/>
  <c r="S47" i="5"/>
  <c r="R47" i="5"/>
  <c r="T40" i="5"/>
  <c r="U40" i="5" s="1"/>
  <c r="S40" i="5"/>
  <c r="R40" i="5"/>
  <c r="T32" i="5"/>
  <c r="U32" i="5" s="1"/>
  <c r="S32" i="5"/>
  <c r="R32" i="5"/>
  <c r="T25" i="5"/>
  <c r="U25" i="5" s="1"/>
  <c r="S25" i="5"/>
  <c r="R25" i="5"/>
  <c r="T13" i="5"/>
  <c r="U13" i="5" s="1"/>
  <c r="S13" i="5"/>
  <c r="R13" i="5"/>
  <c r="T10" i="5"/>
  <c r="U10" i="5" s="1"/>
  <c r="S10" i="5"/>
  <c r="R10" i="5"/>
  <c r="T147" i="5"/>
  <c r="U147" i="5" s="1"/>
  <c r="S147" i="5"/>
  <c r="R147" i="5"/>
  <c r="T146" i="5"/>
  <c r="U146" i="5" s="1"/>
  <c r="S146" i="5"/>
  <c r="R146" i="5"/>
  <c r="T144" i="5"/>
  <c r="U144" i="5" s="1"/>
  <c r="S144" i="5"/>
  <c r="R144" i="5"/>
  <c r="T125" i="5"/>
  <c r="U125" i="5" s="1"/>
  <c r="S125" i="5"/>
  <c r="R125" i="5"/>
  <c r="T134" i="5"/>
  <c r="U134" i="5" s="1"/>
  <c r="S134" i="5"/>
  <c r="R134" i="5"/>
  <c r="T126" i="5"/>
  <c r="U126" i="5" s="1"/>
  <c r="S126" i="5"/>
  <c r="R126" i="5"/>
  <c r="T149" i="5"/>
  <c r="U149" i="5" s="1"/>
  <c r="S149" i="5"/>
  <c r="R149" i="5"/>
  <c r="T131" i="5"/>
  <c r="U131" i="5" s="1"/>
  <c r="S131" i="5"/>
  <c r="R131" i="5"/>
  <c r="T127" i="5"/>
  <c r="U127" i="5" s="1"/>
  <c r="S127" i="5"/>
  <c r="R127" i="5"/>
  <c r="T111" i="5"/>
  <c r="U111" i="5" s="1"/>
  <c r="S111" i="5"/>
  <c r="R111" i="5"/>
  <c r="T110" i="5"/>
  <c r="U110" i="5" s="1"/>
  <c r="S110" i="5"/>
  <c r="R110" i="5"/>
  <c r="T108" i="5"/>
  <c r="U108" i="5" s="1"/>
  <c r="S108" i="5"/>
  <c r="R108" i="5"/>
  <c r="T105" i="5"/>
  <c r="U105" i="5" s="1"/>
  <c r="S105" i="5"/>
  <c r="R105" i="5"/>
  <c r="T103" i="5"/>
  <c r="U103" i="5" s="1"/>
  <c r="S103" i="5"/>
  <c r="R103" i="5"/>
  <c r="T92" i="5"/>
  <c r="U92" i="5" s="1"/>
  <c r="S92" i="5"/>
  <c r="R92" i="5"/>
  <c r="T89" i="5"/>
  <c r="U89" i="5" s="1"/>
  <c r="S89" i="5"/>
  <c r="R89" i="5"/>
  <c r="T87" i="5"/>
  <c r="U87" i="5" s="1"/>
  <c r="S87" i="5"/>
  <c r="R87" i="5"/>
  <c r="T86" i="5"/>
  <c r="U86" i="5" s="1"/>
  <c r="S86" i="5"/>
  <c r="R86" i="5"/>
  <c r="T78" i="5"/>
  <c r="U78" i="5" s="1"/>
  <c r="S78" i="5"/>
  <c r="R78" i="5"/>
  <c r="T75" i="5"/>
  <c r="U75" i="5" s="1"/>
  <c r="S75" i="5"/>
  <c r="R75" i="5"/>
  <c r="T69" i="5"/>
  <c r="U69" i="5" s="1"/>
  <c r="S69" i="5"/>
  <c r="R69" i="5"/>
  <c r="T67" i="5"/>
  <c r="U67" i="5" s="1"/>
  <c r="S67" i="5"/>
  <c r="R67" i="5"/>
  <c r="T60" i="5"/>
  <c r="U60" i="5" s="1"/>
  <c r="S60" i="5"/>
  <c r="R60" i="5"/>
  <c r="T57" i="5"/>
  <c r="U57" i="5" s="1"/>
  <c r="S57" i="5"/>
  <c r="R57" i="5"/>
  <c r="T52" i="5"/>
  <c r="U52" i="5" s="1"/>
  <c r="S52" i="5"/>
  <c r="R52" i="5"/>
  <c r="T46" i="5"/>
  <c r="U46" i="5" s="1"/>
  <c r="S46" i="5"/>
  <c r="R46" i="5"/>
  <c r="T41" i="5"/>
  <c r="U41" i="5" s="1"/>
  <c r="S41" i="5"/>
  <c r="R41" i="5"/>
  <c r="T36" i="5"/>
  <c r="U36" i="5" s="1"/>
  <c r="S36" i="5"/>
  <c r="R36" i="5"/>
  <c r="T31" i="5"/>
  <c r="U31" i="5" s="1"/>
  <c r="S31" i="5"/>
  <c r="R31" i="5"/>
  <c r="T27" i="5"/>
  <c r="U27" i="5" s="1"/>
  <c r="S27" i="5"/>
  <c r="R27" i="5"/>
  <c r="T17" i="5"/>
  <c r="U17" i="5" s="1"/>
  <c r="S17" i="5"/>
  <c r="R17" i="5"/>
  <c r="T14" i="5"/>
  <c r="U14" i="5" s="1"/>
  <c r="S14" i="5"/>
  <c r="R14" i="5"/>
  <c r="T9" i="5"/>
  <c r="U9" i="5" s="1"/>
  <c r="S9" i="5"/>
  <c r="R9" i="5"/>
  <c r="T152" i="5"/>
  <c r="U152" i="5" s="1"/>
  <c r="S152" i="5"/>
  <c r="R152" i="5"/>
  <c r="T151" i="5"/>
  <c r="U151" i="5" s="1"/>
  <c r="S151" i="5"/>
  <c r="R151" i="5"/>
  <c r="T150" i="5"/>
  <c r="U150" i="5" s="1"/>
  <c r="S150" i="5"/>
  <c r="R150" i="5"/>
  <c r="T143" i="5"/>
  <c r="U143" i="5" s="1"/>
  <c r="S143" i="5"/>
  <c r="R143" i="5"/>
  <c r="T142" i="5"/>
  <c r="U142" i="5" s="1"/>
  <c r="S142" i="5"/>
  <c r="R142" i="5"/>
  <c r="T141" i="5"/>
  <c r="U141" i="5" s="1"/>
  <c r="S141" i="5"/>
  <c r="R141" i="5"/>
  <c r="T139" i="5"/>
  <c r="U139" i="5" s="1"/>
  <c r="S139" i="5"/>
  <c r="R139" i="5"/>
  <c r="T133" i="5"/>
  <c r="U133" i="5" s="1"/>
  <c r="S133" i="5"/>
  <c r="R133" i="5"/>
  <c r="T132" i="5"/>
  <c r="U132" i="5" s="1"/>
  <c r="S132" i="5"/>
  <c r="R132" i="5"/>
  <c r="T130" i="5"/>
  <c r="U130" i="5" s="1"/>
  <c r="S130" i="5"/>
  <c r="R130" i="5"/>
  <c r="T129" i="5"/>
  <c r="U129" i="5" s="1"/>
  <c r="S129" i="5"/>
  <c r="R129" i="5"/>
  <c r="T128" i="5"/>
  <c r="U128" i="5" s="1"/>
  <c r="S128" i="5"/>
  <c r="R128" i="5"/>
  <c r="T122" i="5"/>
  <c r="U122" i="5" s="1"/>
  <c r="S122" i="5"/>
  <c r="R122" i="5"/>
  <c r="T115" i="5"/>
  <c r="U115" i="5" s="1"/>
  <c r="S115" i="5"/>
  <c r="R115" i="5"/>
  <c r="T136" i="5"/>
  <c r="U136" i="5" s="1"/>
  <c r="S136" i="5"/>
  <c r="R136" i="5"/>
  <c r="T120" i="5"/>
  <c r="U120" i="5" s="1"/>
  <c r="S120" i="5"/>
  <c r="R120" i="5"/>
  <c r="T112" i="5"/>
  <c r="U112" i="5" s="1"/>
  <c r="S112" i="5"/>
  <c r="R112" i="5"/>
  <c r="T102" i="5"/>
  <c r="U102" i="5" s="1"/>
  <c r="S102" i="5"/>
  <c r="R102" i="5"/>
  <c r="Q116" i="5"/>
  <c r="T99" i="5"/>
  <c r="S99" i="5"/>
  <c r="S116" i="5" s="1"/>
  <c r="R99" i="5"/>
  <c r="R116" i="5" s="1"/>
  <c r="Q97" i="5"/>
  <c r="T83" i="5"/>
  <c r="S83" i="5"/>
  <c r="S97" i="5" s="1"/>
  <c r="R83" i="5"/>
  <c r="R97" i="5" s="1"/>
  <c r="T62" i="5"/>
  <c r="U62" i="5" s="1"/>
  <c r="S62" i="5"/>
  <c r="R62" i="5"/>
  <c r="T37" i="5"/>
  <c r="U37" i="5" s="1"/>
  <c r="S37" i="5"/>
  <c r="R37" i="5"/>
  <c r="T24" i="5"/>
  <c r="U24" i="5" s="1"/>
  <c r="S24" i="5"/>
  <c r="R24" i="5"/>
  <c r="Q49" i="5"/>
  <c r="T22" i="5"/>
  <c r="S22" i="5"/>
  <c r="S49" i="5" s="1"/>
  <c r="R22" i="5"/>
  <c r="R49" i="5" s="1"/>
  <c r="T6" i="5"/>
  <c r="U6" i="5" s="1"/>
  <c r="S6" i="5"/>
  <c r="R6" i="5"/>
  <c r="T138" i="5"/>
  <c r="U138" i="5" s="1"/>
  <c r="S138" i="5"/>
  <c r="R138" i="5"/>
  <c r="T137" i="5"/>
  <c r="U137" i="5" s="1"/>
  <c r="S137" i="5"/>
  <c r="R137" i="5"/>
  <c r="T84" i="5"/>
  <c r="U84" i="5" s="1"/>
  <c r="S84" i="5"/>
  <c r="R84" i="5"/>
  <c r="T23" i="5"/>
  <c r="U23" i="5" s="1"/>
  <c r="S23" i="5"/>
  <c r="R23" i="5"/>
  <c r="T96" i="5"/>
  <c r="U96" i="5" s="1"/>
  <c r="S96" i="5"/>
  <c r="R96" i="5"/>
  <c r="T49" i="5" l="1"/>
  <c r="P49" i="5" s="1"/>
  <c r="U22" i="5"/>
  <c r="U49" i="5" s="1"/>
  <c r="T97" i="5"/>
  <c r="P97" i="5" s="1"/>
  <c r="U83" i="5"/>
  <c r="U97" i="5" s="1"/>
  <c r="T116" i="5"/>
  <c r="P116" i="5" s="1"/>
  <c r="U99" i="5"/>
  <c r="U116" i="5" s="1"/>
  <c r="T162" i="5"/>
  <c r="P162" i="5" s="1"/>
  <c r="U118" i="5"/>
  <c r="U162" i="5" s="1"/>
  <c r="T20" i="5"/>
  <c r="P20" i="5" s="1"/>
  <c r="U5" i="5"/>
  <c r="U20" i="5" s="1"/>
  <c r="T63" i="5"/>
  <c r="P63" i="5" s="1"/>
  <c r="U51" i="5"/>
  <c r="U63" i="5" s="1"/>
  <c r="T81" i="5"/>
  <c r="P81" i="5" s="1"/>
  <c r="U65" i="5"/>
  <c r="U81" i="5" s="1"/>
  <c r="M39" i="4"/>
  <c r="J36" i="4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5" i="13"/>
  <c r="L9" i="9"/>
  <c r="D6" i="13"/>
  <c r="L18" i="11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F12" i="7"/>
  <c r="N12" i="7" s="1"/>
  <c r="F11" i="7"/>
  <c r="N11" i="7" s="1"/>
  <c r="F10" i="7"/>
  <c r="N10" i="7" s="1"/>
  <c r="F9" i="7"/>
  <c r="N9" i="7" s="1"/>
  <c r="F8" i="7"/>
  <c r="N8" i="7" s="1"/>
  <c r="F7" i="7"/>
  <c r="N7" i="7" s="1"/>
  <c r="F6" i="7"/>
  <c r="N6" i="7" s="1"/>
  <c r="O37" i="2" l="1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M12" i="7"/>
  <c r="O12" i="7"/>
  <c r="R12" i="7"/>
  <c r="S12" i="7"/>
  <c r="G10" i="8"/>
  <c r="H10" i="8"/>
  <c r="I12" i="7"/>
  <c r="K12" i="7"/>
  <c r="P12" i="7"/>
  <c r="E10" i="8"/>
  <c r="G12" i="7"/>
  <c r="H12" i="7"/>
  <c r="L12" i="7"/>
  <c r="Q12" i="7"/>
  <c r="F10" i="8"/>
  <c r="M11" i="7"/>
  <c r="O11" i="7"/>
  <c r="R11" i="7"/>
  <c r="S11" i="7"/>
  <c r="G9" i="8"/>
  <c r="H9" i="8"/>
  <c r="I11" i="7"/>
  <c r="K11" i="7"/>
  <c r="P11" i="7"/>
  <c r="E9" i="8"/>
  <c r="G11" i="7"/>
  <c r="H11" i="7"/>
  <c r="L11" i="7"/>
  <c r="Q11" i="7"/>
  <c r="F9" i="8"/>
  <c r="M10" i="7"/>
  <c r="O10" i="7"/>
  <c r="R10" i="7"/>
  <c r="S10" i="7"/>
  <c r="G8" i="8"/>
  <c r="H8" i="8"/>
  <c r="I10" i="7"/>
  <c r="K10" i="7"/>
  <c r="P10" i="7"/>
  <c r="E8" i="8"/>
  <c r="G10" i="7"/>
  <c r="H10" i="7"/>
  <c r="L10" i="7"/>
  <c r="Q10" i="7"/>
  <c r="F8" i="8"/>
  <c r="M9" i="7"/>
  <c r="O9" i="7"/>
  <c r="R9" i="7"/>
  <c r="S9" i="7"/>
  <c r="G7" i="8"/>
  <c r="H7" i="8"/>
  <c r="I9" i="7"/>
  <c r="K9" i="7"/>
  <c r="P9" i="7"/>
  <c r="E7" i="8"/>
  <c r="G9" i="7"/>
  <c r="H9" i="7"/>
  <c r="L9" i="7"/>
  <c r="Q9" i="7"/>
  <c r="F7" i="8"/>
  <c r="M8" i="7"/>
  <c r="O8" i="7"/>
  <c r="R8" i="7"/>
  <c r="S8" i="7"/>
  <c r="G6" i="8"/>
  <c r="H6" i="8"/>
  <c r="I8" i="7"/>
  <c r="K8" i="7"/>
  <c r="P8" i="7"/>
  <c r="E6" i="8"/>
  <c r="G8" i="7"/>
  <c r="H8" i="7"/>
  <c r="L8" i="7"/>
  <c r="Q8" i="7"/>
  <c r="F6" i="8"/>
  <c r="M7" i="7"/>
  <c r="O7" i="7"/>
  <c r="R7" i="7"/>
  <c r="S7" i="7"/>
  <c r="G5" i="8"/>
  <c r="H5" i="8"/>
  <c r="I7" i="7"/>
  <c r="K7" i="7"/>
  <c r="P7" i="7"/>
  <c r="E5" i="8"/>
  <c r="G7" i="7"/>
  <c r="H7" i="7"/>
  <c r="L7" i="7"/>
  <c r="Q7" i="7"/>
  <c r="F5" i="8"/>
  <c r="M6" i="7"/>
  <c r="O6" i="7"/>
  <c r="R6" i="7"/>
  <c r="S6" i="7"/>
  <c r="S13" i="7"/>
  <c r="S16" i="7"/>
  <c r="R13" i="7"/>
  <c r="R16" i="7"/>
  <c r="G4" i="8"/>
  <c r="H4" i="8"/>
  <c r="H12" i="8"/>
  <c r="G12" i="8"/>
  <c r="D4" i="13"/>
  <c r="D8" i="13"/>
  <c r="I6" i="7"/>
  <c r="K6" i="7"/>
  <c r="P6" i="7"/>
  <c r="P13" i="7"/>
  <c r="P16" i="7"/>
  <c r="E4" i="8"/>
  <c r="E12" i="8"/>
  <c r="C4" i="13"/>
  <c r="C8" i="13"/>
  <c r="G6" i="7"/>
  <c r="H6" i="7"/>
  <c r="L6" i="7"/>
  <c r="Q6" i="7"/>
  <c r="Q13" i="7"/>
  <c r="Q16" i="7"/>
  <c r="F4" i="8"/>
  <c r="F12" i="8"/>
  <c r="B4" i="13"/>
  <c r="B8" i="13"/>
  <c r="G50" i="2"/>
  <c r="F53" i="2"/>
  <c r="E50" i="2"/>
  <c r="D53" i="2"/>
  <c r="C50" i="2"/>
  <c r="B53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</calcChain>
</file>

<file path=xl/sharedStrings.xml><?xml version="1.0" encoding="utf-8"?>
<sst xmlns="http://schemas.openxmlformats.org/spreadsheetml/2006/main" count="2625" uniqueCount="596">
  <si>
    <t>Blad 'Omreken'</t>
  </si>
  <si>
    <t>Dit blad mag niet worden gewijzigd!</t>
  </si>
  <si>
    <t>Type:</t>
  </si>
  <si>
    <t>Invultabel</t>
  </si>
  <si>
    <t xml:space="preserve">werkdag                  </t>
  </si>
  <si>
    <t xml:space="preserve">per jaar: </t>
  </si>
  <si>
    <t xml:space="preserve">per week: </t>
  </si>
  <si>
    <t>FREQ</t>
  </si>
  <si>
    <t>FACTOR</t>
  </si>
  <si>
    <t>5W</t>
  </si>
  <si>
    <t>255J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</si>
  <si>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</si>
  <si>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</si>
  <si>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</si>
  <si>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</si>
  <si>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</si>
  <si>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</si>
  <si>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</si>
  <si>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</si>
  <si>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</si>
  <si>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</si>
  <si>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</si>
  <si>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</si>
  <si>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</si>
  <si>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</si>
  <si>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     </t>
  </si>
  <si>
    <t xml:space="preserve">weekenddag               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</si>
  <si>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</si>
  <si>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</si>
  <si>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</si>
  <si>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</si>
  <si>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</si>
  <si>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</si>
  <si>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</si>
  <si>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</si>
  <si>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</si>
  <si>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</si>
  <si>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</si>
  <si>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</si>
  <si>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</si>
  <si>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</si>
  <si>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</si>
  <si>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</si>
  <si>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</si>
  <si>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</si>
  <si>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</si>
  <si>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</si>
  <si>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</si>
  <si>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</si>
  <si>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</si>
  <si>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</si>
  <si>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</si>
  <si>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</si>
  <si>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</si>
  <si>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</si>
  <si>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</si>
  <si>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</si>
  <si>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</si>
  <si>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</si>
  <si>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</si>
  <si>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</si>
  <si>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</si>
  <si>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</si>
  <si>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</si>
  <si>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</si>
  <si>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</si>
  <si>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</si>
  <si>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</si>
  <si>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</si>
  <si>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</si>
  <si>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</si>
  <si>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</si>
  <si>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</si>
  <si>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</si>
  <si>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</si>
  <si>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</si>
  <si>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</si>
  <si>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</si>
  <si>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</si>
  <si>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TARIEF REGULIER WERK</t>
  </si>
  <si>
    <t>Werkdag</t>
  </si>
  <si>
    <t>Weekend</t>
  </si>
  <si>
    <t>Feestdag</t>
  </si>
  <si>
    <t>Aandeel</t>
  </si>
  <si>
    <t>Tarief</t>
  </si>
  <si>
    <t>Gewogen tarief uitvoering</t>
  </si>
  <si>
    <t>Tarief regulier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</si>
  <si>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</si>
  <si>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</si>
  <si>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</si>
  <si>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</si>
  <si>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</si>
  <si>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</si>
  <si>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</si>
  <si>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</si>
  <si>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</si>
  <si>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EHB</t>
  </si>
  <si>
    <t>Entree harde vloer basis</t>
  </si>
  <si>
    <t>m²/uur</t>
  </si>
  <si>
    <t>EHV</t>
  </si>
  <si>
    <t>Entree harde vloer volledig</t>
  </si>
  <si>
    <t>EZB</t>
  </si>
  <si>
    <t>Entree zachte vloer volledig (basis)</t>
  </si>
  <si>
    <t>EZV</t>
  </si>
  <si>
    <t>Entree zachte vloer volledig</t>
  </si>
  <si>
    <t>FHB</t>
  </si>
  <si>
    <t>Lift harde vloer (basis)</t>
  </si>
  <si>
    <t>FHV</t>
  </si>
  <si>
    <t>Lift harde vloer (volledig)</t>
  </si>
  <si>
    <t>OHB</t>
  </si>
  <si>
    <t>Vergaderruimte/spreekkamer harde vloeren (basis)</t>
  </si>
  <si>
    <t>OHV</t>
  </si>
  <si>
    <t>Vergaderruimte/spreekkamer harde vloeren (volledig)</t>
  </si>
  <si>
    <t>PHB</t>
  </si>
  <si>
    <t>Pantry/keuken harde vloer basis</t>
  </si>
  <si>
    <t>PHV</t>
  </si>
  <si>
    <t>Pantry/keuken harde vloer volledig</t>
  </si>
  <si>
    <t>THB</t>
  </si>
  <si>
    <t>Trappenhuis harde vloer basis</t>
  </si>
  <si>
    <t>THV</t>
  </si>
  <si>
    <t>Trappenhuis harde vloer volledig</t>
  </si>
  <si>
    <t>VHB</t>
  </si>
  <si>
    <t>Verkeersruimten/reporgrafie harde vloer basis</t>
  </si>
  <si>
    <t>VHV</t>
  </si>
  <si>
    <t>Verkeersruimten/reporgrafie harde vloer volledig</t>
  </si>
  <si>
    <t>VZB</t>
  </si>
  <si>
    <t>Verkeersruimten/reporgrafie zachte vloer basis</t>
  </si>
  <si>
    <t>VZV</t>
  </si>
  <si>
    <t>Verkeersruimten/reporgrafie zachte vloer volledig</t>
  </si>
  <si>
    <t>DHB</t>
  </si>
  <si>
    <t>Douche/wasruimte harde vloer basis</t>
  </si>
  <si>
    <t>DHV</t>
  </si>
  <si>
    <t>Douche/wasruimte harde vloer volledig</t>
  </si>
  <si>
    <t>SHB</t>
  </si>
  <si>
    <t>Sanitaire ruimte/toilet harde vloer basis</t>
  </si>
  <si>
    <t>SHV</t>
  </si>
  <si>
    <t>Sanitaire ruimte/toilet harde vloer volledig</t>
  </si>
  <si>
    <t>GHB</t>
  </si>
  <si>
    <t>Droge sportruimte harde vloerbasis</t>
  </si>
  <si>
    <t>GHV</t>
  </si>
  <si>
    <t>Droge sportruimte harde vloer volledig</t>
  </si>
  <si>
    <t>BHB</t>
  </si>
  <si>
    <t>Bureau/personeeslkamer harde vloeren (basis)</t>
  </si>
  <si>
    <t>BHV</t>
  </si>
  <si>
    <t>Bureau-/personeelskamer harde vloer volledig</t>
  </si>
  <si>
    <t>BZB</t>
  </si>
  <si>
    <t>Bureau-/personeelskamer zachte vloer basis</t>
  </si>
  <si>
    <t>BZV</t>
  </si>
  <si>
    <t>Bureau-/personeelskamer zachte vloer volledig</t>
  </si>
  <si>
    <t>RHB</t>
  </si>
  <si>
    <t>Restaurant/personeelsruimte/kantine harde vloer basis</t>
  </si>
  <si>
    <t>RHV</t>
  </si>
  <si>
    <t>Restaurant/personeelsruimte/kantine harde vloer volledig</t>
  </si>
  <si>
    <t>KLHB</t>
  </si>
  <si>
    <t>Kleedruimte droge sportruimte harde vloer basis</t>
  </si>
  <si>
    <t>KLHV</t>
  </si>
  <si>
    <t>Kleedruimte droge sportruimte harde vloer volledig</t>
  </si>
  <si>
    <t>HHB</t>
  </si>
  <si>
    <t xml:space="preserve">B    </t>
  </si>
  <si>
    <t>Behandel/onderzoeksruimte - harde vloer basis</t>
  </si>
  <si>
    <t>HHV</t>
  </si>
  <si>
    <t>Behandel/onderzoeksruimte - harde vloer basis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</si>
  <si>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</si>
  <si>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</si>
  <si>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</si>
  <si>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</si>
  <si>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</si>
  <si>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</si>
  <si>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</si>
  <si>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</si>
  <si>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</si>
  <si>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</si>
  <si>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Bureaukamer/personeelskamer harde vloeren</t>
  </si>
  <si>
    <t>BZ</t>
  </si>
  <si>
    <t>Bureaukamer/personeelskamer zachte vloeren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</si>
  <si>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</si>
  <si>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</si>
  <si>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</si>
  <si>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</si>
  <si>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</si>
  <si>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</si>
  <si>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</si>
  <si>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</si>
  <si>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</si>
  <si>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Droge sportruimte harde vloer</t>
  </si>
  <si>
    <t>HH</t>
  </si>
  <si>
    <t>Behandel-/onderzoeksruimte - harde vloeren</t>
  </si>
  <si>
    <t>KLH</t>
  </si>
  <si>
    <t>Kleedruimte droge sportruimte harde vloer</t>
  </si>
  <si>
    <t>OH</t>
  </si>
  <si>
    <t>Vergaderruimte/spreekkamer harde vloeren</t>
  </si>
  <si>
    <t>PH</t>
  </si>
  <si>
    <t>Pantry/keuken harde vloer</t>
  </si>
  <si>
    <t>RH</t>
  </si>
  <si>
    <t>Restaurant/personeelsruimte/kantine harde vloer</t>
  </si>
  <si>
    <t>SH</t>
  </si>
  <si>
    <t>Sanitaire ruimte/toilet harde vloer</t>
  </si>
  <si>
    <t>TH</t>
  </si>
  <si>
    <t>Trappenhuis harde vloer</t>
  </si>
  <si>
    <t>VH</t>
  </si>
  <si>
    <t>Verkeersruimten/reprografie harde vloer</t>
  </si>
  <si>
    <t>VZ</t>
  </si>
  <si>
    <t>Verkeersruimten/reprografie zachte vloer</t>
  </si>
  <si>
    <t>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</si>
  <si>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</si>
  <si>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</si>
  <si>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</si>
  <si>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</si>
  <si>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</si>
  <si>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</si>
  <si>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</si>
  <si>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</si>
  <si>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</si>
  <si>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</si>
  <si>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</si>
  <si>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</si>
  <si>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0050 - Gymzaal Koers, Koers 41, Huizen</t>
  </si>
  <si>
    <t>0050</t>
  </si>
  <si>
    <t>00</t>
  </si>
  <si>
    <t>0.01</t>
  </si>
  <si>
    <t>entree</t>
  </si>
  <si>
    <t>coral</t>
  </si>
  <si>
    <t>0.02</t>
  </si>
  <si>
    <t>hal</t>
  </si>
  <si>
    <t>dhgt</t>
  </si>
  <si>
    <t>0.03</t>
  </si>
  <si>
    <t>docentenkamer</t>
  </si>
  <si>
    <t>linoleum</t>
  </si>
  <si>
    <t>0.04</t>
  </si>
  <si>
    <t>douche ruimte  docent</t>
  </si>
  <si>
    <t>0.05</t>
  </si>
  <si>
    <t>toiletruimte docent</t>
  </si>
  <si>
    <t>0.07</t>
  </si>
  <si>
    <t>kleedruimte</t>
  </si>
  <si>
    <t>0.08</t>
  </si>
  <si>
    <t>was- en douche ruimte</t>
  </si>
  <si>
    <t>0.09</t>
  </si>
  <si>
    <t>0.10</t>
  </si>
  <si>
    <t>0.11</t>
  </si>
  <si>
    <t>toiletruimte</t>
  </si>
  <si>
    <t>0.12</t>
  </si>
  <si>
    <t>douche ruimte</t>
  </si>
  <si>
    <t>0.13</t>
  </si>
  <si>
    <t>0.14</t>
  </si>
  <si>
    <t>0.16</t>
  </si>
  <si>
    <t>Gymzaal</t>
  </si>
  <si>
    <t>sportvloer</t>
  </si>
  <si>
    <t>0.17</t>
  </si>
  <si>
    <t>toestellenberging</t>
  </si>
  <si>
    <t>Totaal werkdag</t>
  </si>
  <si>
    <t>0051 - Gymzaal Holleblok, Holleblok 4, Huizen</t>
  </si>
  <si>
    <t>0051</t>
  </si>
  <si>
    <t>betontegels</t>
  </si>
  <si>
    <t>0.01a</t>
  </si>
  <si>
    <t>gang</t>
  </si>
  <si>
    <t>was- en doucheruimte</t>
  </si>
  <si>
    <t>0.06</t>
  </si>
  <si>
    <t>doucheruimte</t>
  </si>
  <si>
    <t>grote zaal 1</t>
  </si>
  <si>
    <t>naaldvilt</t>
  </si>
  <si>
    <t>toiletruimte docenten</t>
  </si>
  <si>
    <t>kunststofvloer</t>
  </si>
  <si>
    <t>0.20</t>
  </si>
  <si>
    <t>0.21</t>
  </si>
  <si>
    <t>grote zaal 2</t>
  </si>
  <si>
    <t>0.22</t>
  </si>
  <si>
    <t>0.23</t>
  </si>
  <si>
    <t>0.24</t>
  </si>
  <si>
    <t>0.25</t>
  </si>
  <si>
    <t>0.26</t>
  </si>
  <si>
    <t>0.27</t>
  </si>
  <si>
    <t>0.28</t>
  </si>
  <si>
    <t>0.29</t>
  </si>
  <si>
    <t>0.33</t>
  </si>
  <si>
    <t>bestuurskamer T.T.V. ***</t>
  </si>
  <si>
    <t>0052 - Gymzaal Ellertsveld, Ellertsveld 5, Huizen</t>
  </si>
  <si>
    <t>0052</t>
  </si>
  <si>
    <t>entree / hal</t>
  </si>
  <si>
    <t>naaldvilt / coral</t>
  </si>
  <si>
    <t>invaliden toilet</t>
  </si>
  <si>
    <t>0.15</t>
  </si>
  <si>
    <t>0053 - Gymzaal Delta, Delta 41, Huizen</t>
  </si>
  <si>
    <t>0053</t>
  </si>
  <si>
    <t>entree / gang</t>
  </si>
  <si>
    <t>toilet-, doucheruimte docent</t>
  </si>
  <si>
    <t>afdroogruimte</t>
  </si>
  <si>
    <t>gymzaal</t>
  </si>
  <si>
    <t>0054 - Gymzaal Bovenlangewijnseweg, Bovenlangewijnseweg 2, Huizen</t>
  </si>
  <si>
    <t>0054</t>
  </si>
  <si>
    <t>0.01A</t>
  </si>
  <si>
    <t>doucheruimte docent</t>
  </si>
  <si>
    <t>wasruimte</t>
  </si>
  <si>
    <t>0055 - Gymzaal Albardastraat, Albardastraat 2, Huizen</t>
  </si>
  <si>
    <t>0055</t>
  </si>
  <si>
    <t>-01</t>
  </si>
  <si>
    <t>-1.01</t>
  </si>
  <si>
    <t>gangruimte</t>
  </si>
  <si>
    <t>-1.05</t>
  </si>
  <si>
    <t>-1.06</t>
  </si>
  <si>
    <t>sportzaal</t>
  </si>
  <si>
    <t>-1.07</t>
  </si>
  <si>
    <t>-1.08</t>
  </si>
  <si>
    <t>miva toilet</t>
  </si>
  <si>
    <t>gietvloer</t>
  </si>
  <si>
    <t>-1.09</t>
  </si>
  <si>
    <t>docentenruimte</t>
  </si>
  <si>
    <t>-1.10</t>
  </si>
  <si>
    <t>sanitair docenten</t>
  </si>
  <si>
    <t>-1.11</t>
  </si>
  <si>
    <t>kleedruimte dames</t>
  </si>
  <si>
    <t>-1.12</t>
  </si>
  <si>
    <t>doucheruimte dames</t>
  </si>
  <si>
    <t>-1.13</t>
  </si>
  <si>
    <t>toilet dames</t>
  </si>
  <si>
    <t>-1.14</t>
  </si>
  <si>
    <t>kleedruimte heren</t>
  </si>
  <si>
    <t>-1.15</t>
  </si>
  <si>
    <t>doucheruimte heren</t>
  </si>
  <si>
    <t>-1.16</t>
  </si>
  <si>
    <t>toilet heren</t>
  </si>
  <si>
    <t>-1.17</t>
  </si>
  <si>
    <t>entree gymzaal / trap</t>
  </si>
  <si>
    <t>beton</t>
  </si>
  <si>
    <t>lift</t>
  </si>
  <si>
    <t>noppenvloer</t>
  </si>
  <si>
    <t>portaal / trap</t>
  </si>
  <si>
    <t>0056 - Wijkcentrum Damwand, Damwand 1, Huizen</t>
  </si>
  <si>
    <t>0056</t>
  </si>
  <si>
    <t>Entree</t>
  </si>
  <si>
    <t>inloopmat</t>
  </si>
  <si>
    <t>0.01b</t>
  </si>
  <si>
    <t>Trappenhuis</t>
  </si>
  <si>
    <t>hout</t>
  </si>
  <si>
    <t>0.01d</t>
  </si>
  <si>
    <t>Miva</t>
  </si>
  <si>
    <t>Toestelberging</t>
  </si>
  <si>
    <t>Lift</t>
  </si>
  <si>
    <t>Keuken</t>
  </si>
  <si>
    <t>pvc</t>
  </si>
  <si>
    <t>Uitgifte</t>
  </si>
  <si>
    <t>Kantine ttv Bijmaat</t>
  </si>
  <si>
    <t>Toilet</t>
  </si>
  <si>
    <t>0.18</t>
  </si>
  <si>
    <t>Ontmoetingsruimte</t>
  </si>
  <si>
    <t>Keuken (incl wasruimte)</t>
  </si>
  <si>
    <t>0.27a</t>
  </si>
  <si>
    <t>1.01</t>
  </si>
  <si>
    <t>Overloop</t>
  </si>
  <si>
    <t>1.03</t>
  </si>
  <si>
    <t>Gang</t>
  </si>
  <si>
    <t>1.04</t>
  </si>
  <si>
    <t>1.05</t>
  </si>
  <si>
    <t>Kantoorruimte</t>
  </si>
  <si>
    <t>1.08</t>
  </si>
  <si>
    <t>Toiletten</t>
  </si>
  <si>
    <t>1.09</t>
  </si>
  <si>
    <t>1.10</t>
  </si>
  <si>
    <t>1.11</t>
  </si>
  <si>
    <t>Kleedruimte</t>
  </si>
  <si>
    <t>1.12</t>
  </si>
  <si>
    <t>Douches</t>
  </si>
  <si>
    <t>1.13</t>
  </si>
  <si>
    <t>Docentenruimte</t>
  </si>
  <si>
    <t>1.14</t>
  </si>
  <si>
    <t>1.15</t>
  </si>
  <si>
    <t>1.16</t>
  </si>
  <si>
    <t>Ontvangstruimte</t>
  </si>
  <si>
    <t>1.17</t>
  </si>
  <si>
    <t>1.18</t>
  </si>
  <si>
    <t>1.19</t>
  </si>
  <si>
    <t>1.20</t>
  </si>
  <si>
    <t>1.21</t>
  </si>
  <si>
    <t>Spreekruimte</t>
  </si>
  <si>
    <t>1.22</t>
  </si>
  <si>
    <t>1.23</t>
  </si>
  <si>
    <t>1.24</t>
  </si>
  <si>
    <t>1.25</t>
  </si>
  <si>
    <t>1.26</t>
  </si>
  <si>
    <t>1.27</t>
  </si>
  <si>
    <t>Boxenruimte</t>
  </si>
  <si>
    <t>1.28</t>
  </si>
  <si>
    <t>Douche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</si>
  <si>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</si>
  <si>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</si>
  <si>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</si>
  <si>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</si>
  <si>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</si>
  <si>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</si>
  <si>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</si>
  <si>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</si>
  <si>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0050</t>
  </si>
  <si>
    <t xml:space="preserve">    0051</t>
  </si>
  <si>
    <t xml:space="preserve">    0052</t>
  </si>
  <si>
    <t xml:space="preserve">    0053</t>
  </si>
  <si>
    <t xml:space="preserve">    0054</t>
  </si>
  <si>
    <t xml:space="preserve">    0055</t>
  </si>
  <si>
    <t xml:space="preserve">    0056</t>
  </si>
  <si>
    <t>werkdag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</si>
  <si>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</si>
  <si>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</si>
  <si>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</si>
  <si>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</si>
  <si>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</si>
  <si>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</si>
  <si>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</si>
  <si>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</si>
  <si>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</si>
  <si>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</si>
  <si>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</si>
  <si>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</si>
  <si>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</si>
  <si>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Gymzaal Koers</t>
  </si>
  <si>
    <t>Koers 41</t>
  </si>
  <si>
    <t>Huizen</t>
  </si>
  <si>
    <t>Gymzaal Holleblok</t>
  </si>
  <si>
    <t>Holleblok 4</t>
  </si>
  <si>
    <t>Gymzaal Ellertsveld</t>
  </si>
  <si>
    <t>Ellertsveld 5</t>
  </si>
  <si>
    <t>Gymzaal Delta</t>
  </si>
  <si>
    <t>Delta 41</t>
  </si>
  <si>
    <t>Gymzaal Bovenlangewijnseweg</t>
  </si>
  <si>
    <t>Bovenlangewijnseweg 2</t>
  </si>
  <si>
    <t>Gymzaal Albardastraat</t>
  </si>
  <si>
    <t>Albardastraat 2</t>
  </si>
  <si>
    <t>Wijkcentrum Damwand</t>
  </si>
  <si>
    <t>Damwand 1</t>
  </si>
  <si>
    <t>Totaal regulier werk incl. suppleties (excl. BTW)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</si>
  <si>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</si>
  <si>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</si>
  <si>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</si>
  <si>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</si>
  <si>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</si>
  <si>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</si>
  <si>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</si>
  <si>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</si>
  <si>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</si>
  <si>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</si>
  <si>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 strippen en polymeren</t>
  </si>
  <si>
    <t>tijdsnorm in vloer m²/uur</t>
  </si>
  <si>
    <t>Totaal additioneel werk excl. BTW</t>
  </si>
  <si>
    <t>Totaal 0050 - Gymzaal Koers, Koers 41, Huizen</t>
  </si>
  <si>
    <t>Totaal 0051 - Gymzaal Holleblok, Holleblok 4, Huizen</t>
  </si>
  <si>
    <t>Totaal 0052 - Gymzaal Ellertsveld, Ellertsveld 5, Huizen</t>
  </si>
  <si>
    <t>Totaal 0054 - Gymzaal Bovenlangewijnseweg, Bovenlangewijnseweg 2, Huizen</t>
  </si>
  <si>
    <t>Totaal 0055 - Gymzaal Albardastraat, Albardastraat 2, Huizen</t>
  </si>
  <si>
    <t>9000</t>
  </si>
  <si>
    <t>Medewerker regiewerkzaamheden</t>
  </si>
  <si>
    <t>prijs per uur</t>
  </si>
  <si>
    <t>9100</t>
  </si>
  <si>
    <t>Medewerker specialistische werkzaamheden</t>
  </si>
  <si>
    <t>9150</t>
  </si>
  <si>
    <t>Medewerker calamiteiten werkzaamheden</t>
  </si>
  <si>
    <t>9200</t>
  </si>
  <si>
    <t>Medewerker verwijderen graffiti</t>
  </si>
  <si>
    <t xml:space="preserve">WEEKENDDAG               </t>
  </si>
  <si>
    <t>W9000</t>
  </si>
  <si>
    <t>W9100</t>
  </si>
  <si>
    <t>W9150</t>
  </si>
  <si>
    <t xml:space="preserve">Totaal weekenddag               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</si>
  <si>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</si>
  <si>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</si>
  <si>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</si>
  <si>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</si>
  <si>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</si>
  <si>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</si>
  <si>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</si>
  <si>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</si>
  <si>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</si>
  <si>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</si>
  <si>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</si>
  <si>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</si>
  <si>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</si>
  <si>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</si>
  <si>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</si>
  <si>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</si>
  <si>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</si>
  <si>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</si>
  <si>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</si>
  <si>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</si>
  <si>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</si>
  <si>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</si>
  <si>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</si>
  <si>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</si>
  <si>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</si>
  <si>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</si>
  <si>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</si>
  <si>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</si>
  <si>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</si>
  <si>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</si>
  <si>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</si>
  <si>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</si>
  <si>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</si>
  <si>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</si>
  <si>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</si>
  <si>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</si>
  <si>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</si>
  <si>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</si>
  <si>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</si>
  <si>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</si>
  <si>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</si>
  <si>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</si>
  <si>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</si>
  <si>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</si>
  <si>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</si>
  <si>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</si>
  <si>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</si>
  <si>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</si>
  <si>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</si>
  <si>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</si>
  <si>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</si>
  <si>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</si>
  <si>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</si>
  <si>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</si>
  <si>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</si>
  <si>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</si>
  <si>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</si>
  <si>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</si>
  <si>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</si>
  <si>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</si>
  <si>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</si>
  <si>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</si>
  <si>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</si>
  <si>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</si>
  <si>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</si>
  <si>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</si>
  <si>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</si>
  <si>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</si>
  <si>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</si>
  <si>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</si>
  <si>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</si>
  <si>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</si>
  <si>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</si>
  <si>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</si>
  <si>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</si>
  <si>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</si>
  <si>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</si>
  <si>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</si>
  <si>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</si>
  <si>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</si>
  <si>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</si>
  <si>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</si>
  <si>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</si>
  <si>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</si>
  <si>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</si>
  <si>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</si>
  <si>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</si>
  <si>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</si>
  <si>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</si>
  <si>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</si>
  <si>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</si>
  <si>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</si>
  <si>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</si>
  <si>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</si>
  <si>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</si>
  <si>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</si>
  <si>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</si>
  <si>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</si>
  <si>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</si>
  <si>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</si>
  <si>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</si>
  <si>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</si>
  <si>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</si>
  <si>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</si>
  <si>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</si>
  <si>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</si>
  <si>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</si>
  <si>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</si>
  <si>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</si>
  <si>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</si>
  <si>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</si>
  <si>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</si>
  <si>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</si>
  <si>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</si>
  <si>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</si>
  <si>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</si>
  <si>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</si>
  <si>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</si>
  <si>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</si>
  <si>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</si>
  <si>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</si>
  <si>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</si>
  <si>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</si>
  <si>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</si>
  <si>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</si>
  <si>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</si>
  <si>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</si>
  <si>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</si>
  <si>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</si>
  <si>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Soort werk</t>
  </si>
  <si>
    <t>Uren per jaar uitvoering</t>
  </si>
  <si>
    <t>Uren hoogfrequent per jaar uitvoering</t>
  </si>
  <si>
    <t>Bedrag per jaar excl. BTW (euro)</t>
  </si>
  <si>
    <t xml:space="preserve">Regulier werk </t>
  </si>
  <si>
    <t>Additioneel werk</t>
  </si>
  <si>
    <t>Afroepwerk (geschatte frequenties)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</si>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</sst>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0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164" fontId="0" fillId="0" borderId="24" xfId="0" applyNumberFormat="1" applyBorder="1" applyProtection="1">
      <protection locked="0"/>
    </xf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0" borderId="25" xfId="0" applyNumberFormat="1" applyBorder="1" applyProtection="1">
      <protection locked="0"/>
    </xf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0" borderId="26" xfId="0" applyNumberFormat="1" applyBorder="1" applyProtection="1">
      <protection locked="0"/>
    </xf>
    <xf numFmtId="4" fontId="0" fillId="3" borderId="26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35AE-26B6-45F0-9FDD-0B8D200741A8}">
  <dimension ref="A1:H28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25</v>
      </c>
      <c r="E7" s="5"/>
      <c r="G7" s="4" t="s">
        <v>26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14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11</v>
      </c>
      <c r="E14" s="3">
        <f>IF(D14="2½W",2.5/dagenperweek2,IF(RIGHT(D14,1)="W",VALUE(LEFT(D14,LEN(D14)-1))/dagenperweek2,IF(RIGHT(D14,1)="J",VALUE(LEFT(D14,LEN(D14)-1))/dagenperjaar2,"handmatig!")))</f>
        <v>4</v>
      </c>
      <c r="G14" s="2" t="s">
        <v>15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13</v>
      </c>
      <c r="E15" s="3">
        <f>IF(D15="2½W",2.5/dagenperweek2,IF(RIGHT(D15,1)="W",VALUE(LEFT(D15,LEN(D15)-1))/dagenperweek2,IF(RIGHT(D15,1)="J",VALUE(LEFT(D15,LEN(D15)-1))/dagenperjaar2,"handmatig!")))</f>
        <v>3</v>
      </c>
      <c r="G15" s="2" t="s">
        <v>18</v>
      </c>
      <c r="H15" s="3">
        <f>IF(G15="2½W",2.5/dagenperweek3,IF(RIGHT(G15,1)="W",VALUE(LEFT(G15,LEN(G15)-1))/dagenperweek3,IF(RIGHT(G15,1)="J",VALUE(LEFT(G15,LEN(G15)-1))/dagenperjaar3,"handmatig!")))</f>
        <v>0.11764705882352941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0.78431372549019607</v>
      </c>
      <c r="D16" s="2" t="s">
        <v>14</v>
      </c>
      <c r="E16" s="3">
        <f>IF(D16="2½W",2.5/dagenperweek2,IF(RIGHT(D16,1)="W",VALUE(LEFT(D16,LEN(D16)-1))/dagenperweek2,IF(RIGHT(D16,1)="J",VALUE(LEFT(D16,LEN(D16)-1))/dagenperjaar2,"handmatig!")))</f>
        <v>2</v>
      </c>
      <c r="G16" s="6" t="s">
        <v>24</v>
      </c>
      <c r="H16" s="7">
        <f>IF(G16="2½W",2.5/dagenperweek3,IF(RIGHT(G16,1)="W",VALUE(LEFT(G16,LEN(G16)-1))/dagenperweek3,IF(RIGHT(G16,1)="J",VALUE(LEFT(G16,LEN(G16)-1))/dagenperjaar3,"handmatig!")))</f>
        <v>9.8039215686274508E-3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0.6</v>
      </c>
      <c r="D17" s="2" t="s">
        <v>15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  <c r="D18" s="2" t="s">
        <v>17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  <c r="D19" s="2" t="s">
        <v>18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0.15686274509803921</v>
      </c>
      <c r="D20" s="2" t="s">
        <v>20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0.10196078431372549</v>
      </c>
      <c r="D21" s="2" t="s">
        <v>21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4.7058823529411764E-2</v>
      </c>
      <c r="D22" s="2" t="s">
        <v>22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3.9215686274509803E-2</v>
      </c>
      <c r="D23" s="2" t="s">
        <v>23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2.3529411764705882E-2</v>
      </c>
      <c r="D24" s="6" t="s">
        <v>24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1.5686274509803921E-2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1.1764705882352941E-2</v>
      </c>
    </row>
    <row r="27" spans="1:5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7.8431372549019607E-3</v>
      </c>
    </row>
    <row r="28" spans="1:5" x14ac:dyDescent="0.2">
      <c r="A28" s="6" t="s">
        <v>24</v>
      </c>
      <c r="B28" s="7">
        <f>IF(A28="2½W",2.5/dagenperweek1,IF(RIGHT(A28,1)="W",VALUE(LEFT(A28,LEN(A28)-1))/dagenperweek1,IF(RIGHT(A28,1)="J",VALUE(LEFT(A28,LEN(A28)-1))/dagenperjaar1,"handmatig!")))</f>
        <v>3.9215686274509803E-3</v>
      </c>
    </row>
  </sheetData>
  <sheetProtection algorithmName="SHA-512" hashValue="Zz8fLnb+ka/HA5kjrq8+TWBCyGsp1Y12mRGEQZRNInm9dgfMHXc7PC5U3syAvMNrV36DPBFJHkgQvRc3SH6PBw==" saltValue="o+jR+I8SboYP9YHco75nU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DE9E-0274-47F8-8F88-56FD639D6383}">
  <dimension ref="A1:M2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F.3.7: ",tabeltype," additioneel werk per locatie")</f>
        <v>Bijlage F.3.7: Invultabel additioneel werk per locatie</v>
      </c>
    </row>
    <row r="3" spans="1:13" ht="37.799999999999997" x14ac:dyDescent="0.2">
      <c r="A3" s="40" t="s">
        <v>429</v>
      </c>
      <c r="B3" s="40" t="s">
        <v>7</v>
      </c>
      <c r="C3" s="40" t="s">
        <v>430</v>
      </c>
      <c r="D3" s="40" t="s">
        <v>383</v>
      </c>
      <c r="E3" s="40" t="s">
        <v>90</v>
      </c>
      <c r="F3" s="40" t="s">
        <v>93</v>
      </c>
      <c r="G3" s="40" t="s">
        <v>431</v>
      </c>
      <c r="H3" s="40" t="s">
        <v>432</v>
      </c>
      <c r="I3" s="40" t="s">
        <v>433</v>
      </c>
      <c r="J3" s="40" t="s">
        <v>434</v>
      </c>
      <c r="K3" s="40" t="s">
        <v>435</v>
      </c>
      <c r="L3" s="40" t="s">
        <v>169</v>
      </c>
      <c r="M3" s="40" t="s">
        <v>410</v>
      </c>
    </row>
    <row r="5" spans="1:13" x14ac:dyDescent="0.2">
      <c r="A5" s="121" t="s">
        <v>216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122"/>
    </row>
    <row r="6" spans="1:13" x14ac:dyDescent="0.2">
      <c r="A6" s="113" t="s">
        <v>436</v>
      </c>
      <c r="B6" s="113" t="s">
        <v>24</v>
      </c>
      <c r="C6" s="114">
        <f>IF(ISBLANK(B6),0,IF(ISERROR(VALUE(B6)),VLOOKUP(B6,dagsoorttabel1,2,FALSE)*dagenperjaar1,VALUE(B6)))</f>
        <v>1</v>
      </c>
      <c r="D6" s="113" t="s">
        <v>397</v>
      </c>
      <c r="E6" s="113" t="s">
        <v>437</v>
      </c>
      <c r="F6" s="113" t="s">
        <v>438</v>
      </c>
      <c r="G6" s="115">
        <v>7.3</v>
      </c>
      <c r="H6" s="123">
        <f>'Additioneel werk'!G6</f>
        <v>0</v>
      </c>
      <c r="I6" s="124">
        <f>'Additioneel werk'!H6</f>
        <v>0</v>
      </c>
      <c r="J6" s="118"/>
      <c r="K6" s="119" t="e">
        <f>IF(ISBLANK(I6),0,G6 / ROUND(I6,4) * ROUND(H6,2))</f>
        <v>#DIV/0!</v>
      </c>
      <c r="L6" s="119" t="e">
        <f>C6*K6</f>
        <v>#DIV/0!</v>
      </c>
      <c r="M6" s="119" t="e">
        <f>L6/12</f>
        <v>#DIV/0!</v>
      </c>
    </row>
    <row r="7" spans="1:13" x14ac:dyDescent="0.2">
      <c r="A7" s="125" t="s">
        <v>440</v>
      </c>
      <c r="B7" s="73"/>
      <c r="C7" s="73"/>
      <c r="D7" s="73"/>
      <c r="E7" s="73"/>
      <c r="F7" s="73"/>
      <c r="G7" s="73"/>
      <c r="H7" s="73"/>
      <c r="I7" s="73"/>
      <c r="J7" s="73"/>
      <c r="K7" s="75" t="e">
        <f>SUM(K6:K6)</f>
        <v>#DIV/0!</v>
      </c>
      <c r="L7" s="75" t="e">
        <f>SUM(L6:L6)</f>
        <v>#DIV/0!</v>
      </c>
      <c r="M7" s="120" t="e">
        <f>L7/12</f>
        <v>#DIV/0!</v>
      </c>
    </row>
    <row r="9" spans="1:13" x14ac:dyDescent="0.2">
      <c r="A9" s="121" t="s">
        <v>250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122"/>
    </row>
    <row r="10" spans="1:13" x14ac:dyDescent="0.2">
      <c r="A10" s="113" t="s">
        <v>436</v>
      </c>
      <c r="B10" s="113" t="s">
        <v>24</v>
      </c>
      <c r="C10" s="114">
        <f>IF(ISBLANK(B10),0,IF(ISERROR(VALUE(B10)),VLOOKUP(B10,dagsoorttabel1,2,FALSE)*dagenperjaar1,VALUE(B10)))</f>
        <v>1</v>
      </c>
      <c r="D10" s="113" t="s">
        <v>397</v>
      </c>
      <c r="E10" s="113" t="s">
        <v>437</v>
      </c>
      <c r="F10" s="113" t="s">
        <v>438</v>
      </c>
      <c r="G10" s="115">
        <v>54.5</v>
      </c>
      <c r="H10" s="123">
        <f>'Additioneel werk'!G6</f>
        <v>0</v>
      </c>
      <c r="I10" s="124">
        <f>'Additioneel werk'!H6</f>
        <v>0</v>
      </c>
      <c r="J10" s="118"/>
      <c r="K10" s="119" t="e">
        <f>IF(ISBLANK(I10),0,G10 / ROUND(I10,4) * ROUND(H10,2))</f>
        <v>#DIV/0!</v>
      </c>
      <c r="L10" s="119" t="e">
        <f>C10*K10</f>
        <v>#DIV/0!</v>
      </c>
      <c r="M10" s="119" t="e">
        <f>L10/12</f>
        <v>#DIV/0!</v>
      </c>
    </row>
    <row r="11" spans="1:13" x14ac:dyDescent="0.2">
      <c r="A11" s="125" t="s">
        <v>441</v>
      </c>
      <c r="B11" s="73"/>
      <c r="C11" s="73"/>
      <c r="D11" s="73"/>
      <c r="E11" s="73"/>
      <c r="F11" s="73"/>
      <c r="G11" s="73"/>
      <c r="H11" s="73"/>
      <c r="I11" s="73"/>
      <c r="J11" s="73"/>
      <c r="K11" s="75" t="e">
        <f>SUM(K10:K10)</f>
        <v>#DIV/0!</v>
      </c>
      <c r="L11" s="75" t="e">
        <f>SUM(L10:L10)</f>
        <v>#DIV/0!</v>
      </c>
      <c r="M11" s="120" t="e">
        <f>L11/12</f>
        <v>#DIV/0!</v>
      </c>
    </row>
    <row r="13" spans="1:13" x14ac:dyDescent="0.2">
      <c r="A13" s="121" t="s">
        <v>275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122"/>
    </row>
    <row r="14" spans="1:13" x14ac:dyDescent="0.2">
      <c r="A14" s="113" t="s">
        <v>436</v>
      </c>
      <c r="B14" s="113" t="s">
        <v>24</v>
      </c>
      <c r="C14" s="114">
        <f>IF(ISBLANK(B14),0,IF(ISERROR(VALUE(B14)),VLOOKUP(B14,dagsoorttabel1,2,FALSE)*dagenperjaar1,VALUE(B14)))</f>
        <v>1</v>
      </c>
      <c r="D14" s="113" t="s">
        <v>397</v>
      </c>
      <c r="E14" s="113" t="s">
        <v>437</v>
      </c>
      <c r="F14" s="113" t="s">
        <v>438</v>
      </c>
      <c r="G14" s="115">
        <v>26</v>
      </c>
      <c r="H14" s="123">
        <f>'Additioneel werk'!G6</f>
        <v>0</v>
      </c>
      <c r="I14" s="124">
        <f>'Additioneel werk'!H6</f>
        <v>0</v>
      </c>
      <c r="J14" s="118"/>
      <c r="K14" s="119" t="e">
        <f>IF(ISBLANK(I14),0,G14 / ROUND(I14,4) * ROUND(H14,2))</f>
        <v>#DIV/0!</v>
      </c>
      <c r="L14" s="119" t="e">
        <f>C14*K14</f>
        <v>#DIV/0!</v>
      </c>
      <c r="M14" s="119" t="e">
        <f>L14/12</f>
        <v>#DIV/0!</v>
      </c>
    </row>
    <row r="15" spans="1:13" x14ac:dyDescent="0.2">
      <c r="A15" s="125" t="s">
        <v>442</v>
      </c>
      <c r="B15" s="73"/>
      <c r="C15" s="73"/>
      <c r="D15" s="73"/>
      <c r="E15" s="73"/>
      <c r="F15" s="73"/>
      <c r="G15" s="73"/>
      <c r="H15" s="73"/>
      <c r="I15" s="73"/>
      <c r="J15" s="73"/>
      <c r="K15" s="75" t="e">
        <f>SUM(K14:K14)</f>
        <v>#DIV/0!</v>
      </c>
      <c r="L15" s="75" t="e">
        <f>SUM(L14:L14)</f>
        <v>#DIV/0!</v>
      </c>
      <c r="M15" s="120" t="e">
        <f>L15/12</f>
        <v>#DIV/0!</v>
      </c>
    </row>
    <row r="17" spans="1:13" x14ac:dyDescent="0.2">
      <c r="A17" s="121" t="s">
        <v>287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122"/>
    </row>
    <row r="18" spans="1:13" x14ac:dyDescent="0.2">
      <c r="A18" s="113" t="s">
        <v>436</v>
      </c>
      <c r="B18" s="113" t="s">
        <v>24</v>
      </c>
      <c r="C18" s="114">
        <f>IF(ISBLANK(B18),0,IF(ISERROR(VALUE(B18)),VLOOKUP(B18,dagsoorttabel1,2,FALSE)*dagenperjaar1,VALUE(B18)))</f>
        <v>1</v>
      </c>
      <c r="D18" s="113" t="s">
        <v>397</v>
      </c>
      <c r="E18" s="113" t="s">
        <v>437</v>
      </c>
      <c r="F18" s="113" t="s">
        <v>438</v>
      </c>
      <c r="G18" s="115">
        <v>2</v>
      </c>
      <c r="H18" s="123">
        <f>'Additioneel werk'!G6</f>
        <v>0</v>
      </c>
      <c r="I18" s="124">
        <f>'Additioneel werk'!H6</f>
        <v>0</v>
      </c>
      <c r="J18" s="118"/>
      <c r="K18" s="119" t="e">
        <f>IF(ISBLANK(I18),0,G18 / ROUND(I18,4) * ROUND(H18,2))</f>
        <v>#DIV/0!</v>
      </c>
      <c r="L18" s="119" t="e">
        <f>C18*K18</f>
        <v>#DIV/0!</v>
      </c>
      <c r="M18" s="119" t="e">
        <f>L18/12</f>
        <v>#DIV/0!</v>
      </c>
    </row>
    <row r="19" spans="1:13" x14ac:dyDescent="0.2">
      <c r="A19" s="125" t="s">
        <v>443</v>
      </c>
      <c r="B19" s="73"/>
      <c r="C19" s="73"/>
      <c r="D19" s="73"/>
      <c r="E19" s="73"/>
      <c r="F19" s="73"/>
      <c r="G19" s="73"/>
      <c r="H19" s="73"/>
      <c r="I19" s="73"/>
      <c r="J19" s="73"/>
      <c r="K19" s="75" t="e">
        <f>SUM(K18:K18)</f>
        <v>#DIV/0!</v>
      </c>
      <c r="L19" s="75" t="e">
        <f>SUM(L18:L18)</f>
        <v>#DIV/0!</v>
      </c>
      <c r="M19" s="120" t="e">
        <f>L19/12</f>
        <v>#DIV/0!</v>
      </c>
    </row>
    <row r="21" spans="1:13" x14ac:dyDescent="0.2">
      <c r="A21" s="121" t="s">
        <v>292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122"/>
    </row>
    <row r="22" spans="1:13" x14ac:dyDescent="0.2">
      <c r="A22" s="113" t="s">
        <v>436</v>
      </c>
      <c r="B22" s="113" t="s">
        <v>24</v>
      </c>
      <c r="C22" s="114">
        <f>IF(ISBLANK(B22),0,IF(ISERROR(VALUE(B22)),VLOOKUP(B22,dagsoorttabel1,2,FALSE)*dagenperjaar1,VALUE(B22)))</f>
        <v>1</v>
      </c>
      <c r="D22" s="113" t="s">
        <v>397</v>
      </c>
      <c r="E22" s="113" t="s">
        <v>437</v>
      </c>
      <c r="F22" s="113" t="s">
        <v>438</v>
      </c>
      <c r="G22" s="115">
        <v>74.239999999999995</v>
      </c>
      <c r="H22" s="123">
        <f>'Additioneel werk'!G6</f>
        <v>0</v>
      </c>
      <c r="I22" s="124">
        <f>'Additioneel werk'!H6</f>
        <v>0</v>
      </c>
      <c r="J22" s="118"/>
      <c r="K22" s="119" t="e">
        <f>IF(ISBLANK(I22),0,G22 / ROUND(I22,4) * ROUND(H22,2))</f>
        <v>#DIV/0!</v>
      </c>
      <c r="L22" s="119" t="e">
        <f>C22*K22</f>
        <v>#DIV/0!</v>
      </c>
      <c r="M22" s="119" t="e">
        <f>L22/12</f>
        <v>#DIV/0!</v>
      </c>
    </row>
    <row r="23" spans="1:13" x14ac:dyDescent="0.2">
      <c r="A23" s="125" t="s">
        <v>444</v>
      </c>
      <c r="B23" s="73"/>
      <c r="C23" s="73"/>
      <c r="D23" s="73"/>
      <c r="E23" s="73"/>
      <c r="F23" s="73"/>
      <c r="G23" s="73"/>
      <c r="H23" s="73"/>
      <c r="I23" s="73"/>
      <c r="J23" s="73"/>
      <c r="K23" s="75" t="e">
        <f>SUM(K22:K22)</f>
        <v>#DIV/0!</v>
      </c>
      <c r="L23" s="75" t="e">
        <f>SUM(L22:L22)</f>
        <v>#DIV/0!</v>
      </c>
      <c r="M23" s="120" t="e">
        <f>L23/12</f>
        <v>#DIV/0!</v>
      </c>
    </row>
  </sheetData>
  <sheetProtection algorithmName="SHA-512" hashValue="qMoJ7Ee2w/0Aj/w7ozyzkiK9Yb85ERfLZ2cNH+hT6hJzf0ct4tlY6FAvbgIFvtL8hIhAE8ZA/z7InL+yxJsjmw==" saltValue="72LzuXBAprtnV4UPACdzaQ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4B58-C7CC-45EC-B9E5-FDFB39518D75}">
  <dimension ref="A1:L1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F.3.8: ",tabeltype," afroep")</f>
        <v>Bijlage F.3.8: Invultabel afroep</v>
      </c>
    </row>
    <row r="3" spans="1:12" ht="37.799999999999997" x14ac:dyDescent="0.2">
      <c r="A3" s="40" t="s">
        <v>429</v>
      </c>
      <c r="B3" s="40" t="s">
        <v>7</v>
      </c>
      <c r="C3" s="40" t="s">
        <v>430</v>
      </c>
      <c r="D3" s="40" t="s">
        <v>90</v>
      </c>
      <c r="E3" s="40" t="s">
        <v>93</v>
      </c>
      <c r="F3" s="40" t="s">
        <v>431</v>
      </c>
      <c r="G3" s="40" t="s">
        <v>432</v>
      </c>
      <c r="H3" s="40" t="s">
        <v>433</v>
      </c>
      <c r="I3" s="40" t="s">
        <v>434</v>
      </c>
      <c r="J3" s="40" t="s">
        <v>435</v>
      </c>
      <c r="K3" s="40" t="s">
        <v>169</v>
      </c>
      <c r="L3" s="40" t="s">
        <v>410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95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47" t="s">
        <v>445</v>
      </c>
      <c r="B6" s="47" t="s">
        <v>18</v>
      </c>
      <c r="C6" s="48">
        <f>IF(ISBLANK(B6),0,IF(ISERROR(VALUE(B6)),VLOOKUP(B6,dagsoorttabel1,2,FALSE)*dagenperjaar1,VALUE(B6)))</f>
        <v>12</v>
      </c>
      <c r="D6" s="47" t="s">
        <v>446</v>
      </c>
      <c r="E6" s="47" t="s">
        <v>447</v>
      </c>
      <c r="F6" s="126">
        <v>20</v>
      </c>
      <c r="G6" s="127"/>
      <c r="H6" s="128"/>
      <c r="I6" s="127"/>
      <c r="J6" s="51">
        <f>IF(ISBLANK(F6),0,F6)*ROUND(I6,2)</f>
        <v>0</v>
      </c>
      <c r="K6" s="51">
        <f>C6*J6</f>
        <v>0</v>
      </c>
      <c r="L6" s="51">
        <f>K6/12</f>
        <v>0</v>
      </c>
    </row>
    <row r="7" spans="1:12" x14ac:dyDescent="0.2">
      <c r="A7" s="52" t="s">
        <v>448</v>
      </c>
      <c r="B7" s="52" t="s">
        <v>18</v>
      </c>
      <c r="C7" s="53">
        <f>IF(ISBLANK(B7),0,IF(ISERROR(VALUE(B7)),VLOOKUP(B7,dagsoorttabel1,2,FALSE)*dagenperjaar1,VALUE(B7)))</f>
        <v>12</v>
      </c>
      <c r="D7" s="52" t="s">
        <v>449</v>
      </c>
      <c r="E7" s="52" t="s">
        <v>447</v>
      </c>
      <c r="F7" s="129">
        <v>10</v>
      </c>
      <c r="G7" s="130"/>
      <c r="H7" s="131"/>
      <c r="I7" s="130"/>
      <c r="J7" s="56">
        <f>IF(ISBLANK(F7),0,F7)*ROUND(I7,2)</f>
        <v>0</v>
      </c>
      <c r="K7" s="56">
        <f>C7*J7</f>
        <v>0</v>
      </c>
      <c r="L7" s="56">
        <f>K7/12</f>
        <v>0</v>
      </c>
    </row>
    <row r="8" spans="1:12" x14ac:dyDescent="0.2">
      <c r="A8" s="52" t="s">
        <v>450</v>
      </c>
      <c r="B8" s="52" t="s">
        <v>18</v>
      </c>
      <c r="C8" s="53">
        <f>IF(ISBLANK(B8),0,IF(ISERROR(VALUE(B8)),VLOOKUP(B8,dagsoorttabel1,2,FALSE)*dagenperjaar1,VALUE(B8)))</f>
        <v>12</v>
      </c>
      <c r="D8" s="52" t="s">
        <v>451</v>
      </c>
      <c r="E8" s="52" t="s">
        <v>447</v>
      </c>
      <c r="F8" s="129">
        <v>4</v>
      </c>
      <c r="G8" s="130"/>
      <c r="H8" s="131"/>
      <c r="I8" s="130"/>
      <c r="J8" s="56">
        <f>IF(ISBLANK(F8),0,F8)*ROUND(I8,2)</f>
        <v>0</v>
      </c>
      <c r="K8" s="56">
        <f>C8*J8</f>
        <v>0</v>
      </c>
      <c r="L8" s="56">
        <f>K8/12</f>
        <v>0</v>
      </c>
    </row>
    <row r="9" spans="1:12" x14ac:dyDescent="0.2">
      <c r="A9" s="57" t="s">
        <v>452</v>
      </c>
      <c r="B9" s="57" t="s">
        <v>18</v>
      </c>
      <c r="C9" s="58">
        <f>IF(ISBLANK(B9),0,IF(ISERROR(VALUE(B9)),VLOOKUP(B9,dagsoorttabel1,2,FALSE)*dagenperjaar1,VALUE(B9)))</f>
        <v>12</v>
      </c>
      <c r="D9" s="57" t="s">
        <v>453</v>
      </c>
      <c r="E9" s="57" t="s">
        <v>447</v>
      </c>
      <c r="F9" s="132">
        <v>5</v>
      </c>
      <c r="G9" s="133"/>
      <c r="H9" s="134"/>
      <c r="I9" s="133"/>
      <c r="J9" s="61">
        <f>IF(ISBLANK(F9),0,F9)*ROUND(I9,2)</f>
        <v>0</v>
      </c>
      <c r="K9" s="61">
        <f>C9*J9</f>
        <v>0</v>
      </c>
      <c r="L9" s="61">
        <f>K9/12</f>
        <v>0</v>
      </c>
    </row>
    <row r="10" spans="1:12" x14ac:dyDescent="0.2">
      <c r="A10" s="72" t="s">
        <v>204</v>
      </c>
      <c r="B10" s="73"/>
      <c r="C10" s="73"/>
      <c r="D10" s="73"/>
      <c r="E10" s="73"/>
      <c r="F10" s="73"/>
      <c r="G10" s="73"/>
      <c r="H10" s="73"/>
      <c r="I10" s="73"/>
      <c r="J10" s="73"/>
      <c r="K10" s="75">
        <f>SUM(K6:K9)</f>
        <v>0</v>
      </c>
      <c r="L10" s="120">
        <f>K10/12</f>
        <v>0</v>
      </c>
    </row>
    <row r="11" spans="1:12" x14ac:dyDescent="0.2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</row>
    <row r="12" spans="1:12" x14ac:dyDescent="0.2">
      <c r="A12" s="44" t="s">
        <v>454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6"/>
    </row>
    <row r="13" spans="1:12" x14ac:dyDescent="0.2">
      <c r="A13" s="47" t="s">
        <v>455</v>
      </c>
      <c r="B13" s="47" t="s">
        <v>18</v>
      </c>
      <c r="C13" s="48">
        <f>IF(ISBLANK(B13),0,IF(ISERROR(VALUE(B13)),VLOOKUP(B13,dagsoorttabel3,2,FALSE)*dagenperjaar3,VALUE(B13)))</f>
        <v>12</v>
      </c>
      <c r="D13" s="47" t="s">
        <v>446</v>
      </c>
      <c r="E13" s="47" t="s">
        <v>447</v>
      </c>
      <c r="F13" s="126">
        <v>110</v>
      </c>
      <c r="G13" s="127"/>
      <c r="H13" s="128"/>
      <c r="I13" s="127"/>
      <c r="J13" s="51">
        <f>IF(ISBLANK(F13),0,F13)*ROUND(I13,2)</f>
        <v>0</v>
      </c>
      <c r="K13" s="51">
        <f>C13*J13</f>
        <v>0</v>
      </c>
      <c r="L13" s="51">
        <f>K13/12</f>
        <v>0</v>
      </c>
    </row>
    <row r="14" spans="1:12" x14ac:dyDescent="0.2">
      <c r="A14" s="52" t="s">
        <v>456</v>
      </c>
      <c r="B14" s="52" t="s">
        <v>18</v>
      </c>
      <c r="C14" s="53">
        <f>IF(ISBLANK(B14),0,IF(ISERROR(VALUE(B14)),VLOOKUP(B14,dagsoorttabel3,2,FALSE)*dagenperjaar3,VALUE(B14)))</f>
        <v>12</v>
      </c>
      <c r="D14" s="52" t="s">
        <v>449</v>
      </c>
      <c r="E14" s="52" t="s">
        <v>447</v>
      </c>
      <c r="F14" s="129">
        <v>40</v>
      </c>
      <c r="G14" s="130"/>
      <c r="H14" s="131"/>
      <c r="I14" s="130"/>
      <c r="J14" s="56">
        <f>IF(ISBLANK(F14),0,F14)*ROUND(I14,2)</f>
        <v>0</v>
      </c>
      <c r="K14" s="56">
        <f>C14*J14</f>
        <v>0</v>
      </c>
      <c r="L14" s="56">
        <f>K14/12</f>
        <v>0</v>
      </c>
    </row>
    <row r="15" spans="1:12" x14ac:dyDescent="0.2">
      <c r="A15" s="57" t="s">
        <v>457</v>
      </c>
      <c r="B15" s="57" t="s">
        <v>18</v>
      </c>
      <c r="C15" s="58">
        <f>IF(ISBLANK(B15),0,IF(ISERROR(VALUE(B15)),VLOOKUP(B15,dagsoorttabel3,2,FALSE)*dagenperjaar3,VALUE(B15)))</f>
        <v>12</v>
      </c>
      <c r="D15" s="57" t="s">
        <v>451</v>
      </c>
      <c r="E15" s="57" t="s">
        <v>447</v>
      </c>
      <c r="F15" s="132">
        <v>4</v>
      </c>
      <c r="G15" s="133"/>
      <c r="H15" s="134"/>
      <c r="I15" s="133"/>
      <c r="J15" s="61">
        <f>IF(ISBLANK(F15),0,F15)*ROUND(I15,2)</f>
        <v>0</v>
      </c>
      <c r="K15" s="61">
        <f>C15*J15</f>
        <v>0</v>
      </c>
      <c r="L15" s="61">
        <f>K15/12</f>
        <v>0</v>
      </c>
    </row>
    <row r="16" spans="1:12" x14ac:dyDescent="0.2">
      <c r="A16" s="72" t="s">
        <v>458</v>
      </c>
      <c r="B16" s="73"/>
      <c r="C16" s="73"/>
      <c r="D16" s="73"/>
      <c r="E16" s="73"/>
      <c r="F16" s="73"/>
      <c r="G16" s="73"/>
      <c r="H16" s="73"/>
      <c r="I16" s="73"/>
      <c r="J16" s="73"/>
      <c r="K16" s="75">
        <f>SUM(K13:K15)</f>
        <v>0</v>
      </c>
      <c r="L16" s="120">
        <f>K16/12</f>
        <v>0</v>
      </c>
    </row>
    <row r="18" spans="1:12" x14ac:dyDescent="0.2">
      <c r="A18" s="72" t="s">
        <v>459</v>
      </c>
      <c r="B18" s="73"/>
      <c r="C18" s="73"/>
      <c r="D18" s="73"/>
      <c r="E18" s="73"/>
      <c r="F18" s="73"/>
      <c r="G18" s="73"/>
      <c r="H18" s="73"/>
      <c r="I18" s="73"/>
      <c r="J18" s="73"/>
      <c r="K18" s="75">
        <f>prijsjaarafroep1+prijsjaarafroep3</f>
        <v>0</v>
      </c>
      <c r="L18" s="120">
        <f>K18/12</f>
        <v>0</v>
      </c>
    </row>
  </sheetData>
  <sheetProtection algorithmName="SHA-512" hashValue="lsHWylxzt+2mdgOsk/gS+YXZX6JhBtRC/OiwQkUc5BcPKlDeiRtjUlrnJeSXXin0B25KRREe5Ycqn3jJhG3XCQ==" saltValue="3VHEtsekfdZIfH8xcBFOQ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926E-18CD-40E2-AE15-14531C73F354}">
  <dimension ref="A1:E9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F.3.9: ",tabeltype," afroep incidenteel")</f>
        <v>Bijlage F.3.9: Invultabel afroep incidenteel</v>
      </c>
    </row>
    <row r="3" spans="1:5" ht="37.799999999999997" x14ac:dyDescent="0.2">
      <c r="A3" s="40" t="s">
        <v>429</v>
      </c>
      <c r="B3" s="40" t="s">
        <v>90</v>
      </c>
      <c r="C3" s="40" t="s">
        <v>93</v>
      </c>
      <c r="D3" s="40" t="s">
        <v>460</v>
      </c>
      <c r="E3" s="40" t="s">
        <v>434</v>
      </c>
    </row>
    <row r="4" spans="1:5" x14ac:dyDescent="0.2">
      <c r="A4" s="41"/>
      <c r="B4" s="42"/>
      <c r="C4" s="42"/>
      <c r="D4" s="42"/>
      <c r="E4" s="43"/>
    </row>
    <row r="5" spans="1:5" x14ac:dyDescent="0.2">
      <c r="A5" s="44" t="s">
        <v>95</v>
      </c>
      <c r="B5" s="45"/>
      <c r="C5" s="45"/>
      <c r="D5" s="45"/>
      <c r="E5" s="46"/>
    </row>
    <row r="6" spans="1:5" x14ac:dyDescent="0.2">
      <c r="A6" s="47" t="s">
        <v>461</v>
      </c>
      <c r="B6" s="47" t="s">
        <v>462</v>
      </c>
      <c r="C6" s="47" t="s">
        <v>463</v>
      </c>
      <c r="D6" s="47" t="s">
        <v>464</v>
      </c>
      <c r="E6" s="127"/>
    </row>
    <row r="7" spans="1:5" x14ac:dyDescent="0.2">
      <c r="A7" s="52" t="s">
        <v>465</v>
      </c>
      <c r="B7" s="52" t="s">
        <v>462</v>
      </c>
      <c r="C7" s="52" t="s">
        <v>463</v>
      </c>
      <c r="D7" s="52" t="s">
        <v>466</v>
      </c>
      <c r="E7" s="130"/>
    </row>
    <row r="8" spans="1:5" x14ac:dyDescent="0.2">
      <c r="A8" s="52" t="s">
        <v>467</v>
      </c>
      <c r="B8" s="52" t="s">
        <v>462</v>
      </c>
      <c r="C8" s="52" t="s">
        <v>463</v>
      </c>
      <c r="D8" s="52" t="s">
        <v>468</v>
      </c>
      <c r="E8" s="130"/>
    </row>
    <row r="9" spans="1:5" x14ac:dyDescent="0.2">
      <c r="A9" s="52" t="s">
        <v>469</v>
      </c>
      <c r="B9" s="52" t="s">
        <v>462</v>
      </c>
      <c r="C9" s="52" t="s">
        <v>463</v>
      </c>
      <c r="D9" s="52" t="s">
        <v>470</v>
      </c>
      <c r="E9" s="130"/>
    </row>
    <row r="10" spans="1:5" x14ac:dyDescent="0.2">
      <c r="A10" s="52" t="s">
        <v>471</v>
      </c>
      <c r="B10" s="52" t="s">
        <v>472</v>
      </c>
      <c r="C10" s="52" t="s">
        <v>463</v>
      </c>
      <c r="D10" s="52" t="s">
        <v>464</v>
      </c>
      <c r="E10" s="130"/>
    </row>
    <row r="11" spans="1:5" x14ac:dyDescent="0.2">
      <c r="A11" s="52" t="s">
        <v>473</v>
      </c>
      <c r="B11" s="52" t="s">
        <v>472</v>
      </c>
      <c r="C11" s="52" t="s">
        <v>463</v>
      </c>
      <c r="D11" s="52" t="s">
        <v>466</v>
      </c>
      <c r="E11" s="130"/>
    </row>
    <row r="12" spans="1:5" x14ac:dyDescent="0.2">
      <c r="A12" s="52" t="s">
        <v>474</v>
      </c>
      <c r="B12" s="52" t="s">
        <v>472</v>
      </c>
      <c r="C12" s="52" t="s">
        <v>463</v>
      </c>
      <c r="D12" s="52" t="s">
        <v>468</v>
      </c>
      <c r="E12" s="130"/>
    </row>
    <row r="13" spans="1:5" x14ac:dyDescent="0.2">
      <c r="A13" s="52" t="s">
        <v>475</v>
      </c>
      <c r="B13" s="52" t="s">
        <v>472</v>
      </c>
      <c r="C13" s="52" t="s">
        <v>463</v>
      </c>
      <c r="D13" s="52" t="s">
        <v>470</v>
      </c>
      <c r="E13" s="130"/>
    </row>
    <row r="14" spans="1:5" x14ac:dyDescent="0.2">
      <c r="A14" s="52" t="s">
        <v>476</v>
      </c>
      <c r="B14" s="52" t="s">
        <v>477</v>
      </c>
      <c r="C14" s="52" t="s">
        <v>463</v>
      </c>
      <c r="D14" s="52" t="s">
        <v>464</v>
      </c>
      <c r="E14" s="130"/>
    </row>
    <row r="15" spans="1:5" x14ac:dyDescent="0.2">
      <c r="A15" s="52" t="s">
        <v>478</v>
      </c>
      <c r="B15" s="52" t="s">
        <v>477</v>
      </c>
      <c r="C15" s="52" t="s">
        <v>463</v>
      </c>
      <c r="D15" s="52" t="s">
        <v>466</v>
      </c>
      <c r="E15" s="130"/>
    </row>
    <row r="16" spans="1:5" x14ac:dyDescent="0.2">
      <c r="A16" s="52" t="s">
        <v>479</v>
      </c>
      <c r="B16" s="52" t="s">
        <v>477</v>
      </c>
      <c r="C16" s="52" t="s">
        <v>463</v>
      </c>
      <c r="D16" s="52" t="s">
        <v>468</v>
      </c>
      <c r="E16" s="130"/>
    </row>
    <row r="17" spans="1:5" x14ac:dyDescent="0.2">
      <c r="A17" s="52" t="s">
        <v>480</v>
      </c>
      <c r="B17" s="52" t="s">
        <v>477</v>
      </c>
      <c r="C17" s="52" t="s">
        <v>463</v>
      </c>
      <c r="D17" s="52" t="s">
        <v>470</v>
      </c>
      <c r="E17" s="130"/>
    </row>
    <row r="18" spans="1:5" x14ac:dyDescent="0.2">
      <c r="A18" s="52" t="s">
        <v>481</v>
      </c>
      <c r="B18" s="52" t="s">
        <v>482</v>
      </c>
      <c r="C18" s="52" t="s">
        <v>463</v>
      </c>
      <c r="D18" s="52" t="s">
        <v>464</v>
      </c>
      <c r="E18" s="130"/>
    </row>
    <row r="19" spans="1:5" x14ac:dyDescent="0.2">
      <c r="A19" s="52" t="s">
        <v>483</v>
      </c>
      <c r="B19" s="52" t="s">
        <v>482</v>
      </c>
      <c r="C19" s="52" t="s">
        <v>463</v>
      </c>
      <c r="D19" s="52" t="s">
        <v>466</v>
      </c>
      <c r="E19" s="130"/>
    </row>
    <row r="20" spans="1:5" x14ac:dyDescent="0.2">
      <c r="A20" s="52" t="s">
        <v>484</v>
      </c>
      <c r="B20" s="52" t="s">
        <v>482</v>
      </c>
      <c r="C20" s="52" t="s">
        <v>463</v>
      </c>
      <c r="D20" s="52" t="s">
        <v>468</v>
      </c>
      <c r="E20" s="130"/>
    </row>
    <row r="21" spans="1:5" x14ac:dyDescent="0.2">
      <c r="A21" s="52" t="s">
        <v>485</v>
      </c>
      <c r="B21" s="52" t="s">
        <v>482</v>
      </c>
      <c r="C21" s="52" t="s">
        <v>463</v>
      </c>
      <c r="D21" s="52" t="s">
        <v>470</v>
      </c>
      <c r="E21" s="130"/>
    </row>
    <row r="22" spans="1:5" x14ac:dyDescent="0.2">
      <c r="A22" s="52" t="s">
        <v>486</v>
      </c>
      <c r="B22" s="52" t="s">
        <v>487</v>
      </c>
      <c r="C22" s="52" t="s">
        <v>488</v>
      </c>
      <c r="D22" s="52" t="s">
        <v>489</v>
      </c>
      <c r="E22" s="130"/>
    </row>
    <row r="23" spans="1:5" x14ac:dyDescent="0.2">
      <c r="A23" s="52" t="s">
        <v>490</v>
      </c>
      <c r="B23" s="52" t="s">
        <v>487</v>
      </c>
      <c r="C23" s="52" t="s">
        <v>488</v>
      </c>
      <c r="D23" s="52" t="s">
        <v>491</v>
      </c>
      <c r="E23" s="130"/>
    </row>
    <row r="24" spans="1:5" x14ac:dyDescent="0.2">
      <c r="A24" s="52" t="s">
        <v>492</v>
      </c>
      <c r="B24" s="52" t="s">
        <v>487</v>
      </c>
      <c r="C24" s="52" t="s">
        <v>488</v>
      </c>
      <c r="D24" s="52" t="s">
        <v>493</v>
      </c>
      <c r="E24" s="130"/>
    </row>
    <row r="25" spans="1:5" x14ac:dyDescent="0.2">
      <c r="A25" s="52" t="s">
        <v>494</v>
      </c>
      <c r="B25" s="52" t="s">
        <v>487</v>
      </c>
      <c r="C25" s="52" t="s">
        <v>488</v>
      </c>
      <c r="D25" s="52" t="s">
        <v>495</v>
      </c>
      <c r="E25" s="130"/>
    </row>
    <row r="26" spans="1:5" x14ac:dyDescent="0.2">
      <c r="A26" s="52" t="s">
        <v>496</v>
      </c>
      <c r="B26" s="52" t="s">
        <v>497</v>
      </c>
      <c r="C26" s="52" t="s">
        <v>488</v>
      </c>
      <c r="D26" s="52" t="s">
        <v>489</v>
      </c>
      <c r="E26" s="130"/>
    </row>
    <row r="27" spans="1:5" x14ac:dyDescent="0.2">
      <c r="A27" s="52" t="s">
        <v>498</v>
      </c>
      <c r="B27" s="52" t="s">
        <v>497</v>
      </c>
      <c r="C27" s="52" t="s">
        <v>488</v>
      </c>
      <c r="D27" s="52" t="s">
        <v>491</v>
      </c>
      <c r="E27" s="130"/>
    </row>
    <row r="28" spans="1:5" x14ac:dyDescent="0.2">
      <c r="A28" s="52" t="s">
        <v>499</v>
      </c>
      <c r="B28" s="52" t="s">
        <v>497</v>
      </c>
      <c r="C28" s="52" t="s">
        <v>488</v>
      </c>
      <c r="D28" s="52" t="s">
        <v>493</v>
      </c>
      <c r="E28" s="130"/>
    </row>
    <row r="29" spans="1:5" x14ac:dyDescent="0.2">
      <c r="A29" s="52" t="s">
        <v>500</v>
      </c>
      <c r="B29" s="52" t="s">
        <v>497</v>
      </c>
      <c r="C29" s="52" t="s">
        <v>488</v>
      </c>
      <c r="D29" s="52" t="s">
        <v>495</v>
      </c>
      <c r="E29" s="130"/>
    </row>
    <row r="30" spans="1:5" x14ac:dyDescent="0.2">
      <c r="A30" s="52" t="s">
        <v>501</v>
      </c>
      <c r="B30" s="52" t="s">
        <v>502</v>
      </c>
      <c r="C30" s="52" t="s">
        <v>488</v>
      </c>
      <c r="D30" s="52" t="s">
        <v>489</v>
      </c>
      <c r="E30" s="130"/>
    </row>
    <row r="31" spans="1:5" x14ac:dyDescent="0.2">
      <c r="A31" s="52" t="s">
        <v>503</v>
      </c>
      <c r="B31" s="52" t="s">
        <v>502</v>
      </c>
      <c r="C31" s="52" t="s">
        <v>488</v>
      </c>
      <c r="D31" s="52" t="s">
        <v>491</v>
      </c>
      <c r="E31" s="130"/>
    </row>
    <row r="32" spans="1:5" x14ac:dyDescent="0.2">
      <c r="A32" s="52" t="s">
        <v>504</v>
      </c>
      <c r="B32" s="52" t="s">
        <v>502</v>
      </c>
      <c r="C32" s="52" t="s">
        <v>488</v>
      </c>
      <c r="D32" s="52" t="s">
        <v>493</v>
      </c>
      <c r="E32" s="130"/>
    </row>
    <row r="33" spans="1:5" x14ac:dyDescent="0.2">
      <c r="A33" s="52" t="s">
        <v>505</v>
      </c>
      <c r="B33" s="52" t="s">
        <v>502</v>
      </c>
      <c r="C33" s="52" t="s">
        <v>488</v>
      </c>
      <c r="D33" s="52" t="s">
        <v>495</v>
      </c>
      <c r="E33" s="130"/>
    </row>
    <row r="34" spans="1:5" x14ac:dyDescent="0.2">
      <c r="A34" s="52" t="s">
        <v>506</v>
      </c>
      <c r="B34" s="52" t="s">
        <v>507</v>
      </c>
      <c r="C34" s="52" t="s">
        <v>488</v>
      </c>
      <c r="D34" s="52" t="s">
        <v>489</v>
      </c>
      <c r="E34" s="130"/>
    </row>
    <row r="35" spans="1:5" x14ac:dyDescent="0.2">
      <c r="A35" s="52" t="s">
        <v>508</v>
      </c>
      <c r="B35" s="52" t="s">
        <v>507</v>
      </c>
      <c r="C35" s="52" t="s">
        <v>488</v>
      </c>
      <c r="D35" s="52" t="s">
        <v>491</v>
      </c>
      <c r="E35" s="130"/>
    </row>
    <row r="36" spans="1:5" x14ac:dyDescent="0.2">
      <c r="A36" s="52" t="s">
        <v>509</v>
      </c>
      <c r="B36" s="52" t="s">
        <v>507</v>
      </c>
      <c r="C36" s="52" t="s">
        <v>488</v>
      </c>
      <c r="D36" s="52" t="s">
        <v>493</v>
      </c>
      <c r="E36" s="130"/>
    </row>
    <row r="37" spans="1:5" x14ac:dyDescent="0.2">
      <c r="A37" s="52" t="s">
        <v>510</v>
      </c>
      <c r="B37" s="52" t="s">
        <v>507</v>
      </c>
      <c r="C37" s="52" t="s">
        <v>488</v>
      </c>
      <c r="D37" s="52" t="s">
        <v>495</v>
      </c>
      <c r="E37" s="130"/>
    </row>
    <row r="38" spans="1:5" x14ac:dyDescent="0.2">
      <c r="A38" s="52" t="s">
        <v>511</v>
      </c>
      <c r="B38" s="52" t="s">
        <v>512</v>
      </c>
      <c r="C38" s="52" t="s">
        <v>488</v>
      </c>
      <c r="D38" s="52" t="s">
        <v>489</v>
      </c>
      <c r="E38" s="130"/>
    </row>
    <row r="39" spans="1:5" x14ac:dyDescent="0.2">
      <c r="A39" s="52" t="s">
        <v>513</v>
      </c>
      <c r="B39" s="52" t="s">
        <v>512</v>
      </c>
      <c r="C39" s="52" t="s">
        <v>488</v>
      </c>
      <c r="D39" s="52" t="s">
        <v>491</v>
      </c>
      <c r="E39" s="130"/>
    </row>
    <row r="40" spans="1:5" x14ac:dyDescent="0.2">
      <c r="A40" s="52" t="s">
        <v>514</v>
      </c>
      <c r="B40" s="52" t="s">
        <v>512</v>
      </c>
      <c r="C40" s="52" t="s">
        <v>488</v>
      </c>
      <c r="D40" s="52" t="s">
        <v>493</v>
      </c>
      <c r="E40" s="130"/>
    </row>
    <row r="41" spans="1:5" x14ac:dyDescent="0.2">
      <c r="A41" s="52" t="s">
        <v>515</v>
      </c>
      <c r="B41" s="52" t="s">
        <v>512</v>
      </c>
      <c r="C41" s="52" t="s">
        <v>488</v>
      </c>
      <c r="D41" s="52" t="s">
        <v>495</v>
      </c>
      <c r="E41" s="130"/>
    </row>
    <row r="42" spans="1:5" x14ac:dyDescent="0.2">
      <c r="A42" s="52" t="s">
        <v>516</v>
      </c>
      <c r="B42" s="52" t="s">
        <v>517</v>
      </c>
      <c r="C42" s="52" t="s">
        <v>488</v>
      </c>
      <c r="D42" s="52" t="s">
        <v>489</v>
      </c>
      <c r="E42" s="130"/>
    </row>
    <row r="43" spans="1:5" x14ac:dyDescent="0.2">
      <c r="A43" s="52" t="s">
        <v>518</v>
      </c>
      <c r="B43" s="52" t="s">
        <v>517</v>
      </c>
      <c r="C43" s="52" t="s">
        <v>488</v>
      </c>
      <c r="D43" s="52" t="s">
        <v>491</v>
      </c>
      <c r="E43" s="130"/>
    </row>
    <row r="44" spans="1:5" x14ac:dyDescent="0.2">
      <c r="A44" s="52" t="s">
        <v>519</v>
      </c>
      <c r="B44" s="52" t="s">
        <v>517</v>
      </c>
      <c r="C44" s="52" t="s">
        <v>488</v>
      </c>
      <c r="D44" s="52" t="s">
        <v>493</v>
      </c>
      <c r="E44" s="130"/>
    </row>
    <row r="45" spans="1:5" x14ac:dyDescent="0.2">
      <c r="A45" s="52" t="s">
        <v>520</v>
      </c>
      <c r="B45" s="52" t="s">
        <v>517</v>
      </c>
      <c r="C45" s="52" t="s">
        <v>488</v>
      </c>
      <c r="D45" s="52" t="s">
        <v>495</v>
      </c>
      <c r="E45" s="130"/>
    </row>
    <row r="46" spans="1:5" x14ac:dyDescent="0.2">
      <c r="A46" s="52" t="s">
        <v>521</v>
      </c>
      <c r="B46" s="52" t="s">
        <v>522</v>
      </c>
      <c r="C46" s="52" t="s">
        <v>488</v>
      </c>
      <c r="D46" s="52" t="s">
        <v>489</v>
      </c>
      <c r="E46" s="130"/>
    </row>
    <row r="47" spans="1:5" x14ac:dyDescent="0.2">
      <c r="A47" s="52" t="s">
        <v>523</v>
      </c>
      <c r="B47" s="52" t="s">
        <v>522</v>
      </c>
      <c r="C47" s="52" t="s">
        <v>488</v>
      </c>
      <c r="D47" s="52" t="s">
        <v>491</v>
      </c>
      <c r="E47" s="130"/>
    </row>
    <row r="48" spans="1:5" x14ac:dyDescent="0.2">
      <c r="A48" s="52" t="s">
        <v>524</v>
      </c>
      <c r="B48" s="52" t="s">
        <v>522</v>
      </c>
      <c r="C48" s="52" t="s">
        <v>488</v>
      </c>
      <c r="D48" s="52" t="s">
        <v>493</v>
      </c>
      <c r="E48" s="130"/>
    </row>
    <row r="49" spans="1:5" x14ac:dyDescent="0.2">
      <c r="A49" s="52" t="s">
        <v>525</v>
      </c>
      <c r="B49" s="52" t="s">
        <v>522</v>
      </c>
      <c r="C49" s="52" t="s">
        <v>488</v>
      </c>
      <c r="D49" s="52" t="s">
        <v>495</v>
      </c>
      <c r="E49" s="130"/>
    </row>
    <row r="50" spans="1:5" x14ac:dyDescent="0.2">
      <c r="A50" s="52" t="s">
        <v>526</v>
      </c>
      <c r="B50" s="52" t="s">
        <v>527</v>
      </c>
      <c r="C50" s="52" t="s">
        <v>488</v>
      </c>
      <c r="D50" s="52" t="s">
        <v>40</v>
      </c>
      <c r="E50" s="130"/>
    </row>
    <row r="51" spans="1:5" x14ac:dyDescent="0.2">
      <c r="A51" s="52" t="s">
        <v>528</v>
      </c>
      <c r="B51" s="52" t="s">
        <v>529</v>
      </c>
      <c r="C51" s="52" t="s">
        <v>447</v>
      </c>
      <c r="D51" s="52" t="s">
        <v>40</v>
      </c>
      <c r="E51" s="130"/>
    </row>
    <row r="52" spans="1:5" x14ac:dyDescent="0.2">
      <c r="A52" s="52" t="s">
        <v>530</v>
      </c>
      <c r="B52" s="52" t="s">
        <v>531</v>
      </c>
      <c r="C52" s="52" t="s">
        <v>488</v>
      </c>
      <c r="D52" s="52" t="s">
        <v>532</v>
      </c>
      <c r="E52" s="130"/>
    </row>
    <row r="53" spans="1:5" x14ac:dyDescent="0.2">
      <c r="A53" s="52" t="s">
        <v>533</v>
      </c>
      <c r="B53" s="52" t="s">
        <v>531</v>
      </c>
      <c r="C53" s="52" t="s">
        <v>488</v>
      </c>
      <c r="D53" s="52" t="s">
        <v>534</v>
      </c>
      <c r="E53" s="130"/>
    </row>
    <row r="54" spans="1:5" x14ac:dyDescent="0.2">
      <c r="A54" s="52" t="s">
        <v>535</v>
      </c>
      <c r="B54" s="52" t="s">
        <v>531</v>
      </c>
      <c r="C54" s="52" t="s">
        <v>488</v>
      </c>
      <c r="D54" s="52" t="s">
        <v>536</v>
      </c>
      <c r="E54" s="130"/>
    </row>
    <row r="55" spans="1:5" x14ac:dyDescent="0.2">
      <c r="A55" s="52" t="s">
        <v>537</v>
      </c>
      <c r="B55" s="52" t="s">
        <v>531</v>
      </c>
      <c r="C55" s="52" t="s">
        <v>488</v>
      </c>
      <c r="D55" s="52" t="s">
        <v>538</v>
      </c>
      <c r="E55" s="130"/>
    </row>
    <row r="56" spans="1:5" x14ac:dyDescent="0.2">
      <c r="A56" s="52" t="s">
        <v>539</v>
      </c>
      <c r="B56" s="52" t="s">
        <v>540</v>
      </c>
      <c r="C56" s="52" t="s">
        <v>488</v>
      </c>
      <c r="D56" s="52" t="s">
        <v>532</v>
      </c>
      <c r="E56" s="130"/>
    </row>
    <row r="57" spans="1:5" x14ac:dyDescent="0.2">
      <c r="A57" s="52" t="s">
        <v>541</v>
      </c>
      <c r="B57" s="52" t="s">
        <v>540</v>
      </c>
      <c r="C57" s="52" t="s">
        <v>488</v>
      </c>
      <c r="D57" s="52" t="s">
        <v>534</v>
      </c>
      <c r="E57" s="130"/>
    </row>
    <row r="58" spans="1:5" x14ac:dyDescent="0.2">
      <c r="A58" s="52" t="s">
        <v>542</v>
      </c>
      <c r="B58" s="52" t="s">
        <v>540</v>
      </c>
      <c r="C58" s="52" t="s">
        <v>488</v>
      </c>
      <c r="D58" s="52" t="s">
        <v>536</v>
      </c>
      <c r="E58" s="130"/>
    </row>
    <row r="59" spans="1:5" x14ac:dyDescent="0.2">
      <c r="A59" s="52" t="s">
        <v>543</v>
      </c>
      <c r="B59" s="52" t="s">
        <v>540</v>
      </c>
      <c r="C59" s="52" t="s">
        <v>488</v>
      </c>
      <c r="D59" s="52" t="s">
        <v>538</v>
      </c>
      <c r="E59" s="130"/>
    </row>
    <row r="60" spans="1:5" x14ac:dyDescent="0.2">
      <c r="A60" s="52" t="s">
        <v>544</v>
      </c>
      <c r="B60" s="52" t="s">
        <v>545</v>
      </c>
      <c r="C60" s="52" t="s">
        <v>488</v>
      </c>
      <c r="D60" s="52" t="s">
        <v>532</v>
      </c>
      <c r="E60" s="130"/>
    </row>
    <row r="61" spans="1:5" x14ac:dyDescent="0.2">
      <c r="A61" s="52" t="s">
        <v>546</v>
      </c>
      <c r="B61" s="52" t="s">
        <v>545</v>
      </c>
      <c r="C61" s="52" t="s">
        <v>488</v>
      </c>
      <c r="D61" s="52" t="s">
        <v>534</v>
      </c>
      <c r="E61" s="130"/>
    </row>
    <row r="62" spans="1:5" x14ac:dyDescent="0.2">
      <c r="A62" s="52" t="s">
        <v>547</v>
      </c>
      <c r="B62" s="52" t="s">
        <v>545</v>
      </c>
      <c r="C62" s="52" t="s">
        <v>488</v>
      </c>
      <c r="D62" s="52" t="s">
        <v>536</v>
      </c>
      <c r="E62" s="130"/>
    </row>
    <row r="63" spans="1:5" x14ac:dyDescent="0.2">
      <c r="A63" s="52" t="s">
        <v>548</v>
      </c>
      <c r="B63" s="52" t="s">
        <v>545</v>
      </c>
      <c r="C63" s="52" t="s">
        <v>488</v>
      </c>
      <c r="D63" s="52" t="s">
        <v>538</v>
      </c>
      <c r="E63" s="130"/>
    </row>
    <row r="64" spans="1:5" x14ac:dyDescent="0.2">
      <c r="A64" s="52" t="s">
        <v>549</v>
      </c>
      <c r="B64" s="52" t="s">
        <v>550</v>
      </c>
      <c r="C64" s="52" t="s">
        <v>488</v>
      </c>
      <c r="D64" s="52" t="s">
        <v>532</v>
      </c>
      <c r="E64" s="130"/>
    </row>
    <row r="65" spans="1:5" x14ac:dyDescent="0.2">
      <c r="A65" s="52" t="s">
        <v>551</v>
      </c>
      <c r="B65" s="52" t="s">
        <v>550</v>
      </c>
      <c r="C65" s="52" t="s">
        <v>488</v>
      </c>
      <c r="D65" s="52" t="s">
        <v>534</v>
      </c>
      <c r="E65" s="130"/>
    </row>
    <row r="66" spans="1:5" x14ac:dyDescent="0.2">
      <c r="A66" s="52" t="s">
        <v>552</v>
      </c>
      <c r="B66" s="52" t="s">
        <v>550</v>
      </c>
      <c r="C66" s="52" t="s">
        <v>488</v>
      </c>
      <c r="D66" s="52" t="s">
        <v>536</v>
      </c>
      <c r="E66" s="130"/>
    </row>
    <row r="67" spans="1:5" x14ac:dyDescent="0.2">
      <c r="A67" s="52" t="s">
        <v>553</v>
      </c>
      <c r="B67" s="52" t="s">
        <v>550</v>
      </c>
      <c r="C67" s="52" t="s">
        <v>488</v>
      </c>
      <c r="D67" s="52" t="s">
        <v>538</v>
      </c>
      <c r="E67" s="130"/>
    </row>
    <row r="68" spans="1:5" x14ac:dyDescent="0.2">
      <c r="A68" s="52" t="s">
        <v>554</v>
      </c>
      <c r="B68" s="52" t="s">
        <v>555</v>
      </c>
      <c r="C68" s="52" t="s">
        <v>488</v>
      </c>
      <c r="D68" s="52" t="s">
        <v>532</v>
      </c>
      <c r="E68" s="130"/>
    </row>
    <row r="69" spans="1:5" x14ac:dyDescent="0.2">
      <c r="A69" s="52" t="s">
        <v>556</v>
      </c>
      <c r="B69" s="52" t="s">
        <v>555</v>
      </c>
      <c r="C69" s="52" t="s">
        <v>488</v>
      </c>
      <c r="D69" s="52" t="s">
        <v>534</v>
      </c>
      <c r="E69" s="130"/>
    </row>
    <row r="70" spans="1:5" x14ac:dyDescent="0.2">
      <c r="A70" s="52" t="s">
        <v>557</v>
      </c>
      <c r="B70" s="52" t="s">
        <v>555</v>
      </c>
      <c r="C70" s="52" t="s">
        <v>488</v>
      </c>
      <c r="D70" s="52" t="s">
        <v>536</v>
      </c>
      <c r="E70" s="130"/>
    </row>
    <row r="71" spans="1:5" x14ac:dyDescent="0.2">
      <c r="A71" s="52" t="s">
        <v>558</v>
      </c>
      <c r="B71" s="52" t="s">
        <v>555</v>
      </c>
      <c r="C71" s="52" t="s">
        <v>488</v>
      </c>
      <c r="D71" s="52" t="s">
        <v>538</v>
      </c>
      <c r="E71" s="130"/>
    </row>
    <row r="72" spans="1:5" x14ac:dyDescent="0.2">
      <c r="A72" s="52" t="s">
        <v>559</v>
      </c>
      <c r="B72" s="52" t="s">
        <v>560</v>
      </c>
      <c r="C72" s="52" t="s">
        <v>488</v>
      </c>
      <c r="D72" s="52" t="s">
        <v>532</v>
      </c>
      <c r="E72" s="130"/>
    </row>
    <row r="73" spans="1:5" x14ac:dyDescent="0.2">
      <c r="A73" s="52" t="s">
        <v>561</v>
      </c>
      <c r="B73" s="52" t="s">
        <v>560</v>
      </c>
      <c r="C73" s="52" t="s">
        <v>488</v>
      </c>
      <c r="D73" s="52" t="s">
        <v>534</v>
      </c>
      <c r="E73" s="130"/>
    </row>
    <row r="74" spans="1:5" x14ac:dyDescent="0.2">
      <c r="A74" s="52" t="s">
        <v>562</v>
      </c>
      <c r="B74" s="52" t="s">
        <v>560</v>
      </c>
      <c r="C74" s="52" t="s">
        <v>488</v>
      </c>
      <c r="D74" s="52" t="s">
        <v>536</v>
      </c>
      <c r="E74" s="130"/>
    </row>
    <row r="75" spans="1:5" x14ac:dyDescent="0.2">
      <c r="A75" s="52" t="s">
        <v>563</v>
      </c>
      <c r="B75" s="52" t="s">
        <v>560</v>
      </c>
      <c r="C75" s="52" t="s">
        <v>488</v>
      </c>
      <c r="D75" s="52" t="s">
        <v>538</v>
      </c>
      <c r="E75" s="130"/>
    </row>
    <row r="76" spans="1:5" x14ac:dyDescent="0.2">
      <c r="A76" s="52" t="s">
        <v>564</v>
      </c>
      <c r="B76" s="52" t="s">
        <v>565</v>
      </c>
      <c r="C76" s="52" t="s">
        <v>488</v>
      </c>
      <c r="D76" s="52" t="s">
        <v>532</v>
      </c>
      <c r="E76" s="130"/>
    </row>
    <row r="77" spans="1:5" x14ac:dyDescent="0.2">
      <c r="A77" s="52" t="s">
        <v>566</v>
      </c>
      <c r="B77" s="52" t="s">
        <v>565</v>
      </c>
      <c r="C77" s="52" t="s">
        <v>488</v>
      </c>
      <c r="D77" s="52" t="s">
        <v>534</v>
      </c>
      <c r="E77" s="130"/>
    </row>
    <row r="78" spans="1:5" x14ac:dyDescent="0.2">
      <c r="A78" s="52" t="s">
        <v>567</v>
      </c>
      <c r="B78" s="52" t="s">
        <v>565</v>
      </c>
      <c r="C78" s="52" t="s">
        <v>488</v>
      </c>
      <c r="D78" s="52" t="s">
        <v>536</v>
      </c>
      <c r="E78" s="130"/>
    </row>
    <row r="79" spans="1:5" x14ac:dyDescent="0.2">
      <c r="A79" s="52" t="s">
        <v>568</v>
      </c>
      <c r="B79" s="52" t="s">
        <v>565</v>
      </c>
      <c r="C79" s="52" t="s">
        <v>488</v>
      </c>
      <c r="D79" s="52" t="s">
        <v>538</v>
      </c>
      <c r="E79" s="130"/>
    </row>
    <row r="80" spans="1:5" x14ac:dyDescent="0.2">
      <c r="A80" s="52" t="s">
        <v>569</v>
      </c>
      <c r="B80" s="52" t="s">
        <v>570</v>
      </c>
      <c r="C80" s="52" t="s">
        <v>488</v>
      </c>
      <c r="D80" s="52" t="s">
        <v>532</v>
      </c>
      <c r="E80" s="130"/>
    </row>
    <row r="81" spans="1:5" x14ac:dyDescent="0.2">
      <c r="A81" s="52" t="s">
        <v>571</v>
      </c>
      <c r="B81" s="52" t="s">
        <v>570</v>
      </c>
      <c r="C81" s="52" t="s">
        <v>488</v>
      </c>
      <c r="D81" s="52" t="s">
        <v>534</v>
      </c>
      <c r="E81" s="130"/>
    </row>
    <row r="82" spans="1:5" x14ac:dyDescent="0.2">
      <c r="A82" s="52" t="s">
        <v>572</v>
      </c>
      <c r="B82" s="52" t="s">
        <v>570</v>
      </c>
      <c r="C82" s="52" t="s">
        <v>488</v>
      </c>
      <c r="D82" s="52" t="s">
        <v>536</v>
      </c>
      <c r="E82" s="130"/>
    </row>
    <row r="83" spans="1:5" x14ac:dyDescent="0.2">
      <c r="A83" s="52" t="s">
        <v>573</v>
      </c>
      <c r="B83" s="52" t="s">
        <v>570</v>
      </c>
      <c r="C83" s="52" t="s">
        <v>488</v>
      </c>
      <c r="D83" s="52" t="s">
        <v>538</v>
      </c>
      <c r="E83" s="130"/>
    </row>
    <row r="84" spans="1:5" x14ac:dyDescent="0.2">
      <c r="A84" s="52" t="s">
        <v>574</v>
      </c>
      <c r="B84" s="52" t="s">
        <v>575</v>
      </c>
      <c r="C84" s="52" t="s">
        <v>488</v>
      </c>
      <c r="D84" s="52" t="s">
        <v>532</v>
      </c>
      <c r="E84" s="130"/>
    </row>
    <row r="85" spans="1:5" x14ac:dyDescent="0.2">
      <c r="A85" s="52" t="s">
        <v>576</v>
      </c>
      <c r="B85" s="52" t="s">
        <v>575</v>
      </c>
      <c r="C85" s="52" t="s">
        <v>488</v>
      </c>
      <c r="D85" s="52" t="s">
        <v>534</v>
      </c>
      <c r="E85" s="130"/>
    </row>
    <row r="86" spans="1:5" x14ac:dyDescent="0.2">
      <c r="A86" s="52" t="s">
        <v>577</v>
      </c>
      <c r="B86" s="52" t="s">
        <v>575</v>
      </c>
      <c r="C86" s="52" t="s">
        <v>488</v>
      </c>
      <c r="D86" s="52" t="s">
        <v>536</v>
      </c>
      <c r="E86" s="130"/>
    </row>
    <row r="87" spans="1:5" x14ac:dyDescent="0.2">
      <c r="A87" s="52" t="s">
        <v>578</v>
      </c>
      <c r="B87" s="52" t="s">
        <v>575</v>
      </c>
      <c r="C87" s="52" t="s">
        <v>488</v>
      </c>
      <c r="D87" s="52" t="s">
        <v>538</v>
      </c>
      <c r="E87" s="130"/>
    </row>
    <row r="88" spans="1:5" x14ac:dyDescent="0.2">
      <c r="A88" s="52" t="s">
        <v>579</v>
      </c>
      <c r="B88" s="52" t="s">
        <v>580</v>
      </c>
      <c r="C88" s="52" t="s">
        <v>463</v>
      </c>
      <c r="D88" s="52" t="s">
        <v>464</v>
      </c>
      <c r="E88" s="130"/>
    </row>
    <row r="89" spans="1:5" x14ac:dyDescent="0.2">
      <c r="A89" s="52" t="s">
        <v>581</v>
      </c>
      <c r="B89" s="52" t="s">
        <v>580</v>
      </c>
      <c r="C89" s="52" t="s">
        <v>463</v>
      </c>
      <c r="D89" s="52" t="s">
        <v>582</v>
      </c>
      <c r="E89" s="130"/>
    </row>
    <row r="90" spans="1:5" x14ac:dyDescent="0.2">
      <c r="A90" s="52" t="s">
        <v>583</v>
      </c>
      <c r="B90" s="52" t="s">
        <v>580</v>
      </c>
      <c r="C90" s="52" t="s">
        <v>463</v>
      </c>
      <c r="D90" s="52" t="s">
        <v>584</v>
      </c>
      <c r="E90" s="130"/>
    </row>
    <row r="91" spans="1:5" x14ac:dyDescent="0.2">
      <c r="A91" s="57" t="s">
        <v>585</v>
      </c>
      <c r="B91" s="57" t="s">
        <v>580</v>
      </c>
      <c r="C91" s="57" t="s">
        <v>463</v>
      </c>
      <c r="D91" s="57" t="s">
        <v>586</v>
      </c>
      <c r="E91" s="133"/>
    </row>
    <row r="92" spans="1:5" x14ac:dyDescent="0.2">
      <c r="A92" s="72" t="s">
        <v>204</v>
      </c>
      <c r="B92" s="73"/>
      <c r="C92" s="73"/>
      <c r="D92" s="73"/>
      <c r="E92" s="122"/>
    </row>
    <row r="94" spans="1:5" x14ac:dyDescent="0.2">
      <c r="A94" s="72" t="s">
        <v>587</v>
      </c>
      <c r="B94" s="73"/>
      <c r="C94" s="73"/>
      <c r="D94" s="73"/>
      <c r="E94" s="122"/>
    </row>
  </sheetData>
  <sheetProtection algorithmName="SHA-512" hashValue="HoUxjES4yLWGHupTgeD2aLHCVb0WHXdvYylx7tZ8anxilOGaHHcsYQkedsY5pWRg6ivcnWUun5erqThp+DUCcw==" saltValue="nx9D3fs2DbkbzwXgqboFdg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E708-30B8-4C05-94D7-9B1B220D8C03}">
  <dimension ref="A1:D8"/>
  <sheetViews>
    <sheetView tabSelected="1" workbookViewId="0"/>
  </sheetViews>
  <sheetFormatPr defaultRowHeight="12.6" x14ac:dyDescent="0.2"/>
  <cols>
    <col min="1" max="1" width="30.6328125" customWidth="1"/>
    <col min="2" max="4" width="20.6328125" customWidth="1"/>
  </cols>
  <sheetData>
    <row r="1" spans="1:4" x14ac:dyDescent="0.2">
      <c r="A1" s="1" t="str">
        <f>CONCATENATE("Bijlage F.3.10: ",tabeltype," totaalblad schoonmaakwerk")</f>
        <v>Bijlage F.3.10: Invultabel totaalblad schoonmaakwerk</v>
      </c>
    </row>
    <row r="3" spans="1:4" ht="25.2" x14ac:dyDescent="0.2">
      <c r="A3" s="40" t="s">
        <v>588</v>
      </c>
      <c r="B3" s="40" t="s">
        <v>589</v>
      </c>
      <c r="C3" s="40" t="s">
        <v>590</v>
      </c>
      <c r="D3" s="40" t="s">
        <v>591</v>
      </c>
    </row>
    <row r="4" spans="1:4" x14ac:dyDescent="0.2">
      <c r="A4" s="135" t="s">
        <v>592</v>
      </c>
      <c r="B4" s="62">
        <f>urenjaartotaaloverzicht</f>
        <v>0</v>
      </c>
      <c r="C4" s="62">
        <f>urenjaartotaaloverzichthf</f>
        <v>0</v>
      </c>
      <c r="D4" s="51">
        <f>prijsjaartotaaloverzicht</f>
        <v>0</v>
      </c>
    </row>
    <row r="5" spans="1:4" x14ac:dyDescent="0.2">
      <c r="A5" s="136" t="s">
        <v>593</v>
      </c>
      <c r="B5" s="137"/>
      <c r="C5" s="137"/>
      <c r="D5" s="56">
        <f>prijsjaaradditioneel</f>
        <v>0</v>
      </c>
    </row>
    <row r="6" spans="1:4" x14ac:dyDescent="0.2">
      <c r="A6" s="138" t="s">
        <v>594</v>
      </c>
      <c r="B6" s="139"/>
      <c r="C6" s="139"/>
      <c r="D6" s="61">
        <f>prijsjaarafroep</f>
        <v>0</v>
      </c>
    </row>
    <row r="8" spans="1:4" x14ac:dyDescent="0.2">
      <c r="A8" s="40" t="s">
        <v>595</v>
      </c>
      <c r="B8" s="74">
        <f>SUM(B4:B6)</f>
        <v>0</v>
      </c>
      <c r="C8" s="74">
        <f>SUM(C4:C6)</f>
        <v>0</v>
      </c>
      <c r="D8" s="75">
        <f>SUM(D4:D6)</f>
        <v>0</v>
      </c>
    </row>
  </sheetData>
  <sheetProtection algorithmName="SHA-512" hashValue="ogO98Ry6oEYjdV2qFeqb9k1tlOccAjWO5I8A46zZZ5wSKknHf482b0W3E45VI+vNOkU3rFqLyGlWosF6Yt1JWw==" saltValue="1pZPlFFvQwZCOn97Hg9Jng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30AD-C4EF-4DBA-98AB-693453F9A1AC}">
  <dimension ref="A1:O53"/>
  <sheetViews>
    <sheetView workbookViewId="0"/>
  </sheetViews>
  <sheetFormatPr defaultRowHeight="12.6" x14ac:dyDescent="0.2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</cols>
  <sheetData>
    <row r="1" spans="1:15" x14ac:dyDescent="0.2">
      <c r="A1" s="1" t="s">
        <v>27</v>
      </c>
    </row>
    <row r="3" spans="1:15" x14ac:dyDescent="0.2">
      <c r="A3" s="8"/>
      <c r="B3" s="9" t="s">
        <v>28</v>
      </c>
      <c r="C3" s="9"/>
      <c r="D3" s="9" t="s">
        <v>28</v>
      </c>
      <c r="E3" s="9"/>
      <c r="F3" s="9" t="s">
        <v>28</v>
      </c>
      <c r="G3" s="9"/>
      <c r="H3" s="9" t="s">
        <v>28</v>
      </c>
      <c r="I3" s="9"/>
      <c r="J3" s="9" t="s">
        <v>28</v>
      </c>
      <c r="K3" s="9"/>
      <c r="L3" s="9" t="s">
        <v>29</v>
      </c>
      <c r="M3" s="9"/>
      <c r="N3" s="9" t="s">
        <v>29</v>
      </c>
      <c r="O3" s="10"/>
    </row>
    <row r="4" spans="1:15" x14ac:dyDescent="0.2">
      <c r="A4" s="11"/>
      <c r="B4" s="12" t="s">
        <v>30</v>
      </c>
      <c r="C4" s="12"/>
      <c r="D4" s="12" t="s">
        <v>30</v>
      </c>
      <c r="E4" s="12"/>
      <c r="F4" s="12" t="s">
        <v>30</v>
      </c>
      <c r="G4" s="12"/>
      <c r="H4" s="12" t="s">
        <v>31</v>
      </c>
      <c r="I4" s="12"/>
      <c r="J4" s="12" t="s">
        <v>31</v>
      </c>
      <c r="K4" s="12"/>
      <c r="L4" s="12" t="s">
        <v>30</v>
      </c>
      <c r="M4" s="12"/>
      <c r="N4" s="12" t="s">
        <v>31</v>
      </c>
      <c r="O4" s="13"/>
    </row>
    <row r="5" spans="1:15" ht="25.2" customHeight="1" x14ac:dyDescent="0.2">
      <c r="A5" s="14" t="s">
        <v>32</v>
      </c>
      <c r="B5" s="15" t="s">
        <v>33</v>
      </c>
      <c r="C5" s="15"/>
      <c r="D5" s="15" t="s">
        <v>33</v>
      </c>
      <c r="E5" s="15"/>
      <c r="F5" s="15" t="s">
        <v>34</v>
      </c>
      <c r="G5" s="15"/>
      <c r="H5" s="15" t="s">
        <v>35</v>
      </c>
      <c r="I5" s="15"/>
      <c r="J5" s="15" t="s">
        <v>35</v>
      </c>
      <c r="K5" s="15"/>
      <c r="L5" s="15" t="s">
        <v>36</v>
      </c>
      <c r="M5" s="15"/>
      <c r="N5" s="15" t="s">
        <v>37</v>
      </c>
      <c r="O5" s="16"/>
    </row>
    <row r="6" spans="1:15" ht="37.799999999999997" customHeight="1" x14ac:dyDescent="0.2">
      <c r="A6" s="17" t="s">
        <v>38</v>
      </c>
      <c r="B6" s="15" t="s">
        <v>39</v>
      </c>
      <c r="C6" s="15"/>
      <c r="D6" s="15" t="s">
        <v>40</v>
      </c>
      <c r="E6" s="15"/>
      <c r="F6" s="15" t="s">
        <v>41</v>
      </c>
      <c r="G6" s="15"/>
      <c r="H6" s="15" t="s">
        <v>41</v>
      </c>
      <c r="I6" s="15"/>
      <c r="J6" s="15" t="s">
        <v>42</v>
      </c>
      <c r="K6" s="15"/>
      <c r="L6" s="15" t="s">
        <v>40</v>
      </c>
      <c r="M6" s="15"/>
      <c r="N6" s="15" t="s">
        <v>40</v>
      </c>
      <c r="O6" s="16"/>
    </row>
    <row r="7" spans="1:15" x14ac:dyDescent="0.2">
      <c r="A7" s="18" t="s">
        <v>43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x14ac:dyDescent="0.2">
      <c r="A8" s="18" t="s">
        <v>44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5" x14ac:dyDescent="0.2">
      <c r="A9" s="11" t="s">
        <v>45</v>
      </c>
      <c r="B9" s="21">
        <f>SUM(B7:B8)</f>
        <v>0</v>
      </c>
      <c r="C9" s="21"/>
      <c r="D9" s="21">
        <f>SUM(D7:D8)</f>
        <v>0</v>
      </c>
      <c r="E9" s="21"/>
      <c r="F9" s="21">
        <f>SUM(F7:F8)</f>
        <v>0</v>
      </c>
      <c r="G9" s="21"/>
      <c r="H9" s="21">
        <f>SUM(H7:H8)</f>
        <v>0</v>
      </c>
      <c r="I9" s="21"/>
      <c r="J9" s="21">
        <f>SUM(J7:J8)</f>
        <v>0</v>
      </c>
      <c r="K9" s="21"/>
      <c r="L9" s="21">
        <f>SUM(L7:L8)</f>
        <v>0</v>
      </c>
      <c r="M9" s="21"/>
      <c r="N9" s="21">
        <f>SUM(N7:N8)</f>
        <v>0</v>
      </c>
      <c r="O9" s="22"/>
    </row>
    <row r="10" spans="1:15" x14ac:dyDescent="0.2">
      <c r="A10" s="18" t="s">
        <v>46</v>
      </c>
      <c r="B10" s="23"/>
      <c r="C10" s="24">
        <f>TariefOpbouwBasisloon1*B10</f>
        <v>0</v>
      </c>
      <c r="D10" s="23"/>
      <c r="E10" s="24">
        <f>TariefOpbouwBasisloon2*D10</f>
        <v>0</v>
      </c>
      <c r="F10" s="23"/>
      <c r="G10" s="24">
        <f>TariefOpbouwBasisloon3*F10</f>
        <v>0</v>
      </c>
      <c r="H10" s="23"/>
      <c r="I10" s="24">
        <f>TariefOpbouwBasisloon4*H10</f>
        <v>0</v>
      </c>
      <c r="J10" s="23"/>
      <c r="K10" s="24">
        <f>TariefOpbouwBasisloon5*J10</f>
        <v>0</v>
      </c>
      <c r="L10" s="23"/>
      <c r="M10" s="24">
        <f>TariefOpbouwBasisloon6*L10</f>
        <v>0</v>
      </c>
      <c r="N10" s="23"/>
      <c r="O10" s="25">
        <f>TariefOpbouwBasisloon7*N10</f>
        <v>0</v>
      </c>
    </row>
    <row r="11" spans="1:15" x14ac:dyDescent="0.2">
      <c r="A11" s="18" t="s">
        <v>47</v>
      </c>
      <c r="B11" s="23"/>
      <c r="C11" s="24">
        <f>TariefOpbouwBasisloon1*B11</f>
        <v>0</v>
      </c>
      <c r="D11" s="23"/>
      <c r="E11" s="24">
        <f>TariefOpbouwBasisloon2*D11</f>
        <v>0</v>
      </c>
      <c r="F11" s="23"/>
      <c r="G11" s="24">
        <f>TariefOpbouwBasisloon3*F11</f>
        <v>0</v>
      </c>
      <c r="H11" s="23"/>
      <c r="I11" s="24">
        <f>TariefOpbouwBasisloon4*H11</f>
        <v>0</v>
      </c>
      <c r="J11" s="23"/>
      <c r="K11" s="24">
        <f>TariefOpbouwBasisloon5*J11</f>
        <v>0</v>
      </c>
      <c r="L11" s="23"/>
      <c r="M11" s="24">
        <f>TariefOpbouwBasisloon6*L11</f>
        <v>0</v>
      </c>
      <c r="N11" s="23"/>
      <c r="O11" s="25">
        <f>TariefOpbouwBasisloon7*N11</f>
        <v>0</v>
      </c>
    </row>
    <row r="12" spans="1:15" x14ac:dyDescent="0.2">
      <c r="A12" s="11" t="s">
        <v>48</v>
      </c>
      <c r="B12" s="21">
        <f>SUM(TariefOpbouwBasisloon1,C10:C11)</f>
        <v>0</v>
      </c>
      <c r="C12" s="21"/>
      <c r="D12" s="21">
        <f>SUM(TariefOpbouwBasisloon2,E10:E11)</f>
        <v>0</v>
      </c>
      <c r="E12" s="21"/>
      <c r="F12" s="21">
        <f>SUM(TariefOpbouwBasisloon3,G10:G11)</f>
        <v>0</v>
      </c>
      <c r="G12" s="21"/>
      <c r="H12" s="21">
        <f>SUM(TariefOpbouwBasisloon4,I10:I11)</f>
        <v>0</v>
      </c>
      <c r="I12" s="21"/>
      <c r="J12" s="21">
        <f>SUM(TariefOpbouwBasisloon5,K10:K11)</f>
        <v>0</v>
      </c>
      <c r="K12" s="21"/>
      <c r="L12" s="21">
        <f>SUM(TariefOpbouwBasisloon6,M10:M11)</f>
        <v>0</v>
      </c>
      <c r="M12" s="21"/>
      <c r="N12" s="21">
        <f>SUM(TariefOpbouwBasisloon7,O10:O11)</f>
        <v>0</v>
      </c>
      <c r="O12" s="22"/>
    </row>
    <row r="13" spans="1:15" x14ac:dyDescent="0.2">
      <c r="A13" s="18" t="s">
        <v>49</v>
      </c>
      <c r="B13" s="23"/>
      <c r="C13" s="24">
        <f>TariefOpbouwUurloon1*B13</f>
        <v>0</v>
      </c>
      <c r="D13" s="23"/>
      <c r="E13" s="24">
        <f>TariefOpbouwUurloon2*D13</f>
        <v>0</v>
      </c>
      <c r="F13" s="23"/>
      <c r="G13" s="24">
        <f>TariefOpbouwUurloon3*F13</f>
        <v>0</v>
      </c>
      <c r="H13" s="23"/>
      <c r="I13" s="24">
        <f>TariefOpbouwUurloon4*H13</f>
        <v>0</v>
      </c>
      <c r="J13" s="23"/>
      <c r="K13" s="24">
        <f>TariefOpbouwUurloon5*J13</f>
        <v>0</v>
      </c>
      <c r="L13" s="23"/>
      <c r="M13" s="24">
        <f>TariefOpbouwUurloon6*L13</f>
        <v>0</v>
      </c>
      <c r="N13" s="23"/>
      <c r="O13" s="25">
        <f>TariefOpbouwUurloon7*N13</f>
        <v>0</v>
      </c>
    </row>
    <row r="14" spans="1:15" x14ac:dyDescent="0.2">
      <c r="A14" s="11" t="s">
        <v>50</v>
      </c>
      <c r="B14" s="21">
        <f>SUM(TariefOpbouwUurloon1,C13:C13)</f>
        <v>0</v>
      </c>
      <c r="C14" s="21"/>
      <c r="D14" s="21">
        <f>SUM(TariefOpbouwUurloon2,E13:E13)</f>
        <v>0</v>
      </c>
      <c r="E14" s="21"/>
      <c r="F14" s="21">
        <f>SUM(TariefOpbouwUurloon3,G13:G13)</f>
        <v>0</v>
      </c>
      <c r="G14" s="21"/>
      <c r="H14" s="21">
        <f>SUM(TariefOpbouwUurloon4,I13:I13)</f>
        <v>0</v>
      </c>
      <c r="I14" s="21"/>
      <c r="J14" s="21">
        <f>SUM(TariefOpbouwUurloon5,K13:K13)</f>
        <v>0</v>
      </c>
      <c r="K14" s="21"/>
      <c r="L14" s="21">
        <f>SUM(TariefOpbouwUurloon6,M13:M13)</f>
        <v>0</v>
      </c>
      <c r="M14" s="21"/>
      <c r="N14" s="21">
        <f>SUM(TariefOpbouwUurloon7,O13:O13)</f>
        <v>0</v>
      </c>
      <c r="O14" s="22"/>
    </row>
    <row r="15" spans="1:15" x14ac:dyDescent="0.2">
      <c r="A15" s="18" t="s">
        <v>51</v>
      </c>
      <c r="B15" s="23"/>
      <c r="C15" s="24">
        <f>TariefOpbouwUurloonkosten1*B15</f>
        <v>0</v>
      </c>
      <c r="D15" s="23"/>
      <c r="E15" s="24">
        <f>TariefOpbouwUurloonkosten2*D15</f>
        <v>0</v>
      </c>
      <c r="F15" s="23"/>
      <c r="G15" s="24">
        <f>TariefOpbouwUurloonkosten3*F15</f>
        <v>0</v>
      </c>
      <c r="H15" s="23"/>
      <c r="I15" s="24">
        <f>TariefOpbouwUurloonkosten4*H15</f>
        <v>0</v>
      </c>
      <c r="J15" s="23"/>
      <c r="K15" s="24">
        <f>TariefOpbouwUurloonkosten5*J15</f>
        <v>0</v>
      </c>
      <c r="L15" s="23"/>
      <c r="M15" s="24">
        <f>TariefOpbouwUurloonkosten6*L15</f>
        <v>0</v>
      </c>
      <c r="N15" s="23"/>
      <c r="O15" s="25">
        <f>TariefOpbouwUurloonkosten7*N15</f>
        <v>0</v>
      </c>
    </row>
    <row r="16" spans="1:15" x14ac:dyDescent="0.2">
      <c r="A16" s="18" t="s">
        <v>52</v>
      </c>
      <c r="B16" s="23"/>
      <c r="C16" s="24">
        <f>TariefOpbouwUurloonkosten1*B16</f>
        <v>0</v>
      </c>
      <c r="D16" s="23"/>
      <c r="E16" s="24">
        <f>TariefOpbouwUurloonkosten2*D16</f>
        <v>0</v>
      </c>
      <c r="F16" s="23"/>
      <c r="G16" s="24">
        <f>TariefOpbouwUurloonkosten3*F16</f>
        <v>0</v>
      </c>
      <c r="H16" s="23"/>
      <c r="I16" s="24">
        <f>TariefOpbouwUurloonkosten4*H16</f>
        <v>0</v>
      </c>
      <c r="J16" s="23"/>
      <c r="K16" s="24">
        <f>TariefOpbouwUurloonkosten5*J16</f>
        <v>0</v>
      </c>
      <c r="L16" s="23"/>
      <c r="M16" s="24">
        <f>TariefOpbouwUurloonkosten6*L16</f>
        <v>0</v>
      </c>
      <c r="N16" s="23"/>
      <c r="O16" s="25">
        <f>TariefOpbouwUurloonkosten7*N16</f>
        <v>0</v>
      </c>
    </row>
    <row r="17" spans="1:15" x14ac:dyDescent="0.2">
      <c r="A17" s="18" t="s">
        <v>53</v>
      </c>
      <c r="B17" s="23"/>
      <c r="C17" s="24">
        <f>TariefOpbouwUurloonkosten1*B17</f>
        <v>0</v>
      </c>
      <c r="D17" s="23"/>
      <c r="E17" s="24">
        <f>TariefOpbouwUurloonkosten2*D17</f>
        <v>0</v>
      </c>
      <c r="F17" s="23"/>
      <c r="G17" s="24">
        <f>TariefOpbouwUurloonkosten3*F17</f>
        <v>0</v>
      </c>
      <c r="H17" s="23"/>
      <c r="I17" s="24">
        <f>TariefOpbouwUurloonkosten4*H17</f>
        <v>0</v>
      </c>
      <c r="J17" s="23"/>
      <c r="K17" s="24">
        <f>TariefOpbouwUurloonkosten5*J17</f>
        <v>0</v>
      </c>
      <c r="L17" s="23"/>
      <c r="M17" s="24">
        <f>TariefOpbouwUurloonkosten6*L17</f>
        <v>0</v>
      </c>
      <c r="N17" s="23"/>
      <c r="O17" s="25">
        <f>TariefOpbouwUurloonkosten7*N17</f>
        <v>0</v>
      </c>
    </row>
    <row r="18" spans="1:15" x14ac:dyDescent="0.2">
      <c r="A18" s="18" t="s">
        <v>54</v>
      </c>
      <c r="B18" s="23"/>
      <c r="C18" s="24">
        <f>TariefOpbouwUurloonkosten1*B18</f>
        <v>0</v>
      </c>
      <c r="D18" s="23"/>
      <c r="E18" s="24">
        <f>TariefOpbouwUurloonkosten2*D18</f>
        <v>0</v>
      </c>
      <c r="F18" s="23"/>
      <c r="G18" s="24">
        <f>TariefOpbouwUurloonkosten3*F18</f>
        <v>0</v>
      </c>
      <c r="H18" s="23"/>
      <c r="I18" s="24">
        <f>TariefOpbouwUurloonkosten4*H18</f>
        <v>0</v>
      </c>
      <c r="J18" s="23"/>
      <c r="K18" s="24">
        <f>TariefOpbouwUurloonkosten5*J18</f>
        <v>0</v>
      </c>
      <c r="L18" s="23"/>
      <c r="M18" s="24">
        <f>TariefOpbouwUurloonkosten6*L18</f>
        <v>0</v>
      </c>
      <c r="N18" s="23"/>
      <c r="O18" s="25">
        <f>TariefOpbouwUurloonkosten7*N18</f>
        <v>0</v>
      </c>
    </row>
    <row r="19" spans="1:15" x14ac:dyDescent="0.2">
      <c r="A19" s="11" t="s">
        <v>55</v>
      </c>
      <c r="B19" s="21">
        <f>SUM(TariefOpbouwUurloonkosten1,C15:C18)</f>
        <v>0</v>
      </c>
      <c r="C19" s="21"/>
      <c r="D19" s="21">
        <f>SUM(TariefOpbouwUurloonkosten2,E15:E18)</f>
        <v>0</v>
      </c>
      <c r="E19" s="21"/>
      <c r="F19" s="21">
        <f>SUM(TariefOpbouwUurloonkosten3,G15:G18)</f>
        <v>0</v>
      </c>
      <c r="G19" s="21"/>
      <c r="H19" s="21">
        <f>SUM(TariefOpbouwUurloonkosten4,I15:I18)</f>
        <v>0</v>
      </c>
      <c r="I19" s="21"/>
      <c r="J19" s="21">
        <f>SUM(TariefOpbouwUurloonkosten5,K15:K18)</f>
        <v>0</v>
      </c>
      <c r="K19" s="21"/>
      <c r="L19" s="21">
        <f>SUM(TariefOpbouwUurloonkosten6,M15:M18)</f>
        <v>0</v>
      </c>
      <c r="M19" s="21"/>
      <c r="N19" s="21">
        <f>SUM(TariefOpbouwUurloonkosten7,O15:O18)</f>
        <v>0</v>
      </c>
      <c r="O19" s="22"/>
    </row>
    <row r="20" spans="1:15" x14ac:dyDescent="0.2">
      <c r="A20" s="18" t="s">
        <v>56</v>
      </c>
      <c r="B20" s="23"/>
      <c r="C20" s="24">
        <f>TariefOpbouwTotaalLoonkosten1*B20</f>
        <v>0</v>
      </c>
      <c r="D20" s="23"/>
      <c r="E20" s="24">
        <f>TariefOpbouwTotaalLoonkosten2*D20</f>
        <v>0</v>
      </c>
      <c r="F20" s="23"/>
      <c r="G20" s="24">
        <f>TariefOpbouwTotaalLoonkosten3*F20</f>
        <v>0</v>
      </c>
      <c r="H20" s="23"/>
      <c r="I20" s="24">
        <f>TariefOpbouwTotaalLoonkosten4*H20</f>
        <v>0</v>
      </c>
      <c r="J20" s="23"/>
      <c r="K20" s="24">
        <f>TariefOpbouwTotaalLoonkosten5*J20</f>
        <v>0</v>
      </c>
      <c r="L20" s="23"/>
      <c r="M20" s="24">
        <f>TariefOpbouwTotaalLoonkosten6*L20</f>
        <v>0</v>
      </c>
      <c r="N20" s="23"/>
      <c r="O20" s="25">
        <f>TariefOpbouwTotaalLoonkosten7*N20</f>
        <v>0</v>
      </c>
    </row>
    <row r="21" spans="1:15" x14ac:dyDescent="0.2">
      <c r="A21" s="18" t="s">
        <v>57</v>
      </c>
      <c r="B21" s="23"/>
      <c r="C21" s="24">
        <f>TariefOpbouwTotaalLoonkosten1*B21</f>
        <v>0</v>
      </c>
      <c r="D21" s="23"/>
      <c r="E21" s="24">
        <f>TariefOpbouwTotaalLoonkosten2*D21</f>
        <v>0</v>
      </c>
      <c r="F21" s="23"/>
      <c r="G21" s="24">
        <f>TariefOpbouwTotaalLoonkosten3*F21</f>
        <v>0</v>
      </c>
      <c r="H21" s="23"/>
      <c r="I21" s="24">
        <f>TariefOpbouwTotaalLoonkosten4*H21</f>
        <v>0</v>
      </c>
      <c r="J21" s="23"/>
      <c r="K21" s="24">
        <f>TariefOpbouwTotaalLoonkosten5*J21</f>
        <v>0</v>
      </c>
      <c r="L21" s="23"/>
      <c r="M21" s="24">
        <f>TariefOpbouwTotaalLoonkosten6*L21</f>
        <v>0</v>
      </c>
      <c r="N21" s="23"/>
      <c r="O21" s="25">
        <f>TariefOpbouwTotaalLoonkosten7*N21</f>
        <v>0</v>
      </c>
    </row>
    <row r="22" spans="1:15" x14ac:dyDescent="0.2">
      <c r="A22" s="18" t="s">
        <v>58</v>
      </c>
      <c r="B22" s="23"/>
      <c r="C22" s="24">
        <f>TariefOpbouwTotaalLoonkosten1*B22</f>
        <v>0</v>
      </c>
      <c r="D22" s="23"/>
      <c r="E22" s="24">
        <f>TariefOpbouwTotaalLoonkosten2*D22</f>
        <v>0</v>
      </c>
      <c r="F22" s="23"/>
      <c r="G22" s="24">
        <f>TariefOpbouwTotaalLoonkosten3*F22</f>
        <v>0</v>
      </c>
      <c r="H22" s="23"/>
      <c r="I22" s="24">
        <f>TariefOpbouwTotaalLoonkosten4*H22</f>
        <v>0</v>
      </c>
      <c r="J22" s="23"/>
      <c r="K22" s="24">
        <f>TariefOpbouwTotaalLoonkosten5*J22</f>
        <v>0</v>
      </c>
      <c r="L22" s="23"/>
      <c r="M22" s="24">
        <f>TariefOpbouwTotaalLoonkosten6*L22</f>
        <v>0</v>
      </c>
      <c r="N22" s="23"/>
      <c r="O22" s="25">
        <f>TariefOpbouwTotaalLoonkosten7*N22</f>
        <v>0</v>
      </c>
    </row>
    <row r="23" spans="1:15" x14ac:dyDescent="0.2">
      <c r="A23" s="18" t="s">
        <v>59</v>
      </c>
      <c r="B23" s="23"/>
      <c r="C23" s="24">
        <f>TariefOpbouwTotaalLoonkosten1*B23</f>
        <v>0</v>
      </c>
      <c r="D23" s="23"/>
      <c r="E23" s="24">
        <f>TariefOpbouwTotaalLoonkosten2*D23</f>
        <v>0</v>
      </c>
      <c r="F23" s="23"/>
      <c r="G23" s="24">
        <f>TariefOpbouwTotaalLoonkosten3*F23</f>
        <v>0</v>
      </c>
      <c r="H23" s="23"/>
      <c r="I23" s="24">
        <f>TariefOpbouwTotaalLoonkosten4*H23</f>
        <v>0</v>
      </c>
      <c r="J23" s="23"/>
      <c r="K23" s="24">
        <f>TariefOpbouwTotaalLoonkosten5*J23</f>
        <v>0</v>
      </c>
      <c r="L23" s="23"/>
      <c r="M23" s="24">
        <f>TariefOpbouwTotaalLoonkosten6*L23</f>
        <v>0</v>
      </c>
      <c r="N23" s="23"/>
      <c r="O23" s="25">
        <f>TariefOpbouwTotaalLoonkosten7*N23</f>
        <v>0</v>
      </c>
    </row>
    <row r="24" spans="1:15" x14ac:dyDescent="0.2">
      <c r="A24" s="18" t="s">
        <v>60</v>
      </c>
      <c r="B24" s="23"/>
      <c r="C24" s="24">
        <f>TariefOpbouwTotaalLoonkosten1*B24</f>
        <v>0</v>
      </c>
      <c r="D24" s="23"/>
      <c r="E24" s="24">
        <f>TariefOpbouwTotaalLoonkosten2*D24</f>
        <v>0</v>
      </c>
      <c r="F24" s="23"/>
      <c r="G24" s="24">
        <f>TariefOpbouwTotaalLoonkosten3*F24</f>
        <v>0</v>
      </c>
      <c r="H24" s="23"/>
      <c r="I24" s="24">
        <f>TariefOpbouwTotaalLoonkosten4*H24</f>
        <v>0</v>
      </c>
      <c r="J24" s="23"/>
      <c r="K24" s="24">
        <f>TariefOpbouwTotaalLoonkosten5*J24</f>
        <v>0</v>
      </c>
      <c r="L24" s="23"/>
      <c r="M24" s="24">
        <f>TariefOpbouwTotaalLoonkosten6*L24</f>
        <v>0</v>
      </c>
      <c r="N24" s="23"/>
      <c r="O24" s="25">
        <f>TariefOpbouwTotaalLoonkosten7*N24</f>
        <v>0</v>
      </c>
    </row>
    <row r="25" spans="1:15" x14ac:dyDescent="0.2">
      <c r="A25" s="18" t="s">
        <v>61</v>
      </c>
      <c r="B25" s="23"/>
      <c r="C25" s="24">
        <f>TariefOpbouwTotaalLoonkosten1*B25</f>
        <v>0</v>
      </c>
      <c r="D25" s="23"/>
      <c r="E25" s="24">
        <f>TariefOpbouwTotaalLoonkosten2*D25</f>
        <v>0</v>
      </c>
      <c r="F25" s="23"/>
      <c r="G25" s="24">
        <f>TariefOpbouwTotaalLoonkosten3*F25</f>
        <v>0</v>
      </c>
      <c r="H25" s="23"/>
      <c r="I25" s="24">
        <f>TariefOpbouwTotaalLoonkosten4*H25</f>
        <v>0</v>
      </c>
      <c r="J25" s="23"/>
      <c r="K25" s="24">
        <f>TariefOpbouwTotaalLoonkosten5*J25</f>
        <v>0</v>
      </c>
      <c r="L25" s="23"/>
      <c r="M25" s="24">
        <f>TariefOpbouwTotaalLoonkosten6*L25</f>
        <v>0</v>
      </c>
      <c r="N25" s="23"/>
      <c r="O25" s="25">
        <f>TariefOpbouwTotaalLoonkosten7*N25</f>
        <v>0</v>
      </c>
    </row>
    <row r="26" spans="1:15" x14ac:dyDescent="0.2">
      <c r="A26" s="11" t="s">
        <v>62</v>
      </c>
      <c r="B26" s="21">
        <f>SUM(TariefOpbouwTotaalLoonkosten1,C20:C25)</f>
        <v>0</v>
      </c>
      <c r="C26" s="21"/>
      <c r="D26" s="21">
        <f>SUM(TariefOpbouwTotaalLoonkosten2,E20:E25)</f>
        <v>0</v>
      </c>
      <c r="E26" s="21"/>
      <c r="F26" s="21">
        <f>SUM(TariefOpbouwTotaalLoonkosten3,G20:G25)</f>
        <v>0</v>
      </c>
      <c r="G26" s="21"/>
      <c r="H26" s="21">
        <f>SUM(TariefOpbouwTotaalLoonkosten4,I20:I25)</f>
        <v>0</v>
      </c>
      <c r="I26" s="21"/>
      <c r="J26" s="21">
        <f>SUM(TariefOpbouwTotaalLoonkosten5,K20:K25)</f>
        <v>0</v>
      </c>
      <c r="K26" s="21"/>
      <c r="L26" s="21">
        <f>SUM(TariefOpbouwTotaalLoonkosten6,M20:M25)</f>
        <v>0</v>
      </c>
      <c r="M26" s="21"/>
      <c r="N26" s="21">
        <f>SUM(TariefOpbouwTotaalLoonkosten7,O20:O25)</f>
        <v>0</v>
      </c>
      <c r="O26" s="22"/>
    </row>
    <row r="27" spans="1:15" x14ac:dyDescent="0.2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x14ac:dyDescent="0.2">
      <c r="A28" s="18" t="s">
        <v>63</v>
      </c>
      <c r="B28" s="23"/>
      <c r="C28" s="24">
        <f>TariefOpbouwDirecteKosten1*B28</f>
        <v>0</v>
      </c>
      <c r="D28" s="23"/>
      <c r="E28" s="24">
        <f>TariefOpbouwDirecteKosten2*D28</f>
        <v>0</v>
      </c>
      <c r="F28" s="23"/>
      <c r="G28" s="24">
        <f>TariefOpbouwDirecteKosten3*F28</f>
        <v>0</v>
      </c>
      <c r="H28" s="23"/>
      <c r="I28" s="24">
        <f>TariefOpbouwDirecteKosten4*H28</f>
        <v>0</v>
      </c>
      <c r="J28" s="23"/>
      <c r="K28" s="24">
        <f>TariefOpbouwDirecteKosten5*J28</f>
        <v>0</v>
      </c>
      <c r="L28" s="23"/>
      <c r="M28" s="24">
        <f>TariefOpbouwDirecteKosten6*L28</f>
        <v>0</v>
      </c>
      <c r="N28" s="23"/>
      <c r="O28" s="25">
        <f>TariefOpbouwDirecteKosten7*N28</f>
        <v>0</v>
      </c>
    </row>
    <row r="29" spans="1:15" x14ac:dyDescent="0.2">
      <c r="A29" s="18" t="s">
        <v>64</v>
      </c>
      <c r="B29" s="23"/>
      <c r="C29" s="24">
        <f>TariefOpbouwDirecteKosten1*B29</f>
        <v>0</v>
      </c>
      <c r="D29" s="23"/>
      <c r="E29" s="24">
        <f>TariefOpbouwDirecteKosten2*D29</f>
        <v>0</v>
      </c>
      <c r="F29" s="23"/>
      <c r="G29" s="24">
        <f>TariefOpbouwDirecteKosten3*F29</f>
        <v>0</v>
      </c>
      <c r="H29" s="23"/>
      <c r="I29" s="24">
        <f>TariefOpbouwDirecteKosten4*H29</f>
        <v>0</v>
      </c>
      <c r="J29" s="23"/>
      <c r="K29" s="24">
        <f>TariefOpbouwDirecteKosten5*J29</f>
        <v>0</v>
      </c>
      <c r="L29" s="23"/>
      <c r="M29" s="24">
        <f>TariefOpbouwDirecteKosten6*L29</f>
        <v>0</v>
      </c>
      <c r="N29" s="23"/>
      <c r="O29" s="25">
        <f>TariefOpbouwDirecteKosten7*N29</f>
        <v>0</v>
      </c>
    </row>
    <row r="30" spans="1:15" x14ac:dyDescent="0.2">
      <c r="A30" s="18" t="s">
        <v>65</v>
      </c>
      <c r="B30" s="23"/>
      <c r="C30" s="24">
        <f>TariefOpbouwDirecteKosten1*B30</f>
        <v>0</v>
      </c>
      <c r="D30" s="23"/>
      <c r="E30" s="24">
        <f>TariefOpbouwDirecteKosten2*D30</f>
        <v>0</v>
      </c>
      <c r="F30" s="23"/>
      <c r="G30" s="24">
        <f>TariefOpbouwDirecteKosten3*F30</f>
        <v>0</v>
      </c>
      <c r="H30" s="23"/>
      <c r="I30" s="24">
        <f>TariefOpbouwDirecteKosten4*H30</f>
        <v>0</v>
      </c>
      <c r="J30" s="23"/>
      <c r="K30" s="24">
        <f>TariefOpbouwDirecteKosten5*J30</f>
        <v>0</v>
      </c>
      <c r="L30" s="23"/>
      <c r="M30" s="24">
        <f>TariefOpbouwDirecteKosten6*L30</f>
        <v>0</v>
      </c>
      <c r="N30" s="23"/>
      <c r="O30" s="25">
        <f>TariefOpbouwDirecteKosten7*N30</f>
        <v>0</v>
      </c>
    </row>
    <row r="31" spans="1:15" x14ac:dyDescent="0.2">
      <c r="A31" s="18" t="s">
        <v>66</v>
      </c>
      <c r="B31" s="23"/>
      <c r="C31" s="24">
        <f>TariefOpbouwDirecteKosten1*B31</f>
        <v>0</v>
      </c>
      <c r="D31" s="23"/>
      <c r="E31" s="24">
        <f>TariefOpbouwDirecteKosten2*D31</f>
        <v>0</v>
      </c>
      <c r="F31" s="23"/>
      <c r="G31" s="24">
        <f>TariefOpbouwDirecteKosten3*F31</f>
        <v>0</v>
      </c>
      <c r="H31" s="23"/>
      <c r="I31" s="24">
        <f>TariefOpbouwDirecteKosten4*H31</f>
        <v>0</v>
      </c>
      <c r="J31" s="23"/>
      <c r="K31" s="24">
        <f>TariefOpbouwDirecteKosten5*J31</f>
        <v>0</v>
      </c>
      <c r="L31" s="23"/>
      <c r="M31" s="24">
        <f>TariefOpbouwDirecteKosten6*L31</f>
        <v>0</v>
      </c>
      <c r="N31" s="23"/>
      <c r="O31" s="25">
        <f>TariefOpbouwDirecteKosten7*N31</f>
        <v>0</v>
      </c>
    </row>
    <row r="32" spans="1:15" x14ac:dyDescent="0.2">
      <c r="A32" s="18" t="s">
        <v>67</v>
      </c>
      <c r="B32" s="23"/>
      <c r="C32" s="24">
        <f>TariefOpbouwDirecteKosten1*B32</f>
        <v>0</v>
      </c>
      <c r="D32" s="23"/>
      <c r="E32" s="24">
        <f>TariefOpbouwDirecteKosten2*D32</f>
        <v>0</v>
      </c>
      <c r="F32" s="23"/>
      <c r="G32" s="24">
        <f>TariefOpbouwDirecteKosten3*F32</f>
        <v>0</v>
      </c>
      <c r="H32" s="23"/>
      <c r="I32" s="24">
        <f>TariefOpbouwDirecteKosten4*H32</f>
        <v>0</v>
      </c>
      <c r="J32" s="23"/>
      <c r="K32" s="24">
        <f>TariefOpbouwDirecteKosten5*J32</f>
        <v>0</v>
      </c>
      <c r="L32" s="23"/>
      <c r="M32" s="24">
        <f>TariefOpbouwDirecteKosten6*L32</f>
        <v>0</v>
      </c>
      <c r="N32" s="23"/>
      <c r="O32" s="25">
        <f>TariefOpbouwDirecteKosten7*N32</f>
        <v>0</v>
      </c>
    </row>
    <row r="33" spans="1:15" x14ac:dyDescent="0.2">
      <c r="A33" s="18" t="s">
        <v>68</v>
      </c>
      <c r="B33" s="23"/>
      <c r="C33" s="24">
        <f>TariefOpbouwDirecteKosten1*B33</f>
        <v>0</v>
      </c>
      <c r="D33" s="23"/>
      <c r="E33" s="24">
        <f>TariefOpbouwDirecteKosten2*D33</f>
        <v>0</v>
      </c>
      <c r="F33" s="23"/>
      <c r="G33" s="24">
        <f>TariefOpbouwDirecteKosten3*F33</f>
        <v>0</v>
      </c>
      <c r="H33" s="23"/>
      <c r="I33" s="24">
        <f>TariefOpbouwDirecteKosten4*H33</f>
        <v>0</v>
      </c>
      <c r="J33" s="23"/>
      <c r="K33" s="24">
        <f>TariefOpbouwDirecteKosten5*J33</f>
        <v>0</v>
      </c>
      <c r="L33" s="23"/>
      <c r="M33" s="24">
        <f>TariefOpbouwDirecteKosten6*L33</f>
        <v>0</v>
      </c>
      <c r="N33" s="23"/>
      <c r="O33" s="25">
        <f>TariefOpbouwDirecteKosten7*N33</f>
        <v>0</v>
      </c>
    </row>
    <row r="34" spans="1:15" x14ac:dyDescent="0.2">
      <c r="A34" s="18" t="s">
        <v>69</v>
      </c>
      <c r="B34" s="23"/>
      <c r="C34" s="24">
        <f>TariefOpbouwDirecteKosten1*B34</f>
        <v>0</v>
      </c>
      <c r="D34" s="23"/>
      <c r="E34" s="24">
        <f>TariefOpbouwDirecteKosten2*D34</f>
        <v>0</v>
      </c>
      <c r="F34" s="23"/>
      <c r="G34" s="24">
        <f>TariefOpbouwDirecteKosten3*F34</f>
        <v>0</v>
      </c>
      <c r="H34" s="23"/>
      <c r="I34" s="24">
        <f>TariefOpbouwDirecteKosten4*H34</f>
        <v>0</v>
      </c>
      <c r="J34" s="23"/>
      <c r="K34" s="24">
        <f>TariefOpbouwDirecteKosten5*J34</f>
        <v>0</v>
      </c>
      <c r="L34" s="23"/>
      <c r="M34" s="24">
        <f>TariefOpbouwDirecteKosten6*L34</f>
        <v>0</v>
      </c>
      <c r="N34" s="23"/>
      <c r="O34" s="25">
        <f>TariefOpbouwDirecteKosten7*N34</f>
        <v>0</v>
      </c>
    </row>
    <row r="35" spans="1:15" x14ac:dyDescent="0.2">
      <c r="A35" s="11" t="s">
        <v>70</v>
      </c>
      <c r="B35" s="21">
        <f>SUM(C28:C34)</f>
        <v>0</v>
      </c>
      <c r="C35" s="21"/>
      <c r="D35" s="21">
        <f>SUM(E28:E34)</f>
        <v>0</v>
      </c>
      <c r="E35" s="21"/>
      <c r="F35" s="21">
        <f>SUM(G28:G34)</f>
        <v>0</v>
      </c>
      <c r="G35" s="21"/>
      <c r="H35" s="21">
        <f>SUM(I28:I34)</f>
        <v>0</v>
      </c>
      <c r="I35" s="21"/>
      <c r="J35" s="21">
        <f>SUM(K28:K34)</f>
        <v>0</v>
      </c>
      <c r="K35" s="21"/>
      <c r="L35" s="21">
        <f>SUM(M28:M34)</f>
        <v>0</v>
      </c>
      <c r="M35" s="21"/>
      <c r="N35" s="21">
        <f>SUM(O28:O34)</f>
        <v>0</v>
      </c>
      <c r="O35" s="22"/>
    </row>
    <row r="36" spans="1:15" x14ac:dyDescent="0.2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1:15" x14ac:dyDescent="0.2">
      <c r="A37" s="11" t="s">
        <v>71</v>
      </c>
      <c r="B37" s="23"/>
      <c r="C37" s="24">
        <f>(TariefOpbouwDirecteKosten1+TariefOpbouwIndirecteKosten1)*B37</f>
        <v>0</v>
      </c>
      <c r="D37" s="23"/>
      <c r="E37" s="24">
        <f>(TariefOpbouwDirecteKosten2+TariefOpbouwIndirecteKosten2)*D37</f>
        <v>0</v>
      </c>
      <c r="F37" s="23"/>
      <c r="G37" s="24">
        <f>(TariefOpbouwDirecteKosten3+TariefOpbouwIndirecteKosten3)*F37</f>
        <v>0</v>
      </c>
      <c r="H37" s="23"/>
      <c r="I37" s="24">
        <f>(TariefOpbouwDirecteKosten4+TariefOpbouwIndirecteKosten4)*H37</f>
        <v>0</v>
      </c>
      <c r="J37" s="23"/>
      <c r="K37" s="24">
        <f>(TariefOpbouwDirecteKosten5+TariefOpbouwIndirecteKosten5)*J37</f>
        <v>0</v>
      </c>
      <c r="L37" s="23"/>
      <c r="M37" s="24">
        <f>(TariefOpbouwDirecteKosten6+TariefOpbouwIndirecteKosten6)*L37</f>
        <v>0</v>
      </c>
      <c r="N37" s="23"/>
      <c r="O37" s="25">
        <f>(TariefOpbouwDirecteKosten7+TariefOpbouwIndirecteKosten7)*N37</f>
        <v>0</v>
      </c>
    </row>
    <row r="38" spans="1:15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</row>
    <row r="39" spans="1:15" x14ac:dyDescent="0.2">
      <c r="A39" s="11" t="s">
        <v>72</v>
      </c>
      <c r="B39" s="21">
        <f>TariefOpbouwDirecteKosten1+TariefOpbouwIndirecteKosten1+TariefOpbouwRisicoWinst1</f>
        <v>0</v>
      </c>
      <c r="C39" s="21"/>
      <c r="D39" s="21">
        <f>TariefOpbouwDirecteKosten2+TariefOpbouwIndirecteKosten2+TariefOpbouwRisicoWinst2</f>
        <v>0</v>
      </c>
      <c r="E39" s="21"/>
      <c r="F39" s="21">
        <f>TariefOpbouwDirecteKosten3+TariefOpbouwIndirecteKosten3+TariefOpbouwRisicoWinst3</f>
        <v>0</v>
      </c>
      <c r="G39" s="21"/>
      <c r="H39" s="21">
        <f>TariefOpbouwDirecteKosten4+TariefOpbouwIndirecteKosten4+TariefOpbouwRisicoWinst4</f>
        <v>0</v>
      </c>
      <c r="I39" s="21"/>
      <c r="J39" s="21">
        <f>TariefOpbouwDirecteKosten5+TariefOpbouwIndirecteKosten5+TariefOpbouwRisicoWinst5</f>
        <v>0</v>
      </c>
      <c r="K39" s="21"/>
      <c r="L39" s="21">
        <f>TariefOpbouwDirecteKosten6+TariefOpbouwIndirecteKosten6+TariefOpbouwRisicoWinst6</f>
        <v>0</v>
      </c>
      <c r="M39" s="21"/>
      <c r="N39" s="21">
        <f>TariefOpbouwDirecteKosten7+TariefOpbouwIndirecteKosten7+TariefOpbouwRisicoWinst7</f>
        <v>0</v>
      </c>
      <c r="O39" s="22"/>
    </row>
    <row r="40" spans="1:15" x14ac:dyDescent="0.2">
      <c r="A40" s="11" t="s">
        <v>73</v>
      </c>
      <c r="B40" s="29" t="s">
        <v>74</v>
      </c>
      <c r="C40" s="29" t="s">
        <v>75</v>
      </c>
      <c r="D40" s="29" t="s">
        <v>74</v>
      </c>
      <c r="E40" s="29" t="s">
        <v>75</v>
      </c>
      <c r="F40" s="29" t="s">
        <v>74</v>
      </c>
      <c r="G40" s="29" t="s">
        <v>75</v>
      </c>
      <c r="H40" s="29" t="s">
        <v>74</v>
      </c>
      <c r="I40" s="29" t="s">
        <v>75</v>
      </c>
      <c r="J40" s="29" t="s">
        <v>74</v>
      </c>
      <c r="K40" s="29" t="s">
        <v>75</v>
      </c>
      <c r="L40" s="29" t="s">
        <v>74</v>
      </c>
      <c r="M40" s="29" t="s">
        <v>75</v>
      </c>
      <c r="N40" s="29" t="s">
        <v>74</v>
      </c>
      <c r="O40" s="30" t="s">
        <v>75</v>
      </c>
    </row>
    <row r="41" spans="1:15" x14ac:dyDescent="0.2">
      <c r="A41" s="11" t="s">
        <v>76</v>
      </c>
      <c r="B41" s="31">
        <v>0.3</v>
      </c>
      <c r="C41" s="24">
        <f>((1+B41)*TariefOpbouwTotaalLoonkosten1+TariefOpbouwDirecteKosten1-TariefOpbouwTotaalLoonkosten1+TariefOpbouwIndirecteKosten1)*(1+TariefOpbouwRisicoWinstPercentage1)</f>
        <v>0</v>
      </c>
      <c r="D41" s="31">
        <v>0.3</v>
      </c>
      <c r="E41" s="24">
        <f>((1+D41)*TariefOpbouwTotaalLoonkosten2+TariefOpbouwDirecteKosten2-TariefOpbouwTotaalLoonkosten2+TariefOpbouwIndirecteKosten2)*(1+TariefOpbouwRisicoWinstPercentage2)</f>
        <v>0</v>
      </c>
      <c r="F41" s="31">
        <v>0.3</v>
      </c>
      <c r="G41" s="24">
        <f>((1+F41)*TariefOpbouwTotaalLoonkosten3+TariefOpbouwDirecteKosten3-TariefOpbouwTotaalLoonkosten3+TariefOpbouwIndirecteKosten3)*(1+TariefOpbouwRisicoWinstPercentage3)</f>
        <v>0</v>
      </c>
      <c r="H41" s="31">
        <v>0.3</v>
      </c>
      <c r="I41" s="24">
        <f>((1+H41)*TariefOpbouwTotaalLoonkosten4+TariefOpbouwDirecteKosten4-TariefOpbouwTotaalLoonkosten4+TariefOpbouwIndirecteKosten4)*(1+TariefOpbouwRisicoWinstPercentage4)</f>
        <v>0</v>
      </c>
      <c r="J41" s="31">
        <v>0.3</v>
      </c>
      <c r="K41" s="24">
        <f>((1+J41)*TariefOpbouwTotaalLoonkosten5+TariefOpbouwDirecteKosten5-TariefOpbouwTotaalLoonkosten5+TariefOpbouwIndirecteKosten5)*(1+TariefOpbouwRisicoWinstPercentage5)</f>
        <v>0</v>
      </c>
      <c r="L41" s="31">
        <v>0.3</v>
      </c>
      <c r="M41" s="24">
        <f>((1+L41)*TariefOpbouwTotaalLoonkosten6+TariefOpbouwDirecteKosten6-TariefOpbouwTotaalLoonkosten6+TariefOpbouwIndirecteKosten6)*(1+TariefOpbouwRisicoWinstPercentage6)</f>
        <v>0</v>
      </c>
      <c r="N41" s="31">
        <v>0.3</v>
      </c>
      <c r="O41" s="25">
        <f>((1+N41)*TariefOpbouwTotaalLoonkosten7+TariefOpbouwDirecteKosten7-TariefOpbouwTotaalLoonkosten7+TariefOpbouwIndirecteKosten7)*(1+TariefOpbouwRisicoWinstPercentage7)</f>
        <v>0</v>
      </c>
    </row>
    <row r="42" spans="1:15" x14ac:dyDescent="0.2">
      <c r="A42" s="11" t="s">
        <v>77</v>
      </c>
      <c r="B42" s="31">
        <v>0.5</v>
      </c>
      <c r="C42" s="24">
        <f>((1+B42)*TariefOpbouwTotaalLoonkosten1+TariefOpbouwDirecteKosten1-TariefOpbouwTotaalLoonkosten1+TariefOpbouwIndirecteKosten1)*(1+TariefOpbouwRisicoWinstPercentage1)</f>
        <v>0</v>
      </c>
      <c r="D42" s="31">
        <v>0.5</v>
      </c>
      <c r="E42" s="24">
        <f>((1+D42)*TariefOpbouwTotaalLoonkosten2+TariefOpbouwDirecteKosten2-TariefOpbouwTotaalLoonkosten2+TariefOpbouwIndirecteKosten2)*(1+TariefOpbouwRisicoWinstPercentage2)</f>
        <v>0</v>
      </c>
      <c r="F42" s="31">
        <v>0.5</v>
      </c>
      <c r="G42" s="24">
        <f>((1+F42)*TariefOpbouwTotaalLoonkosten3+TariefOpbouwDirecteKosten3-TariefOpbouwTotaalLoonkosten3+TariefOpbouwIndirecteKosten3)*(1+TariefOpbouwRisicoWinstPercentage3)</f>
        <v>0</v>
      </c>
      <c r="H42" s="31">
        <v>0.5</v>
      </c>
      <c r="I42" s="24">
        <f>((1+H42)*TariefOpbouwTotaalLoonkosten4+TariefOpbouwDirecteKosten4-TariefOpbouwTotaalLoonkosten4+TariefOpbouwIndirecteKosten4)*(1+TariefOpbouwRisicoWinstPercentage4)</f>
        <v>0</v>
      </c>
      <c r="J42" s="31">
        <v>0.5</v>
      </c>
      <c r="K42" s="24">
        <f>((1+J42)*TariefOpbouwTotaalLoonkosten5+TariefOpbouwDirecteKosten5-TariefOpbouwTotaalLoonkosten5+TariefOpbouwIndirecteKosten5)*(1+TariefOpbouwRisicoWinstPercentage5)</f>
        <v>0</v>
      </c>
      <c r="L42" s="31">
        <v>0.5</v>
      </c>
      <c r="M42" s="24">
        <f>((1+L42)*TariefOpbouwTotaalLoonkosten6+TariefOpbouwDirecteKosten6-TariefOpbouwTotaalLoonkosten6+TariefOpbouwIndirecteKosten6)*(1+TariefOpbouwRisicoWinstPercentage6)</f>
        <v>0</v>
      </c>
      <c r="N42" s="31">
        <v>0.5</v>
      </c>
      <c r="O42" s="25">
        <f>((1+N42)*TariefOpbouwTotaalLoonkosten7+TariefOpbouwDirecteKosten7-TariefOpbouwTotaalLoonkosten7+TariefOpbouwIndirecteKosten7)*(1+TariefOpbouwRisicoWinstPercentage7)</f>
        <v>0</v>
      </c>
    </row>
    <row r="43" spans="1:15" x14ac:dyDescent="0.2">
      <c r="A43" s="32" t="s">
        <v>78</v>
      </c>
      <c r="B43" s="33">
        <v>1.5</v>
      </c>
      <c r="C43" s="34">
        <f>((1+B43)*TariefOpbouwTotaalLoonkosten1+TariefOpbouwDirecteKosten1-TariefOpbouwTotaalLoonkosten1+TariefOpbouwIndirecteKosten1)*(1+TariefOpbouwRisicoWinstPercentage1)</f>
        <v>0</v>
      </c>
      <c r="D43" s="33">
        <v>1.5</v>
      </c>
      <c r="E43" s="34">
        <f>((1+D43)*TariefOpbouwTotaalLoonkosten2+TariefOpbouwDirecteKosten2-TariefOpbouwTotaalLoonkosten2+TariefOpbouwIndirecteKosten2)*(1+TariefOpbouwRisicoWinstPercentage2)</f>
        <v>0</v>
      </c>
      <c r="F43" s="33">
        <v>1.5</v>
      </c>
      <c r="G43" s="34">
        <f>((1+F43)*TariefOpbouwTotaalLoonkosten3+TariefOpbouwDirecteKosten3-TariefOpbouwTotaalLoonkosten3+TariefOpbouwIndirecteKosten3)*(1+TariefOpbouwRisicoWinstPercentage3)</f>
        <v>0</v>
      </c>
      <c r="H43" s="33">
        <v>1.5</v>
      </c>
      <c r="I43" s="34">
        <f>((1+H43)*TariefOpbouwTotaalLoonkosten4+TariefOpbouwDirecteKosten4-TariefOpbouwTotaalLoonkosten4+TariefOpbouwIndirecteKosten4)*(1+TariefOpbouwRisicoWinstPercentage4)</f>
        <v>0</v>
      </c>
      <c r="J43" s="33">
        <v>1.5</v>
      </c>
      <c r="K43" s="34">
        <f>((1+J43)*TariefOpbouwTotaalLoonkosten5+TariefOpbouwDirecteKosten5-TariefOpbouwTotaalLoonkosten5+TariefOpbouwIndirecteKosten5)*(1+TariefOpbouwRisicoWinstPercentage5)</f>
        <v>0</v>
      </c>
      <c r="L43" s="33">
        <v>1.5</v>
      </c>
      <c r="M43" s="34">
        <f>((1+L43)*TariefOpbouwTotaalLoonkosten6+TariefOpbouwDirecteKosten6-TariefOpbouwTotaalLoonkosten6+TariefOpbouwIndirecteKosten6)*(1+TariefOpbouwRisicoWinstPercentage6)</f>
        <v>0</v>
      </c>
      <c r="N43" s="33">
        <v>1.5</v>
      </c>
      <c r="O43" s="35">
        <f>((1+N43)*TariefOpbouwTotaalLoonkosten7+TariefOpbouwDirecteKosten7-TariefOpbouwTotaalLoonkosten7+TariefOpbouwIndirecteKosten7)*(1+TariefOpbouwRisicoWinstPercentage7)</f>
        <v>0</v>
      </c>
    </row>
    <row r="45" spans="1:15" x14ac:dyDescent="0.2">
      <c r="A45" s="8" t="s">
        <v>79</v>
      </c>
      <c r="B45" s="9" t="s">
        <v>80</v>
      </c>
      <c r="C45" s="9"/>
      <c r="D45" s="9" t="s">
        <v>81</v>
      </c>
      <c r="E45" s="9"/>
      <c r="F45" s="9" t="s">
        <v>82</v>
      </c>
      <c r="G45" s="10"/>
    </row>
    <row r="46" spans="1:15" x14ac:dyDescent="0.2">
      <c r="A46" s="26"/>
      <c r="B46" s="29" t="s">
        <v>83</v>
      </c>
      <c r="C46" s="29" t="s">
        <v>84</v>
      </c>
      <c r="D46" s="29" t="s">
        <v>83</v>
      </c>
      <c r="E46" s="29" t="s">
        <v>84</v>
      </c>
      <c r="F46" s="29" t="s">
        <v>83</v>
      </c>
      <c r="G46" s="30" t="s">
        <v>84</v>
      </c>
    </row>
    <row r="47" spans="1:15" x14ac:dyDescent="0.2">
      <c r="A47" s="36" t="str">
        <f>TariefOpbouwNaam1&amp;" "&amp;TariefOpbouwErvaring1</f>
        <v>Vakvolwassene &gt;3 dienstjaren</v>
      </c>
      <c r="B47" s="23"/>
      <c r="C47" s="24">
        <f>TariefOpbouwTarief1</f>
        <v>0</v>
      </c>
      <c r="D47" s="23"/>
      <c r="E47" s="24">
        <f>TariefOpbouwTarief1W</f>
        <v>0</v>
      </c>
      <c r="F47" s="23"/>
      <c r="G47" s="25">
        <f>TariefOpbouwTarief1X</f>
        <v>0</v>
      </c>
    </row>
    <row r="48" spans="1:15" x14ac:dyDescent="0.2">
      <c r="A48" s="36" t="str">
        <f>TariefOpbouwNaam2&amp;" "&amp;TariefOpbouwErvaring2</f>
        <v xml:space="preserve">Vakvolwassene </v>
      </c>
      <c r="B48" s="23"/>
      <c r="C48" s="24">
        <f>TariefOpbouwTarief2</f>
        <v>0</v>
      </c>
      <c r="D48" s="23"/>
      <c r="E48" s="24">
        <f>TariefOpbouwTarief2W</f>
        <v>0</v>
      </c>
      <c r="F48" s="23"/>
      <c r="G48" s="25">
        <f>TariefOpbouwTarief2X</f>
        <v>0</v>
      </c>
    </row>
    <row r="49" spans="1:7" x14ac:dyDescent="0.2">
      <c r="A49" s="36" t="str">
        <f>TariefOpbouwNaam3&amp;" "&amp;TariefOpbouwErvaring3</f>
        <v>Leiding (meewerkend) voorman/vrouw</v>
      </c>
      <c r="B49" s="23"/>
      <c r="C49" s="24">
        <f>TariefOpbouwTarief3</f>
        <v>0</v>
      </c>
      <c r="D49" s="23"/>
      <c r="E49" s="24">
        <f>TariefOpbouwTarief3W</f>
        <v>0</v>
      </c>
      <c r="F49" s="23"/>
      <c r="G49" s="25">
        <f>TariefOpbouwTarief3X</f>
        <v>0</v>
      </c>
    </row>
    <row r="50" spans="1:7" x14ac:dyDescent="0.2">
      <c r="A50" s="11" t="s">
        <v>85</v>
      </c>
      <c r="B50" s="37" t="str">
        <f>IF(SUM(B47:B49)=1,SUM(B47:B49),"ongeldig")</f>
        <v>ongeldig</v>
      </c>
      <c r="C50" s="24">
        <f>SUMPRODUCT(B47:B49,C47:C49)</f>
        <v>0</v>
      </c>
      <c r="D50" s="37" t="str">
        <f>IF(SUM(D47:D49)=1,SUM(D47:D49),"ongeldig")</f>
        <v>ongeldig</v>
      </c>
      <c r="E50" s="24">
        <f>SUMPRODUCT(D47:D49,E47:E49)</f>
        <v>0</v>
      </c>
      <c r="F50" s="37" t="str">
        <f>IF(SUM(F47:F49)=1,SUM(F47:F49),"ongeldig")</f>
        <v>ongeldig</v>
      </c>
      <c r="G50" s="25">
        <f>SUMPRODUCT(F47:F49,G47:G49)</f>
        <v>0</v>
      </c>
    </row>
    <row r="51" spans="1:7" x14ac:dyDescent="0.2">
      <c r="A51" s="36" t="str">
        <f>TariefOpbouwNaam4&amp;" "&amp;TariefOpbouwErvaring4</f>
        <v>Leiding (niet-meewerkend) voorman/vrouw</v>
      </c>
      <c r="B51" s="23"/>
      <c r="C51" s="24">
        <f>TariefOpbouwTarief4</f>
        <v>0</v>
      </c>
      <c r="D51" s="23"/>
      <c r="E51" s="24">
        <f>TariefOpbouwTarief4W</f>
        <v>0</v>
      </c>
      <c r="F51" s="23"/>
      <c r="G51" s="25">
        <f>TariefOpbouwTarief4X</f>
        <v>0</v>
      </c>
    </row>
    <row r="52" spans="1:7" x14ac:dyDescent="0.2">
      <c r="A52" s="36" t="str">
        <f>TariefOpbouwNaam5&amp;" "&amp;TariefOpbouwErvaring5</f>
        <v>Leiding (niet-meewerkend) objectleider</v>
      </c>
      <c r="B52" s="23"/>
      <c r="C52" s="24">
        <f>TariefOpbouwTarief5</f>
        <v>0</v>
      </c>
      <c r="D52" s="23"/>
      <c r="E52" s="24">
        <f>TariefOpbouwTarief5W</f>
        <v>0</v>
      </c>
      <c r="F52" s="23"/>
      <c r="G52" s="25">
        <f>TariefOpbouwTarief5X</f>
        <v>0</v>
      </c>
    </row>
    <row r="53" spans="1:7" x14ac:dyDescent="0.2">
      <c r="A53" s="32" t="s">
        <v>86</v>
      </c>
      <c r="B53" s="38">
        <f>TariefUitvoering1+SUMPRODUCT(B51:B52,C51:C52)</f>
        <v>0</v>
      </c>
      <c r="C53" s="38"/>
      <c r="D53" s="38">
        <f>TariefUitvoering2+SUMPRODUCT(D51:D52,E51:E52)</f>
        <v>0</v>
      </c>
      <c r="E53" s="38"/>
      <c r="F53" s="38">
        <f>TariefUitvoering3+SUMPRODUCT(F51:F52,G51:G52)</f>
        <v>0</v>
      </c>
      <c r="G53" s="39"/>
    </row>
  </sheetData>
  <sheetProtection algorithmName="SHA-512" hashValue="uOD1/NjATnU+onHfGUr6iuEITi8xQ65YcQQ91gmGpOGF0gw9sVClcnC1mMxLl7ra6pFIaZ1VudU/dJjM+ZgMJg==" saltValue="NKT9BLjf+VbXjSjiistt+A==" spinCount="100000" sheet="1" objects="1" scenarios="1" autoFilter="0"/>
  <mergeCells count="97">
    <mergeCell ref="N39:O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B35:C35"/>
    <mergeCell ref="D35:E35"/>
    <mergeCell ref="F35:G35"/>
    <mergeCell ref="H35:I35"/>
    <mergeCell ref="J35:K35"/>
    <mergeCell ref="L35:M35"/>
    <mergeCell ref="N35:O35"/>
    <mergeCell ref="B26:C26"/>
    <mergeCell ref="D26:E26"/>
    <mergeCell ref="F26:G26"/>
    <mergeCell ref="H26:I26"/>
    <mergeCell ref="J26:K26"/>
    <mergeCell ref="L26:M26"/>
    <mergeCell ref="N14:O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N9:O9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9BC5-D199-4C69-B7DE-A6FB0FFE4614}">
  <dimension ref="A1:H47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F.3.1: ",tabeltype," categorienormen")</f>
        <v>Bijlage F.3.1: Invultabel categorienormen</v>
      </c>
    </row>
    <row r="3" spans="1:8" ht="37.799999999999997" x14ac:dyDescent="0.2">
      <c r="A3" s="40" t="s">
        <v>87</v>
      </c>
      <c r="B3" s="40" t="s">
        <v>88</v>
      </c>
      <c r="C3" s="40" t="s">
        <v>89</v>
      </c>
      <c r="D3" s="40" t="s">
        <v>90</v>
      </c>
      <c r="E3" s="40" t="s">
        <v>91</v>
      </c>
      <c r="F3" s="40" t="s">
        <v>92</v>
      </c>
      <c r="G3" s="40" t="s">
        <v>93</v>
      </c>
      <c r="H3" s="40" t="s">
        <v>94</v>
      </c>
    </row>
    <row r="4" spans="1:8" x14ac:dyDescent="0.2">
      <c r="A4" s="41"/>
      <c r="B4" s="42"/>
      <c r="C4" s="42"/>
      <c r="D4" s="42"/>
      <c r="E4" s="42"/>
      <c r="F4" s="42"/>
      <c r="G4" s="42"/>
      <c r="H4" s="43"/>
    </row>
    <row r="5" spans="1:8" x14ac:dyDescent="0.2">
      <c r="A5" s="44" t="s">
        <v>95</v>
      </c>
      <c r="B5" s="45"/>
      <c r="C5" s="45"/>
      <c r="D5" s="45"/>
      <c r="E5" s="45"/>
      <c r="F5" s="45"/>
      <c r="G5" s="45"/>
      <c r="H5" s="46"/>
    </row>
    <row r="6" spans="1:8" x14ac:dyDescent="0.2">
      <c r="A6" s="47" t="s">
        <v>96</v>
      </c>
      <c r="B6" s="48">
        <v>1</v>
      </c>
      <c r="C6" s="47">
        <v>1</v>
      </c>
      <c r="D6" s="47" t="s">
        <v>97</v>
      </c>
      <c r="E6" s="49"/>
      <c r="F6" s="50"/>
      <c r="G6" s="47" t="s">
        <v>98</v>
      </c>
      <c r="H6" s="51">
        <f>Tariefopbouw1</f>
        <v>0</v>
      </c>
    </row>
    <row r="7" spans="1:8" x14ac:dyDescent="0.2">
      <c r="A7" s="52" t="s">
        <v>99</v>
      </c>
      <c r="B7" s="53">
        <v>1</v>
      </c>
      <c r="C7" s="52">
        <v>40</v>
      </c>
      <c r="D7" s="52" t="s">
        <v>100</v>
      </c>
      <c r="E7" s="54"/>
      <c r="F7" s="55"/>
      <c r="G7" s="52" t="s">
        <v>98</v>
      </c>
      <c r="H7" s="56">
        <f>Tariefopbouw1</f>
        <v>0</v>
      </c>
    </row>
    <row r="8" spans="1:8" x14ac:dyDescent="0.2">
      <c r="A8" s="52" t="s">
        <v>99</v>
      </c>
      <c r="B8" s="53">
        <v>1</v>
      </c>
      <c r="C8" s="52">
        <v>51</v>
      </c>
      <c r="D8" s="52" t="s">
        <v>100</v>
      </c>
      <c r="E8" s="54"/>
      <c r="F8" s="55"/>
      <c r="G8" s="52" t="s">
        <v>98</v>
      </c>
      <c r="H8" s="56">
        <f>Tariefopbouw1</f>
        <v>0</v>
      </c>
    </row>
    <row r="9" spans="1:8" x14ac:dyDescent="0.2">
      <c r="A9" s="52" t="s">
        <v>101</v>
      </c>
      <c r="B9" s="53">
        <v>1</v>
      </c>
      <c r="C9" s="52">
        <v>1</v>
      </c>
      <c r="D9" s="52" t="s">
        <v>102</v>
      </c>
      <c r="E9" s="54"/>
      <c r="F9" s="55"/>
      <c r="G9" s="52" t="s">
        <v>98</v>
      </c>
      <c r="H9" s="56">
        <f>Tariefopbouw1</f>
        <v>0</v>
      </c>
    </row>
    <row r="10" spans="1:8" x14ac:dyDescent="0.2">
      <c r="A10" s="52" t="s">
        <v>103</v>
      </c>
      <c r="B10" s="53">
        <v>1</v>
      </c>
      <c r="C10" s="52">
        <v>40</v>
      </c>
      <c r="D10" s="52" t="s">
        <v>104</v>
      </c>
      <c r="E10" s="54"/>
      <c r="F10" s="55"/>
      <c r="G10" s="52" t="s">
        <v>98</v>
      </c>
      <c r="H10" s="56">
        <f>Tariefopbouw1</f>
        <v>0</v>
      </c>
    </row>
    <row r="11" spans="1:8" x14ac:dyDescent="0.2">
      <c r="A11" s="52" t="s">
        <v>103</v>
      </c>
      <c r="B11" s="53">
        <v>1</v>
      </c>
      <c r="C11" s="52">
        <v>51</v>
      </c>
      <c r="D11" s="52" t="s">
        <v>104</v>
      </c>
      <c r="E11" s="54"/>
      <c r="F11" s="55"/>
      <c r="G11" s="52" t="s">
        <v>98</v>
      </c>
      <c r="H11" s="56">
        <f>Tariefopbouw1</f>
        <v>0</v>
      </c>
    </row>
    <row r="12" spans="1:8" x14ac:dyDescent="0.2">
      <c r="A12" s="52" t="s">
        <v>105</v>
      </c>
      <c r="B12" s="53">
        <v>1</v>
      </c>
      <c r="C12" s="52">
        <v>1</v>
      </c>
      <c r="D12" s="52" t="s">
        <v>106</v>
      </c>
      <c r="E12" s="54"/>
      <c r="F12" s="55"/>
      <c r="G12" s="52" t="s">
        <v>98</v>
      </c>
      <c r="H12" s="56">
        <f>Tariefopbouw1</f>
        <v>0</v>
      </c>
    </row>
    <row r="13" spans="1:8" x14ac:dyDescent="0.2">
      <c r="A13" s="52" t="s">
        <v>107</v>
      </c>
      <c r="B13" s="53">
        <v>1</v>
      </c>
      <c r="C13" s="52">
        <v>40</v>
      </c>
      <c r="D13" s="52" t="s">
        <v>108</v>
      </c>
      <c r="E13" s="54"/>
      <c r="F13" s="55"/>
      <c r="G13" s="52" t="s">
        <v>98</v>
      </c>
      <c r="H13" s="56">
        <f>Tariefopbouw1</f>
        <v>0</v>
      </c>
    </row>
    <row r="14" spans="1:8" x14ac:dyDescent="0.2">
      <c r="A14" s="52" t="s">
        <v>107</v>
      </c>
      <c r="B14" s="53">
        <v>1</v>
      </c>
      <c r="C14" s="52">
        <v>51</v>
      </c>
      <c r="D14" s="52" t="s">
        <v>108</v>
      </c>
      <c r="E14" s="54"/>
      <c r="F14" s="55"/>
      <c r="G14" s="52" t="s">
        <v>98</v>
      </c>
      <c r="H14" s="56">
        <f>Tariefopbouw1</f>
        <v>0</v>
      </c>
    </row>
    <row r="15" spans="1:8" x14ac:dyDescent="0.2">
      <c r="A15" s="52" t="s">
        <v>109</v>
      </c>
      <c r="B15" s="53">
        <v>1</v>
      </c>
      <c r="C15" s="52">
        <v>1</v>
      </c>
      <c r="D15" s="52" t="s">
        <v>110</v>
      </c>
      <c r="E15" s="54"/>
      <c r="F15" s="55"/>
      <c r="G15" s="52" t="s">
        <v>98</v>
      </c>
      <c r="H15" s="56">
        <f>Tariefopbouw1</f>
        <v>0</v>
      </c>
    </row>
    <row r="16" spans="1:8" x14ac:dyDescent="0.2">
      <c r="A16" s="52" t="s">
        <v>111</v>
      </c>
      <c r="B16" s="53">
        <v>1</v>
      </c>
      <c r="C16" s="52">
        <v>51</v>
      </c>
      <c r="D16" s="52" t="s">
        <v>112</v>
      </c>
      <c r="E16" s="54"/>
      <c r="F16" s="55"/>
      <c r="G16" s="52" t="s">
        <v>98</v>
      </c>
      <c r="H16" s="56">
        <f>Tariefopbouw1</f>
        <v>0</v>
      </c>
    </row>
    <row r="17" spans="1:8" x14ac:dyDescent="0.2">
      <c r="A17" s="52" t="s">
        <v>113</v>
      </c>
      <c r="B17" s="53">
        <v>1</v>
      </c>
      <c r="C17" s="52">
        <v>1</v>
      </c>
      <c r="D17" s="52" t="s">
        <v>114</v>
      </c>
      <c r="E17" s="54"/>
      <c r="F17" s="55"/>
      <c r="G17" s="52" t="s">
        <v>98</v>
      </c>
      <c r="H17" s="56">
        <f>Tariefopbouw1</f>
        <v>0</v>
      </c>
    </row>
    <row r="18" spans="1:8" x14ac:dyDescent="0.2">
      <c r="A18" s="52" t="s">
        <v>115</v>
      </c>
      <c r="B18" s="53">
        <v>1</v>
      </c>
      <c r="C18" s="52">
        <v>51</v>
      </c>
      <c r="D18" s="52" t="s">
        <v>116</v>
      </c>
      <c r="E18" s="54"/>
      <c r="F18" s="55"/>
      <c r="G18" s="52" t="s">
        <v>98</v>
      </c>
      <c r="H18" s="56">
        <f>Tariefopbouw1</f>
        <v>0</v>
      </c>
    </row>
    <row r="19" spans="1:8" x14ac:dyDescent="0.2">
      <c r="A19" s="52" t="s">
        <v>117</v>
      </c>
      <c r="B19" s="53">
        <v>1</v>
      </c>
      <c r="C19" s="52">
        <v>1</v>
      </c>
      <c r="D19" s="52" t="s">
        <v>118</v>
      </c>
      <c r="E19" s="54"/>
      <c r="F19" s="55"/>
      <c r="G19" s="52" t="s">
        <v>98</v>
      </c>
      <c r="H19" s="56">
        <f>Tariefopbouw1</f>
        <v>0</v>
      </c>
    </row>
    <row r="20" spans="1:8" x14ac:dyDescent="0.2">
      <c r="A20" s="52" t="s">
        <v>119</v>
      </c>
      <c r="B20" s="53">
        <v>1</v>
      </c>
      <c r="C20" s="52">
        <v>40</v>
      </c>
      <c r="D20" s="52" t="s">
        <v>120</v>
      </c>
      <c r="E20" s="54"/>
      <c r="F20" s="55"/>
      <c r="G20" s="52" t="s">
        <v>98</v>
      </c>
      <c r="H20" s="56">
        <f>Tariefopbouw1</f>
        <v>0</v>
      </c>
    </row>
    <row r="21" spans="1:8" x14ac:dyDescent="0.2">
      <c r="A21" s="52" t="s">
        <v>119</v>
      </c>
      <c r="B21" s="53">
        <v>1</v>
      </c>
      <c r="C21" s="52">
        <v>51</v>
      </c>
      <c r="D21" s="52" t="s">
        <v>120</v>
      </c>
      <c r="E21" s="54"/>
      <c r="F21" s="55"/>
      <c r="G21" s="52" t="s">
        <v>98</v>
      </c>
      <c r="H21" s="56">
        <f>Tariefopbouw1</f>
        <v>0</v>
      </c>
    </row>
    <row r="22" spans="1:8" x14ac:dyDescent="0.2">
      <c r="A22" s="52" t="s">
        <v>121</v>
      </c>
      <c r="B22" s="53">
        <v>1</v>
      </c>
      <c r="C22" s="52">
        <v>1</v>
      </c>
      <c r="D22" s="52" t="s">
        <v>122</v>
      </c>
      <c r="E22" s="54"/>
      <c r="F22" s="55"/>
      <c r="G22" s="52" t="s">
        <v>98</v>
      </c>
      <c r="H22" s="56">
        <f>Tariefopbouw1</f>
        <v>0</v>
      </c>
    </row>
    <row r="23" spans="1:8" x14ac:dyDescent="0.2">
      <c r="A23" s="52" t="s">
        <v>123</v>
      </c>
      <c r="B23" s="53">
        <v>1</v>
      </c>
      <c r="C23" s="52">
        <v>40</v>
      </c>
      <c r="D23" s="52" t="s">
        <v>124</v>
      </c>
      <c r="E23" s="54"/>
      <c r="F23" s="55"/>
      <c r="G23" s="52" t="s">
        <v>98</v>
      </c>
      <c r="H23" s="56">
        <f>Tariefopbouw1</f>
        <v>0</v>
      </c>
    </row>
    <row r="24" spans="1:8" x14ac:dyDescent="0.2">
      <c r="A24" s="52" t="s">
        <v>123</v>
      </c>
      <c r="B24" s="53">
        <v>1</v>
      </c>
      <c r="C24" s="52">
        <v>51</v>
      </c>
      <c r="D24" s="52" t="s">
        <v>124</v>
      </c>
      <c r="E24" s="54"/>
      <c r="F24" s="55"/>
      <c r="G24" s="52" t="s">
        <v>98</v>
      </c>
      <c r="H24" s="56">
        <f>Tariefopbouw1</f>
        <v>0</v>
      </c>
    </row>
    <row r="25" spans="1:8" x14ac:dyDescent="0.2">
      <c r="A25" s="52" t="s">
        <v>125</v>
      </c>
      <c r="B25" s="53">
        <v>1</v>
      </c>
      <c r="C25" s="52">
        <v>1</v>
      </c>
      <c r="D25" s="52" t="s">
        <v>126</v>
      </c>
      <c r="E25" s="54"/>
      <c r="F25" s="55"/>
      <c r="G25" s="52" t="s">
        <v>98</v>
      </c>
      <c r="H25" s="56">
        <f>Tariefopbouw1</f>
        <v>0</v>
      </c>
    </row>
    <row r="26" spans="1:8" x14ac:dyDescent="0.2">
      <c r="A26" s="52" t="s">
        <v>127</v>
      </c>
      <c r="B26" s="53">
        <v>1</v>
      </c>
      <c r="C26" s="52">
        <v>40</v>
      </c>
      <c r="D26" s="52" t="s">
        <v>128</v>
      </c>
      <c r="E26" s="54"/>
      <c r="F26" s="55"/>
      <c r="G26" s="52" t="s">
        <v>98</v>
      </c>
      <c r="H26" s="56">
        <f>Tariefopbouw1</f>
        <v>0</v>
      </c>
    </row>
    <row r="27" spans="1:8" x14ac:dyDescent="0.2">
      <c r="A27" s="52" t="s">
        <v>129</v>
      </c>
      <c r="B27" s="53">
        <v>2</v>
      </c>
      <c r="C27" s="52">
        <v>1</v>
      </c>
      <c r="D27" s="52" t="s">
        <v>130</v>
      </c>
      <c r="E27" s="54"/>
      <c r="F27" s="55"/>
      <c r="G27" s="52" t="s">
        <v>98</v>
      </c>
      <c r="H27" s="56">
        <f>Tariefopbouw1</f>
        <v>0</v>
      </c>
    </row>
    <row r="28" spans="1:8" x14ac:dyDescent="0.2">
      <c r="A28" s="52" t="s">
        <v>131</v>
      </c>
      <c r="B28" s="53">
        <v>2</v>
      </c>
      <c r="C28" s="52">
        <v>40</v>
      </c>
      <c r="D28" s="52" t="s">
        <v>132</v>
      </c>
      <c r="E28" s="54"/>
      <c r="F28" s="55"/>
      <c r="G28" s="52" t="s">
        <v>98</v>
      </c>
      <c r="H28" s="56">
        <f>Tariefopbouw1</f>
        <v>0</v>
      </c>
    </row>
    <row r="29" spans="1:8" x14ac:dyDescent="0.2">
      <c r="A29" s="52" t="s">
        <v>131</v>
      </c>
      <c r="B29" s="53">
        <v>2</v>
      </c>
      <c r="C29" s="52">
        <v>51</v>
      </c>
      <c r="D29" s="52" t="s">
        <v>132</v>
      </c>
      <c r="E29" s="54"/>
      <c r="F29" s="55"/>
      <c r="G29" s="52" t="s">
        <v>98</v>
      </c>
      <c r="H29" s="56">
        <f>Tariefopbouw1</f>
        <v>0</v>
      </c>
    </row>
    <row r="30" spans="1:8" x14ac:dyDescent="0.2">
      <c r="A30" s="52" t="s">
        <v>133</v>
      </c>
      <c r="B30" s="53">
        <v>2</v>
      </c>
      <c r="C30" s="52">
        <v>1</v>
      </c>
      <c r="D30" s="52" t="s">
        <v>134</v>
      </c>
      <c r="E30" s="54"/>
      <c r="F30" s="55"/>
      <c r="G30" s="52" t="s">
        <v>98</v>
      </c>
      <c r="H30" s="56">
        <f>Tariefopbouw1</f>
        <v>0</v>
      </c>
    </row>
    <row r="31" spans="1:8" x14ac:dyDescent="0.2">
      <c r="A31" s="52" t="s">
        <v>135</v>
      </c>
      <c r="B31" s="53">
        <v>2</v>
      </c>
      <c r="C31" s="52">
        <v>40</v>
      </c>
      <c r="D31" s="52" t="s">
        <v>136</v>
      </c>
      <c r="E31" s="54"/>
      <c r="F31" s="55"/>
      <c r="G31" s="52" t="s">
        <v>98</v>
      </c>
      <c r="H31" s="56">
        <f>Tariefopbouw1</f>
        <v>0</v>
      </c>
    </row>
    <row r="32" spans="1:8" x14ac:dyDescent="0.2">
      <c r="A32" s="52" t="s">
        <v>135</v>
      </c>
      <c r="B32" s="53">
        <v>2</v>
      </c>
      <c r="C32" s="52">
        <v>51</v>
      </c>
      <c r="D32" s="52" t="s">
        <v>136</v>
      </c>
      <c r="E32" s="54"/>
      <c r="F32" s="55"/>
      <c r="G32" s="52" t="s">
        <v>98</v>
      </c>
      <c r="H32" s="56">
        <f>Tariefopbouw1</f>
        <v>0</v>
      </c>
    </row>
    <row r="33" spans="1:8" x14ac:dyDescent="0.2">
      <c r="A33" s="52" t="s">
        <v>137</v>
      </c>
      <c r="B33" s="53">
        <v>4</v>
      </c>
      <c r="C33" s="52">
        <v>1</v>
      </c>
      <c r="D33" s="52" t="s">
        <v>138</v>
      </c>
      <c r="E33" s="54"/>
      <c r="F33" s="55"/>
      <c r="G33" s="52" t="s">
        <v>98</v>
      </c>
      <c r="H33" s="56">
        <f>Tariefopbouw1</f>
        <v>0</v>
      </c>
    </row>
    <row r="34" spans="1:8" x14ac:dyDescent="0.2">
      <c r="A34" s="52" t="s">
        <v>139</v>
      </c>
      <c r="B34" s="53">
        <v>4</v>
      </c>
      <c r="C34" s="52">
        <v>10</v>
      </c>
      <c r="D34" s="52" t="s">
        <v>140</v>
      </c>
      <c r="E34" s="54"/>
      <c r="F34" s="55"/>
      <c r="G34" s="52" t="s">
        <v>98</v>
      </c>
      <c r="H34" s="56">
        <f>Tariefopbouw1</f>
        <v>0</v>
      </c>
    </row>
    <row r="35" spans="1:8" x14ac:dyDescent="0.2">
      <c r="A35" s="52" t="s">
        <v>139</v>
      </c>
      <c r="B35" s="53">
        <v>4</v>
      </c>
      <c r="C35" s="52">
        <v>40</v>
      </c>
      <c r="D35" s="52" t="s">
        <v>140</v>
      </c>
      <c r="E35" s="54"/>
      <c r="F35" s="55"/>
      <c r="G35" s="52" t="s">
        <v>98</v>
      </c>
      <c r="H35" s="56">
        <f>Tariefopbouw1</f>
        <v>0</v>
      </c>
    </row>
    <row r="36" spans="1:8" x14ac:dyDescent="0.2">
      <c r="A36" s="52" t="s">
        <v>139</v>
      </c>
      <c r="B36" s="53">
        <v>4</v>
      </c>
      <c r="C36" s="52">
        <v>51</v>
      </c>
      <c r="D36" s="52" t="s">
        <v>140</v>
      </c>
      <c r="E36" s="54"/>
      <c r="F36" s="55"/>
      <c r="G36" s="52" t="s">
        <v>98</v>
      </c>
      <c r="H36" s="56">
        <f>Tariefopbouw1</f>
        <v>0</v>
      </c>
    </row>
    <row r="37" spans="1:8" x14ac:dyDescent="0.2">
      <c r="A37" s="52" t="s">
        <v>141</v>
      </c>
      <c r="B37" s="53">
        <v>5</v>
      </c>
      <c r="C37" s="52">
        <v>1</v>
      </c>
      <c r="D37" s="52" t="s">
        <v>142</v>
      </c>
      <c r="E37" s="54"/>
      <c r="F37" s="55"/>
      <c r="G37" s="52" t="s">
        <v>98</v>
      </c>
      <c r="H37" s="56">
        <f>Tariefopbouw1</f>
        <v>0</v>
      </c>
    </row>
    <row r="38" spans="1:8" x14ac:dyDescent="0.2">
      <c r="A38" s="52" t="s">
        <v>143</v>
      </c>
      <c r="B38" s="53">
        <v>5</v>
      </c>
      <c r="C38" s="52">
        <v>40</v>
      </c>
      <c r="D38" s="52" t="s">
        <v>144</v>
      </c>
      <c r="E38" s="54"/>
      <c r="F38" s="55"/>
      <c r="G38" s="52" t="s">
        <v>98</v>
      </c>
      <c r="H38" s="56">
        <f>Tariefopbouw1</f>
        <v>0</v>
      </c>
    </row>
    <row r="39" spans="1:8" x14ac:dyDescent="0.2">
      <c r="A39" s="52" t="s">
        <v>145</v>
      </c>
      <c r="B39" s="53">
        <v>5</v>
      </c>
      <c r="C39" s="52">
        <v>1</v>
      </c>
      <c r="D39" s="52" t="s">
        <v>146</v>
      </c>
      <c r="E39" s="54"/>
      <c r="F39" s="55"/>
      <c r="G39" s="52" t="s">
        <v>98</v>
      </c>
      <c r="H39" s="56">
        <f>Tariefopbouw1</f>
        <v>0</v>
      </c>
    </row>
    <row r="40" spans="1:8" x14ac:dyDescent="0.2">
      <c r="A40" s="52" t="s">
        <v>147</v>
      </c>
      <c r="B40" s="53">
        <v>5</v>
      </c>
      <c r="C40" s="52">
        <v>10</v>
      </c>
      <c r="D40" s="52" t="s">
        <v>148</v>
      </c>
      <c r="E40" s="54"/>
      <c r="F40" s="55"/>
      <c r="G40" s="52" t="s">
        <v>98</v>
      </c>
      <c r="H40" s="56">
        <f>Tariefopbouw1</f>
        <v>0</v>
      </c>
    </row>
    <row r="41" spans="1:8" x14ac:dyDescent="0.2">
      <c r="A41" s="52" t="s">
        <v>149</v>
      </c>
      <c r="B41" s="53">
        <v>5</v>
      </c>
      <c r="C41" s="52">
        <v>1</v>
      </c>
      <c r="D41" s="52" t="s">
        <v>150</v>
      </c>
      <c r="E41" s="54"/>
      <c r="F41" s="55"/>
      <c r="G41" s="52" t="s">
        <v>98</v>
      </c>
      <c r="H41" s="56">
        <f>Tariefopbouw1</f>
        <v>0</v>
      </c>
    </row>
    <row r="42" spans="1:8" x14ac:dyDescent="0.2">
      <c r="A42" s="52" t="s">
        <v>151</v>
      </c>
      <c r="B42" s="53">
        <v>5</v>
      </c>
      <c r="C42" s="52">
        <v>51</v>
      </c>
      <c r="D42" s="52" t="s">
        <v>152</v>
      </c>
      <c r="E42" s="54"/>
      <c r="F42" s="55"/>
      <c r="G42" s="52" t="s">
        <v>98</v>
      </c>
      <c r="H42" s="56">
        <f>Tariefopbouw1</f>
        <v>0</v>
      </c>
    </row>
    <row r="43" spans="1:8" x14ac:dyDescent="0.2">
      <c r="A43" s="52" t="s">
        <v>153</v>
      </c>
      <c r="B43" s="53">
        <v>6</v>
      </c>
      <c r="C43" s="52">
        <v>1</v>
      </c>
      <c r="D43" s="52" t="s">
        <v>154</v>
      </c>
      <c r="E43" s="54"/>
      <c r="F43" s="55"/>
      <c r="G43" s="52" t="s">
        <v>98</v>
      </c>
      <c r="H43" s="56">
        <f>Tariefopbouw1</f>
        <v>0</v>
      </c>
    </row>
    <row r="44" spans="1:8" x14ac:dyDescent="0.2">
      <c r="A44" s="52" t="s">
        <v>155</v>
      </c>
      <c r="B44" s="53">
        <v>6</v>
      </c>
      <c r="C44" s="52">
        <v>40</v>
      </c>
      <c r="D44" s="52" t="s">
        <v>156</v>
      </c>
      <c r="E44" s="54"/>
      <c r="F44" s="55"/>
      <c r="G44" s="52" t="s">
        <v>98</v>
      </c>
      <c r="H44" s="56">
        <f>Tariefopbouw1</f>
        <v>0</v>
      </c>
    </row>
    <row r="45" spans="1:8" x14ac:dyDescent="0.2">
      <c r="A45" s="52" t="s">
        <v>155</v>
      </c>
      <c r="B45" s="53">
        <v>6</v>
      </c>
      <c r="C45" s="52">
        <v>51</v>
      </c>
      <c r="D45" s="52" t="s">
        <v>156</v>
      </c>
      <c r="E45" s="54"/>
      <c r="F45" s="55"/>
      <c r="G45" s="52" t="s">
        <v>98</v>
      </c>
      <c r="H45" s="56">
        <f>Tariefopbouw1</f>
        <v>0</v>
      </c>
    </row>
    <row r="46" spans="1:8" x14ac:dyDescent="0.2">
      <c r="A46" s="52" t="s">
        <v>157</v>
      </c>
      <c r="B46" s="53" t="s">
        <v>158</v>
      </c>
      <c r="C46" s="52">
        <v>1</v>
      </c>
      <c r="D46" s="52" t="s">
        <v>159</v>
      </c>
      <c r="E46" s="54"/>
      <c r="F46" s="55"/>
      <c r="G46" s="52" t="s">
        <v>98</v>
      </c>
      <c r="H46" s="56">
        <f>Tariefopbouw1</f>
        <v>0</v>
      </c>
    </row>
    <row r="47" spans="1:8" x14ac:dyDescent="0.2">
      <c r="A47" s="57" t="s">
        <v>160</v>
      </c>
      <c r="B47" s="58" t="s">
        <v>158</v>
      </c>
      <c r="C47" s="57">
        <v>51</v>
      </c>
      <c r="D47" s="57" t="s">
        <v>161</v>
      </c>
      <c r="E47" s="59"/>
      <c r="F47" s="60"/>
      <c r="G47" s="57" t="s">
        <v>98</v>
      </c>
      <c r="H47" s="61">
        <f>Tariefopbouw1</f>
        <v>0</v>
      </c>
    </row>
  </sheetData>
  <sheetProtection algorithmName="SHA-512" hashValue="10S1kYS/r5VHaz711hB49qOh8ZrnOkrHY/jpuJDkMrQzX1ZQWaRRCXVEKaLHZsN14dUdT0g/s/8vW0YCLfK37A==" saltValue="S6WlB1jpxDrlu2/NHE9WNg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1A28-7E5E-4FCF-9E51-28A5BBFDC7AF}">
  <dimension ref="A1:N39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F.3.2: ",tabeltype," regulier werk")</f>
        <v>Bijlage F.3.2: Invultabel regulier werk</v>
      </c>
    </row>
    <row r="3" spans="1:14" ht="37.799999999999997" x14ac:dyDescent="0.2">
      <c r="A3" s="40" t="s">
        <v>162</v>
      </c>
      <c r="B3" s="40" t="s">
        <v>7</v>
      </c>
      <c r="C3" s="40" t="s">
        <v>163</v>
      </c>
      <c r="D3" s="40" t="s">
        <v>90</v>
      </c>
      <c r="E3" s="40" t="s">
        <v>164</v>
      </c>
      <c r="F3" s="40" t="s">
        <v>165</v>
      </c>
      <c r="G3" s="40" t="s">
        <v>91</v>
      </c>
      <c r="H3" s="40" t="s">
        <v>92</v>
      </c>
      <c r="I3" s="40" t="s">
        <v>93</v>
      </c>
      <c r="J3" s="40" t="s">
        <v>94</v>
      </c>
      <c r="K3" s="40" t="s">
        <v>166</v>
      </c>
      <c r="L3" s="40" t="s">
        <v>167</v>
      </c>
      <c r="M3" s="40" t="s">
        <v>168</v>
      </c>
      <c r="N3" s="40" t="s">
        <v>169</v>
      </c>
    </row>
    <row r="4" spans="1:1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">
      <c r="A5" s="44" t="s">
        <v>95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x14ac:dyDescent="0.2">
      <c r="A6" s="47" t="s">
        <v>170</v>
      </c>
      <c r="B6" s="47" t="s">
        <v>12</v>
      </c>
      <c r="C6" s="47" t="s">
        <v>171</v>
      </c>
      <c r="D6" s="47" t="s">
        <v>172</v>
      </c>
      <c r="E6" s="62">
        <v>41.3</v>
      </c>
      <c r="F6" s="62">
        <f>E6*VLOOKUP(B6,dagsoorttabel1,2,FALSE)</f>
        <v>32.392156862745097</v>
      </c>
      <c r="G6" s="63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64">
        <f>IF(AND(catpn_1_BHB_1&gt;0,catpn_1_BHV_40&gt;0),(catdw_1_BHB_1*((dagenperjaar1-VLOOKUP(B6,dagsoorttabel1,2,FALSE))-catfd_1_BHV_40)/catpn_1_BHB_1+catdw_1_BHV_40*catfd_1_BHV_40/catpn_1_BHV_40)/(((dagenperjaar1-VLOOKUP(B6,dagsoorttabel1,2,FALSE))-catfd_1_BHV_40)/catpn_1_BHB_1+catfd_1_BHV_40/catpn_1_BHV_40),0)</f>
        <v>0</v>
      </c>
      <c r="I6" s="47" t="s">
        <v>98</v>
      </c>
      <c r="J6" s="51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62">
        <f>IF(OR(ISBLANK(G6),G6=0),0,F6/ROUND(G6,4))</f>
        <v>0</v>
      </c>
      <c r="L6" s="51">
        <f>ROUND(J6,2)*K6</f>
        <v>0</v>
      </c>
      <c r="M6" s="62">
        <f>K6*dagenperjaar1</f>
        <v>0</v>
      </c>
      <c r="N6" s="51">
        <f>M6*ROUND(J6,2)</f>
        <v>0</v>
      </c>
    </row>
    <row r="7" spans="1:14" x14ac:dyDescent="0.2">
      <c r="A7" s="52" t="s">
        <v>173</v>
      </c>
      <c r="B7" s="52" t="s">
        <v>19</v>
      </c>
      <c r="C7" s="52" t="s">
        <v>171</v>
      </c>
      <c r="D7" s="52" t="s">
        <v>174</v>
      </c>
      <c r="E7" s="65">
        <v>6.3</v>
      </c>
      <c r="F7" s="65">
        <f>E7*VLOOKUP(B7,dagsoorttabel1,2,FALSE)</f>
        <v>0.24705882352941175</v>
      </c>
      <c r="G7" s="66">
        <f>IF(AND(catpn_1_BZB_1&gt;0,catpn_1_BZV_10&gt;0),(dagenperjaar1*VLOOKUP(B7,dagsoorttabel1,2,FALSE))/(((dagenperjaar1*VLOOKUP(B7,dagsoorttabel1,2,FALSE))-catfd_1_BZV_10)/catpn_1_BZB_1+catfd_1_BZV_10/catpn_1_BZV_10),0)</f>
        <v>0</v>
      </c>
      <c r="H7" s="67">
        <f>IF(AND(catpn_1_BZB_1&gt;0,catpn_1_BZV_10&gt;0),(catdw_1_BZB_1*((dagenperjaar1-VLOOKUP(B7,dagsoorttabel1,2,FALSE))-catfd_1_BZV_10)/catpn_1_BZB_1+catdw_1_BZV_10*catfd_1_BZV_10/catpn_1_BZV_10)/(((dagenperjaar1-VLOOKUP(B7,dagsoorttabel1,2,FALSE))-catfd_1_BZV_10)/catpn_1_BZB_1+catfd_1_BZV_10/catpn_1_BZV_10),0)</f>
        <v>0</v>
      </c>
      <c r="I7" s="52" t="s">
        <v>98</v>
      </c>
      <c r="J7" s="56">
        <f>IF(AND(catpn_1_BZB_1&gt;0,catpn_1_BZV_10&gt;0),(cattf_1_BZB_1*((dagenperjaar1*VLOOKUP(B7,dagsoorttabel1,2,FALSE))-catfd_1_BZV_10)/catpn_1_BZB_1+cattf_1_BZV_10*catfd_1_BZV_10/catpn_1_BZV_10)/(((dagenperjaar1*VLOOKUP(B7,dagsoorttabel1,2,FALSE))-catfd_1_BZV_10)/catpn_1_BZB_1+catfd_1_BZV_10/catpn_1_BZV_10),0)</f>
        <v>0</v>
      </c>
      <c r="K7" s="65">
        <f>IF(OR(ISBLANK(G7),G7=0),0,F7/ROUND(G7,4))</f>
        <v>0</v>
      </c>
      <c r="L7" s="56">
        <f>ROUND(J7,2)*K7</f>
        <v>0</v>
      </c>
      <c r="M7" s="65">
        <f>K7*dagenperjaar1</f>
        <v>0</v>
      </c>
      <c r="N7" s="56">
        <f>M7*ROUND(J7,2)</f>
        <v>0</v>
      </c>
    </row>
    <row r="8" spans="1:14" x14ac:dyDescent="0.2">
      <c r="A8" s="52" t="s">
        <v>175</v>
      </c>
      <c r="B8" s="52" t="s">
        <v>12</v>
      </c>
      <c r="C8" s="52" t="s">
        <v>171</v>
      </c>
      <c r="D8" s="52" t="s">
        <v>176</v>
      </c>
      <c r="E8" s="65">
        <v>153.01999999999998</v>
      </c>
      <c r="F8" s="65">
        <f>E8*VLOOKUP(B8,dagsoorttabel1,2,FALSE)</f>
        <v>120.01568627450979</v>
      </c>
      <c r="G8" s="66">
        <f>IF(AND(catpn_1_DHB_1&gt;0,catpn_1_DHV_40&gt;0),(dagenperjaar1*VLOOKUP(B8,dagsoorttabel1,2,FALSE))/(((dagenperjaar1*VLOOKUP(B8,dagsoorttabel1,2,FALSE))-catfd_1_DHV_40)/catpn_1_DHB_1+catfd_1_DHV_40/catpn_1_DHV_40),0)</f>
        <v>0</v>
      </c>
      <c r="H8" s="67">
        <f>IF(AND(catpn_1_DHB_1&gt;0,catpn_1_DHV_40&gt;0),(catdw_1_DHB_1*((dagenperjaar1-VLOOKUP(B8,dagsoorttabel1,2,FALSE))-catfd_1_DHV_40)/catpn_1_DHB_1+catdw_1_DHV_40*catfd_1_DHV_40/catpn_1_DHV_40)/(((dagenperjaar1-VLOOKUP(B8,dagsoorttabel1,2,FALSE))-catfd_1_DHV_40)/catpn_1_DHB_1+catfd_1_DHV_40/catpn_1_DHV_40),0)</f>
        <v>0</v>
      </c>
      <c r="I8" s="52" t="s">
        <v>98</v>
      </c>
      <c r="J8" s="56">
        <f>IF(AND(catpn_1_DHB_1&gt;0,catpn_1_DHV_40&gt;0),(cattf_1_DHB_1*((dagenperjaar1*VLOOKUP(B8,dagsoorttabel1,2,FALSE))-catfd_1_DHV_40)/catpn_1_DHB_1+cattf_1_DHV_40*catfd_1_DHV_40/catpn_1_DHV_40)/(((dagenperjaar1*VLOOKUP(B8,dagsoorttabel1,2,FALSE))-catfd_1_DHV_40)/catpn_1_DHB_1+catfd_1_DHV_40/catpn_1_DHV_40),0)</f>
        <v>0</v>
      </c>
      <c r="K8" s="65">
        <f>IF(OR(ISBLANK(G8),G8=0),0,F8/ROUND(G8,4))</f>
        <v>0</v>
      </c>
      <c r="L8" s="56">
        <f>ROUND(J8,2)*K8</f>
        <v>0</v>
      </c>
      <c r="M8" s="65">
        <f>K8*dagenperjaar1</f>
        <v>0</v>
      </c>
      <c r="N8" s="56">
        <f>M8*ROUND(J8,2)</f>
        <v>0</v>
      </c>
    </row>
    <row r="9" spans="1:14" x14ac:dyDescent="0.2">
      <c r="A9" s="52" t="s">
        <v>175</v>
      </c>
      <c r="B9" s="52" t="s">
        <v>10</v>
      </c>
      <c r="C9" s="52" t="s">
        <v>171</v>
      </c>
      <c r="D9" s="52" t="s">
        <v>176</v>
      </c>
      <c r="E9" s="65">
        <v>18.22</v>
      </c>
      <c r="F9" s="65">
        <f>E9*VLOOKUP(B9,dagsoorttabel1,2,FALSE)</f>
        <v>18.22</v>
      </c>
      <c r="G9" s="66">
        <f>IF(AND(catpn_1_DHB_1&gt;0,catpn_1_DHV_51&gt;0),(dagenperjaar1*VLOOKUP(B9,dagsoorttabel1,2,FALSE))/(((dagenperjaar1*VLOOKUP(B9,dagsoorttabel1,2,FALSE))-catfd_1_DHV_51)/catpn_1_DHB_1+catfd_1_DHV_51/catpn_1_DHV_51),0)</f>
        <v>0</v>
      </c>
      <c r="H9" s="67">
        <f>IF(AND(catpn_1_DHB_1&gt;0,catpn_1_DHV_51&gt;0),(catdw_1_DHB_1*((dagenperjaar1-VLOOKUP(B9,dagsoorttabel1,2,FALSE))-catfd_1_DHV_51)/catpn_1_DHB_1+catdw_1_DHV_51*catfd_1_DHV_51/catpn_1_DHV_51)/(((dagenperjaar1-VLOOKUP(B9,dagsoorttabel1,2,FALSE))-catfd_1_DHV_51)/catpn_1_DHB_1+catfd_1_DHV_51/catpn_1_DHV_51),0)</f>
        <v>0</v>
      </c>
      <c r="I9" s="52" t="s">
        <v>98</v>
      </c>
      <c r="J9" s="56">
        <f>IF(AND(catpn_1_DHB_1&gt;0,catpn_1_DHV_51&gt;0),(cattf_1_DHB_1*((dagenperjaar1*VLOOKUP(B9,dagsoorttabel1,2,FALSE))-catfd_1_DHV_51)/catpn_1_DHB_1+cattf_1_DHV_51*catfd_1_DHV_51/catpn_1_DHV_51)/(((dagenperjaar1*VLOOKUP(B9,dagsoorttabel1,2,FALSE))-catfd_1_DHV_51)/catpn_1_DHB_1+catfd_1_DHV_51/catpn_1_DHV_51),0)</f>
        <v>0</v>
      </c>
      <c r="K9" s="65">
        <f>IF(OR(ISBLANK(G9),G9=0),0,F9/ROUND(G9,4))</f>
        <v>0</v>
      </c>
      <c r="L9" s="56">
        <f>ROUND(J9,2)*K9</f>
        <v>0</v>
      </c>
      <c r="M9" s="65">
        <f>K9*dagenperjaar1</f>
        <v>0</v>
      </c>
      <c r="N9" s="56">
        <f>M9*ROUND(J9,2)</f>
        <v>0</v>
      </c>
    </row>
    <row r="10" spans="1:14" x14ac:dyDescent="0.2">
      <c r="A10" s="52" t="s">
        <v>177</v>
      </c>
      <c r="B10" s="52" t="s">
        <v>12</v>
      </c>
      <c r="C10" s="52" t="s">
        <v>171</v>
      </c>
      <c r="D10" s="52" t="s">
        <v>178</v>
      </c>
      <c r="E10" s="65">
        <v>11.2</v>
      </c>
      <c r="F10" s="65">
        <f>E10*VLOOKUP(B10,dagsoorttabel1,2,FALSE)</f>
        <v>8.7843137254901951</v>
      </c>
      <c r="G10" s="66">
        <f>IF(AND(catpn_1_EHB_1&gt;0,catpn_1_EHV_40&gt;0),(dagenperjaar1*VLOOKUP(B10,dagsoorttabel1,2,FALSE))/(((dagenperjaar1*VLOOKUP(B10,dagsoorttabel1,2,FALSE))-catfd_1_EHV_40)/catpn_1_EHB_1+catfd_1_EHV_40/catpn_1_EHV_40),0)</f>
        <v>0</v>
      </c>
      <c r="H10" s="67">
        <f>IF(AND(catpn_1_EHB_1&gt;0,catpn_1_EHV_40&gt;0),(catdw_1_EHB_1*((dagenperjaar1-VLOOKUP(B10,dagsoorttabel1,2,FALSE))-catfd_1_EHV_40)/catpn_1_EHB_1+catdw_1_EHV_40*catfd_1_EHV_40/catpn_1_EHV_40)/(((dagenperjaar1-VLOOKUP(B10,dagsoorttabel1,2,FALSE))-catfd_1_EHV_40)/catpn_1_EHB_1+catfd_1_EHV_40/catpn_1_EHV_40),0)</f>
        <v>0</v>
      </c>
      <c r="I10" s="52" t="s">
        <v>98</v>
      </c>
      <c r="J10" s="56">
        <f>IF(AND(catpn_1_EHB_1&gt;0,catpn_1_EHV_40&gt;0),(cattf_1_EHB_1*((dagenperjaar1*VLOOKUP(B10,dagsoorttabel1,2,FALSE))-catfd_1_EHV_40)/catpn_1_EHB_1+cattf_1_EHV_40*catfd_1_EHV_40/catpn_1_EHV_40)/(((dagenperjaar1*VLOOKUP(B10,dagsoorttabel1,2,FALSE))-catfd_1_EHV_40)/catpn_1_EHB_1+catfd_1_EHV_40/catpn_1_EHV_40),0)</f>
        <v>0</v>
      </c>
      <c r="K10" s="65">
        <f>IF(OR(ISBLANK(G10),G10=0),0,F10/ROUND(G10,4))</f>
        <v>0</v>
      </c>
      <c r="L10" s="56">
        <f>ROUND(J10,2)*K10</f>
        <v>0</v>
      </c>
      <c r="M10" s="65">
        <f>K10*dagenperjaar1</f>
        <v>0</v>
      </c>
      <c r="N10" s="56">
        <f>M10*ROUND(J10,2)</f>
        <v>0</v>
      </c>
    </row>
    <row r="11" spans="1:14" x14ac:dyDescent="0.2">
      <c r="A11" s="52" t="s">
        <v>177</v>
      </c>
      <c r="B11" s="52" t="s">
        <v>10</v>
      </c>
      <c r="C11" s="52" t="s">
        <v>171</v>
      </c>
      <c r="D11" s="52" t="s">
        <v>178</v>
      </c>
      <c r="E11" s="65">
        <v>45.839999999999996</v>
      </c>
      <c r="F11" s="65">
        <f>E11*VLOOKUP(B11,dagsoorttabel1,2,FALSE)</f>
        <v>45.839999999999996</v>
      </c>
      <c r="G11" s="66">
        <f>IF(AND(catpn_1_EHB_1&gt;0,catpn_1_EHV_51&gt;0),(dagenperjaar1*VLOOKUP(B11,dagsoorttabel1,2,FALSE))/(((dagenperjaar1*VLOOKUP(B11,dagsoorttabel1,2,FALSE))-catfd_1_EHV_51)/catpn_1_EHB_1+catfd_1_EHV_51/catpn_1_EHV_51),0)</f>
        <v>0</v>
      </c>
      <c r="H11" s="67">
        <f>IF(AND(catpn_1_EHB_1&gt;0,catpn_1_EHV_51&gt;0),(catdw_1_EHB_1*((dagenperjaar1-VLOOKUP(B11,dagsoorttabel1,2,FALSE))-catfd_1_EHV_51)/catpn_1_EHB_1+catdw_1_EHV_51*catfd_1_EHV_51/catpn_1_EHV_51)/(((dagenperjaar1-VLOOKUP(B11,dagsoorttabel1,2,FALSE))-catfd_1_EHV_51)/catpn_1_EHB_1+catfd_1_EHV_51/catpn_1_EHV_51),0)</f>
        <v>0</v>
      </c>
      <c r="I11" s="52" t="s">
        <v>98</v>
      </c>
      <c r="J11" s="56">
        <f>IF(AND(catpn_1_EHB_1&gt;0,catpn_1_EHV_51&gt;0),(cattf_1_EHB_1*((dagenperjaar1*VLOOKUP(B11,dagsoorttabel1,2,FALSE))-catfd_1_EHV_51)/catpn_1_EHB_1+cattf_1_EHV_51*catfd_1_EHV_51/catpn_1_EHV_51)/(((dagenperjaar1*VLOOKUP(B11,dagsoorttabel1,2,FALSE))-catfd_1_EHV_51)/catpn_1_EHB_1+catfd_1_EHV_51/catpn_1_EHV_51),0)</f>
        <v>0</v>
      </c>
      <c r="K11" s="65">
        <f>IF(OR(ISBLANK(G11),G11=0),0,F11/ROUND(G11,4))</f>
        <v>0</v>
      </c>
      <c r="L11" s="56">
        <f>ROUND(J11,2)*K11</f>
        <v>0</v>
      </c>
      <c r="M11" s="65">
        <f>K11*dagenperjaar1</f>
        <v>0</v>
      </c>
      <c r="N11" s="56">
        <f>M11*ROUND(J11,2)</f>
        <v>0</v>
      </c>
    </row>
    <row r="12" spans="1:14" x14ac:dyDescent="0.2">
      <c r="A12" s="52" t="s">
        <v>179</v>
      </c>
      <c r="B12" s="52" t="s">
        <v>12</v>
      </c>
      <c r="C12" s="52" t="s">
        <v>171</v>
      </c>
      <c r="D12" s="52" t="s">
        <v>180</v>
      </c>
      <c r="E12" s="65">
        <v>62.1</v>
      </c>
      <c r="F12" s="65">
        <f>E12*VLOOKUP(B12,dagsoorttabel1,2,FALSE)</f>
        <v>48.705882352941174</v>
      </c>
      <c r="G12" s="66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67">
        <f>IF(AND(catpn_1_EZB_1&gt;0,catpn_1_EZV_40&gt;0),(catdw_1_EZB_1*((dagenperjaar1-VLOOKUP(B12,dagsoorttabel1,2,FALSE))-catfd_1_EZV_40)/catpn_1_EZB_1+catdw_1_EZV_40*catfd_1_EZV_40/catpn_1_EZV_40)/(((dagenperjaar1-VLOOKUP(B12,dagsoorttabel1,2,FALSE))-catfd_1_EZV_40)/catpn_1_EZB_1+catfd_1_EZV_40/catpn_1_EZV_40),0)</f>
        <v>0</v>
      </c>
      <c r="I12" s="52" t="s">
        <v>98</v>
      </c>
      <c r="J12" s="56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K12" s="65">
        <f>IF(OR(ISBLANK(G12),G12=0),0,F12/ROUND(G12,4))</f>
        <v>0</v>
      </c>
      <c r="L12" s="56">
        <f>ROUND(J12,2)*K12</f>
        <v>0</v>
      </c>
      <c r="M12" s="65">
        <f>K12*dagenperjaar1</f>
        <v>0</v>
      </c>
      <c r="N12" s="56">
        <f>M12*ROUND(J12,2)</f>
        <v>0</v>
      </c>
    </row>
    <row r="13" spans="1:14" x14ac:dyDescent="0.2">
      <c r="A13" s="52" t="s">
        <v>179</v>
      </c>
      <c r="B13" s="52" t="s">
        <v>10</v>
      </c>
      <c r="C13" s="52" t="s">
        <v>171</v>
      </c>
      <c r="D13" s="52" t="s">
        <v>180</v>
      </c>
      <c r="E13" s="65">
        <v>10.48</v>
      </c>
      <c r="F13" s="65">
        <f>E13*VLOOKUP(B13,dagsoorttabel1,2,FALSE)</f>
        <v>10.48</v>
      </c>
      <c r="G13" s="66">
        <f>IF(AND(catpn_1_EZB_1&gt;0,catpn_1_EZV_51&gt;0),(dagenperjaar1*VLOOKUP(B13,dagsoorttabel1,2,FALSE))/(((dagenperjaar1*VLOOKUP(B13,dagsoorttabel1,2,FALSE))-catfd_1_EZV_51)/catpn_1_EZB_1+catfd_1_EZV_51/catpn_1_EZV_51),0)</f>
        <v>0</v>
      </c>
      <c r="H13" s="67">
        <f>IF(AND(catpn_1_EZB_1&gt;0,catpn_1_EZV_51&gt;0),(catdw_1_EZB_1*((dagenperjaar1-VLOOKUP(B13,dagsoorttabel1,2,FALSE))-catfd_1_EZV_51)/catpn_1_EZB_1+catdw_1_EZV_51*catfd_1_EZV_51/catpn_1_EZV_51)/(((dagenperjaar1-VLOOKUP(B13,dagsoorttabel1,2,FALSE))-catfd_1_EZV_51)/catpn_1_EZB_1+catfd_1_EZV_51/catpn_1_EZV_51),0)</f>
        <v>0</v>
      </c>
      <c r="I13" s="52" t="s">
        <v>98</v>
      </c>
      <c r="J13" s="56">
        <f>IF(AND(catpn_1_EZB_1&gt;0,catpn_1_EZV_51&gt;0),(cattf_1_EZB_1*((dagenperjaar1*VLOOKUP(B13,dagsoorttabel1,2,FALSE))-catfd_1_EZV_51)/catpn_1_EZB_1+cattf_1_EZV_51*catfd_1_EZV_51/catpn_1_EZV_51)/(((dagenperjaar1*VLOOKUP(B13,dagsoorttabel1,2,FALSE))-catfd_1_EZV_51)/catpn_1_EZB_1+catfd_1_EZV_51/catpn_1_EZV_51),0)</f>
        <v>0</v>
      </c>
      <c r="K13" s="65">
        <f>IF(OR(ISBLANK(G13),G13=0),0,F13/ROUND(G13,4))</f>
        <v>0</v>
      </c>
      <c r="L13" s="56">
        <f>ROUND(J13,2)*K13</f>
        <v>0</v>
      </c>
      <c r="M13" s="65">
        <f>K13*dagenperjaar1</f>
        <v>0</v>
      </c>
      <c r="N13" s="56">
        <f>M13*ROUND(J13,2)</f>
        <v>0</v>
      </c>
    </row>
    <row r="14" spans="1:14" x14ac:dyDescent="0.2">
      <c r="A14" s="52" t="s">
        <v>181</v>
      </c>
      <c r="B14" s="52" t="s">
        <v>12</v>
      </c>
      <c r="C14" s="52" t="s">
        <v>171</v>
      </c>
      <c r="D14" s="52" t="s">
        <v>182</v>
      </c>
      <c r="E14" s="65">
        <v>2.56</v>
      </c>
      <c r="F14" s="65">
        <f>E14*VLOOKUP(B14,dagsoorttabel1,2,FALSE)</f>
        <v>2.0078431372549019</v>
      </c>
      <c r="G14" s="66">
        <f>IF(AND(catpn_1_FHB_1&gt;0,catpn_1_FHV_40&gt;0),(dagenperjaar1*VLOOKUP(B14,dagsoorttabel1,2,FALSE))/(((dagenperjaar1*VLOOKUP(B14,dagsoorttabel1,2,FALSE))-catfd_1_FHV_40)/catpn_1_FHB_1+catfd_1_FHV_40/catpn_1_FHV_40),0)</f>
        <v>0</v>
      </c>
      <c r="H14" s="67">
        <f>IF(AND(catpn_1_FHB_1&gt;0,catpn_1_FHV_40&gt;0),(catdw_1_FHB_1*((dagenperjaar1-VLOOKUP(B14,dagsoorttabel1,2,FALSE))-catfd_1_FHV_40)/catpn_1_FHB_1+catdw_1_FHV_40*catfd_1_FHV_40/catpn_1_FHV_40)/(((dagenperjaar1-VLOOKUP(B14,dagsoorttabel1,2,FALSE))-catfd_1_FHV_40)/catpn_1_FHB_1+catfd_1_FHV_40/catpn_1_FHV_40),0)</f>
        <v>0</v>
      </c>
      <c r="I14" s="52" t="s">
        <v>98</v>
      </c>
      <c r="J14" s="56">
        <f>IF(AND(catpn_1_FHB_1&gt;0,catpn_1_FHV_40&gt;0),(cattf_1_FHB_1*((dagenperjaar1*VLOOKUP(B14,dagsoorttabel1,2,FALSE))-catfd_1_FHV_40)/catpn_1_FHB_1+cattf_1_FHV_40*catfd_1_FHV_40/catpn_1_FHV_40)/(((dagenperjaar1*VLOOKUP(B14,dagsoorttabel1,2,FALSE))-catfd_1_FHV_40)/catpn_1_FHB_1+catfd_1_FHV_40/catpn_1_FHV_40),0)</f>
        <v>0</v>
      </c>
      <c r="K14" s="65">
        <f>IF(OR(ISBLANK(G14),G14=0),0,F14/ROUND(G14,4))</f>
        <v>0</v>
      </c>
      <c r="L14" s="56">
        <f>ROUND(J14,2)*K14</f>
        <v>0</v>
      </c>
      <c r="M14" s="65">
        <f>K14*dagenperjaar1</f>
        <v>0</v>
      </c>
      <c r="N14" s="56">
        <f>M14*ROUND(J14,2)</f>
        <v>0</v>
      </c>
    </row>
    <row r="15" spans="1:14" x14ac:dyDescent="0.2">
      <c r="A15" s="52" t="s">
        <v>181</v>
      </c>
      <c r="B15" s="52" t="s">
        <v>10</v>
      </c>
      <c r="C15" s="52" t="s">
        <v>171</v>
      </c>
      <c r="D15" s="52" t="s">
        <v>182</v>
      </c>
      <c r="E15" s="65">
        <v>4</v>
      </c>
      <c r="F15" s="65">
        <f>E15*VLOOKUP(B15,dagsoorttabel1,2,FALSE)</f>
        <v>4</v>
      </c>
      <c r="G15" s="66">
        <f>IF(AND(catpn_1_FHB_1&gt;0,catpn_1_FHV_51&gt;0),(dagenperjaar1*VLOOKUP(B15,dagsoorttabel1,2,FALSE))/(((dagenperjaar1*VLOOKUP(B15,dagsoorttabel1,2,FALSE))-catfd_1_FHV_51)/catpn_1_FHB_1+catfd_1_FHV_51/catpn_1_FHV_51),0)</f>
        <v>0</v>
      </c>
      <c r="H15" s="67">
        <f>IF(AND(catpn_1_FHB_1&gt;0,catpn_1_FHV_51&gt;0),(catdw_1_FHB_1*((dagenperjaar1-VLOOKUP(B15,dagsoorttabel1,2,FALSE))-catfd_1_FHV_51)/catpn_1_FHB_1+catdw_1_FHV_51*catfd_1_FHV_51/catpn_1_FHV_51)/(((dagenperjaar1-VLOOKUP(B15,dagsoorttabel1,2,FALSE))-catfd_1_FHV_51)/catpn_1_FHB_1+catfd_1_FHV_51/catpn_1_FHV_51),0)</f>
        <v>0</v>
      </c>
      <c r="I15" s="52" t="s">
        <v>98</v>
      </c>
      <c r="J15" s="56">
        <f>IF(AND(catpn_1_FHB_1&gt;0,catpn_1_FHV_51&gt;0),(cattf_1_FHB_1*((dagenperjaar1*VLOOKUP(B15,dagsoorttabel1,2,FALSE))-catfd_1_FHV_51)/catpn_1_FHB_1+cattf_1_FHV_51*catfd_1_FHV_51/catpn_1_FHV_51)/(((dagenperjaar1*VLOOKUP(B15,dagsoorttabel1,2,FALSE))-catfd_1_FHV_51)/catpn_1_FHB_1+catfd_1_FHV_51/catpn_1_FHV_51),0)</f>
        <v>0</v>
      </c>
      <c r="K15" s="65">
        <f>IF(OR(ISBLANK(G15),G15=0),0,F15/ROUND(G15,4))</f>
        <v>0</v>
      </c>
      <c r="L15" s="56">
        <f>ROUND(J15,2)*K15</f>
        <v>0</v>
      </c>
      <c r="M15" s="65">
        <f>K15*dagenperjaar1</f>
        <v>0</v>
      </c>
      <c r="N15" s="56">
        <f>M15*ROUND(J15,2)</f>
        <v>0</v>
      </c>
    </row>
    <row r="16" spans="1:14" x14ac:dyDescent="0.2">
      <c r="A16" s="52" t="s">
        <v>183</v>
      </c>
      <c r="B16" s="52" t="s">
        <v>19</v>
      </c>
      <c r="C16" s="52" t="s">
        <v>171</v>
      </c>
      <c r="D16" s="52" t="s">
        <v>184</v>
      </c>
      <c r="E16" s="65">
        <v>118.5</v>
      </c>
      <c r="F16" s="65">
        <f>E16*VLOOKUP(B16,dagsoorttabel1,2,FALSE)</f>
        <v>4.6470588235294121</v>
      </c>
      <c r="G16" s="66">
        <f>IF(AND(catpn_1_GHB_1&gt;0,catpn_1_GHV_10&gt;0),(dagenperjaar1*VLOOKUP(B16,dagsoorttabel1,2,FALSE))/(((dagenperjaar1*VLOOKUP(B16,dagsoorttabel1,2,FALSE))-catfd_1_GHV_10)/catpn_1_GHB_1+catfd_1_GHV_10/catpn_1_GHV_10),0)</f>
        <v>0</v>
      </c>
      <c r="H16" s="67">
        <f>IF(AND(catpn_1_GHB_1&gt;0,catpn_1_GHV_10&gt;0),(catdw_1_GHB_1*((dagenperjaar1-VLOOKUP(B16,dagsoorttabel1,2,FALSE))-catfd_1_GHV_10)/catpn_1_GHB_1+catdw_1_GHV_10*catfd_1_GHV_10/catpn_1_GHV_10)/(((dagenperjaar1-VLOOKUP(B16,dagsoorttabel1,2,FALSE))-catfd_1_GHV_10)/catpn_1_GHB_1+catfd_1_GHV_10/catpn_1_GHV_10),0)</f>
        <v>0</v>
      </c>
      <c r="I16" s="52" t="s">
        <v>98</v>
      </c>
      <c r="J16" s="56">
        <f>IF(AND(catpn_1_GHB_1&gt;0,catpn_1_GHV_10&gt;0),(cattf_1_GHB_1*((dagenperjaar1*VLOOKUP(B16,dagsoorttabel1,2,FALSE))-catfd_1_GHV_10)/catpn_1_GHB_1+cattf_1_GHV_10*catfd_1_GHV_10/catpn_1_GHV_10)/(((dagenperjaar1*VLOOKUP(B16,dagsoorttabel1,2,FALSE))-catfd_1_GHV_10)/catpn_1_GHB_1+catfd_1_GHV_10/catpn_1_GHV_10),0)</f>
        <v>0</v>
      </c>
      <c r="K16" s="65">
        <f>IF(OR(ISBLANK(G16),G16=0),0,F16/ROUND(G16,4))</f>
        <v>0</v>
      </c>
      <c r="L16" s="56">
        <f>ROUND(J16,2)*K16</f>
        <v>0</v>
      </c>
      <c r="M16" s="65">
        <f>K16*dagenperjaar1</f>
        <v>0</v>
      </c>
      <c r="N16" s="56">
        <f>M16*ROUND(J16,2)</f>
        <v>0</v>
      </c>
    </row>
    <row r="17" spans="1:14" x14ac:dyDescent="0.2">
      <c r="A17" s="52" t="s">
        <v>183</v>
      </c>
      <c r="B17" s="52" t="s">
        <v>12</v>
      </c>
      <c r="C17" s="52" t="s">
        <v>171</v>
      </c>
      <c r="D17" s="52" t="s">
        <v>184</v>
      </c>
      <c r="E17" s="65">
        <v>1887.1399999999999</v>
      </c>
      <c r="F17" s="65">
        <f>E17*VLOOKUP(B17,dagsoorttabel1,2,FALSE)</f>
        <v>1480.1098039215685</v>
      </c>
      <c r="G17" s="66">
        <f>IF(AND(catpn_1_GHB_1&gt;0,catpn_1_GHV_40&gt;0),(dagenperjaar1*VLOOKUP(B17,dagsoorttabel1,2,FALSE))/(((dagenperjaar1*VLOOKUP(B17,dagsoorttabel1,2,FALSE))-catfd_1_GHV_40)/catpn_1_GHB_1+catfd_1_GHV_40/catpn_1_GHV_40),0)</f>
        <v>0</v>
      </c>
      <c r="H17" s="67">
        <f>IF(AND(catpn_1_GHB_1&gt;0,catpn_1_GHV_40&gt;0),(catdw_1_GHB_1*((dagenperjaar1-VLOOKUP(B17,dagsoorttabel1,2,FALSE))-catfd_1_GHV_40)/catpn_1_GHB_1+catdw_1_GHV_40*catfd_1_GHV_40/catpn_1_GHV_40)/(((dagenperjaar1-VLOOKUP(B17,dagsoorttabel1,2,FALSE))-catfd_1_GHV_40)/catpn_1_GHB_1+catfd_1_GHV_40/catpn_1_GHV_40),0)</f>
        <v>0</v>
      </c>
      <c r="I17" s="52" t="s">
        <v>98</v>
      </c>
      <c r="J17" s="56">
        <f>IF(AND(catpn_1_GHB_1&gt;0,catpn_1_GHV_40&gt;0),(cattf_1_GHB_1*((dagenperjaar1*VLOOKUP(B17,dagsoorttabel1,2,FALSE))-catfd_1_GHV_40)/catpn_1_GHB_1+cattf_1_GHV_40*catfd_1_GHV_40/catpn_1_GHV_40)/(((dagenperjaar1*VLOOKUP(B17,dagsoorttabel1,2,FALSE))-catfd_1_GHV_40)/catpn_1_GHB_1+catfd_1_GHV_40/catpn_1_GHV_40),0)</f>
        <v>0</v>
      </c>
      <c r="K17" s="65">
        <f>IF(OR(ISBLANK(G17),G17=0),0,F17/ROUND(G17,4))</f>
        <v>0</v>
      </c>
      <c r="L17" s="56">
        <f>ROUND(J17,2)*K17</f>
        <v>0</v>
      </c>
      <c r="M17" s="65">
        <f>K17*dagenperjaar1</f>
        <v>0</v>
      </c>
      <c r="N17" s="56">
        <f>M17*ROUND(J17,2)</f>
        <v>0</v>
      </c>
    </row>
    <row r="18" spans="1:14" x14ac:dyDescent="0.2">
      <c r="A18" s="52" t="s">
        <v>183</v>
      </c>
      <c r="B18" s="52" t="s">
        <v>10</v>
      </c>
      <c r="C18" s="52" t="s">
        <v>171</v>
      </c>
      <c r="D18" s="52" t="s">
        <v>184</v>
      </c>
      <c r="E18" s="65">
        <v>253.29</v>
      </c>
      <c r="F18" s="65">
        <f>E18*VLOOKUP(B18,dagsoorttabel1,2,FALSE)</f>
        <v>253.29</v>
      </c>
      <c r="G18" s="66">
        <f>IF(AND(catpn_1_GHB_1&gt;0,catpn_1_GHV_51&gt;0),(dagenperjaar1*VLOOKUP(B18,dagsoorttabel1,2,FALSE))/(((dagenperjaar1*VLOOKUP(B18,dagsoorttabel1,2,FALSE))-catfd_1_GHV_51)/catpn_1_GHB_1+catfd_1_GHV_51/catpn_1_GHV_51),0)</f>
        <v>0</v>
      </c>
      <c r="H18" s="67">
        <f>IF(AND(catpn_1_GHB_1&gt;0,catpn_1_GHV_51&gt;0),(catdw_1_GHB_1*((dagenperjaar1-VLOOKUP(B18,dagsoorttabel1,2,FALSE))-catfd_1_GHV_51)/catpn_1_GHB_1+catdw_1_GHV_51*catfd_1_GHV_51/catpn_1_GHV_51)/(((dagenperjaar1-VLOOKUP(B18,dagsoorttabel1,2,FALSE))-catfd_1_GHV_51)/catpn_1_GHB_1+catfd_1_GHV_51/catpn_1_GHV_51),0)</f>
        <v>0</v>
      </c>
      <c r="I18" s="52" t="s">
        <v>98</v>
      </c>
      <c r="J18" s="56">
        <f>IF(AND(catpn_1_GHB_1&gt;0,catpn_1_GHV_51&gt;0),(cattf_1_GHB_1*((dagenperjaar1*VLOOKUP(B18,dagsoorttabel1,2,FALSE))-catfd_1_GHV_51)/catpn_1_GHB_1+cattf_1_GHV_51*catfd_1_GHV_51/catpn_1_GHV_51)/(((dagenperjaar1*VLOOKUP(B18,dagsoorttabel1,2,FALSE))-catfd_1_GHV_51)/catpn_1_GHB_1+catfd_1_GHV_51/catpn_1_GHV_51),0)</f>
        <v>0</v>
      </c>
      <c r="K18" s="65">
        <f>IF(OR(ISBLANK(G18),G18=0),0,F18/ROUND(G18,4))</f>
        <v>0</v>
      </c>
      <c r="L18" s="56">
        <f>ROUND(J18,2)*K18</f>
        <v>0</v>
      </c>
      <c r="M18" s="65">
        <f>K18*dagenperjaar1</f>
        <v>0</v>
      </c>
      <c r="N18" s="56">
        <f>M18*ROUND(J18,2)</f>
        <v>0</v>
      </c>
    </row>
    <row r="19" spans="1:14" x14ac:dyDescent="0.2">
      <c r="A19" s="52" t="s">
        <v>183</v>
      </c>
      <c r="B19" s="52" t="s">
        <v>16</v>
      </c>
      <c r="C19" s="52" t="s">
        <v>171</v>
      </c>
      <c r="D19" s="52" t="s">
        <v>184</v>
      </c>
      <c r="E19" s="65">
        <v>27.84</v>
      </c>
      <c r="F19" s="65">
        <f>E19*VLOOKUP(B19,dagsoorttabel1,2,FALSE)</f>
        <v>4.3670588235294119</v>
      </c>
      <c r="G19" s="66">
        <f>IF(AND(catpn_1_GHB_1&gt;0,catpn_1_GHV_40&gt;0),(dagenperjaar1*VLOOKUP(B19,dagsoorttabel1,2,FALSE))/(((dagenperjaar1*VLOOKUP(B19,dagsoorttabel1,2,FALSE))-catfd_1_GHV_40)/catpn_1_GHB_1+catfd_1_GHV_40/catpn_1_GHV_40),0)</f>
        <v>0</v>
      </c>
      <c r="H19" s="67">
        <f>IF(AND(catpn_1_GHB_1&gt;0,catpn_1_GHV_40&gt;0),(catdw_1_GHB_1*((dagenperjaar1-VLOOKUP(B19,dagsoorttabel1,2,FALSE))-catfd_1_GHV_40)/catpn_1_GHB_1+catdw_1_GHV_40*catfd_1_GHV_40/catpn_1_GHV_40)/(((dagenperjaar1-VLOOKUP(B19,dagsoorttabel1,2,FALSE))-catfd_1_GHV_40)/catpn_1_GHB_1+catfd_1_GHV_40/catpn_1_GHV_40),0)</f>
        <v>0</v>
      </c>
      <c r="I19" s="52" t="s">
        <v>98</v>
      </c>
      <c r="J19" s="56">
        <f>IF(AND(catpn_1_GHB_1&gt;0,catpn_1_GHV_40&gt;0),(cattf_1_GHB_1*((dagenperjaar1*VLOOKUP(B19,dagsoorttabel1,2,FALSE))-catfd_1_GHV_40)/catpn_1_GHB_1+cattf_1_GHV_40*catfd_1_GHV_40/catpn_1_GHV_40)/(((dagenperjaar1*VLOOKUP(B19,dagsoorttabel1,2,FALSE))-catfd_1_GHV_40)/catpn_1_GHB_1+catfd_1_GHV_40/catpn_1_GHV_40),0)</f>
        <v>0</v>
      </c>
      <c r="K19" s="65">
        <f>IF(OR(ISBLANK(G19),G19=0),0,F19/ROUND(G19,4))</f>
        <v>0</v>
      </c>
      <c r="L19" s="56">
        <f>ROUND(J19,2)*K19</f>
        <v>0</v>
      </c>
      <c r="M19" s="65">
        <f>K19*dagenperjaar1</f>
        <v>0</v>
      </c>
      <c r="N19" s="56">
        <f>M19*ROUND(J19,2)</f>
        <v>0</v>
      </c>
    </row>
    <row r="20" spans="1:14" x14ac:dyDescent="0.2">
      <c r="A20" s="52" t="s">
        <v>185</v>
      </c>
      <c r="B20" s="52" t="s">
        <v>10</v>
      </c>
      <c r="C20" s="52" t="s">
        <v>171</v>
      </c>
      <c r="D20" s="52" t="s">
        <v>186</v>
      </c>
      <c r="E20" s="65">
        <v>194.06</v>
      </c>
      <c r="F20" s="65">
        <f>E20*VLOOKUP(B20,dagsoorttabel1,2,FALSE)</f>
        <v>194.06</v>
      </c>
      <c r="G20" s="66">
        <f>IF(AND(catpn_1_HHB_1&gt;0,catpn_1_HHV_51&gt;0),(dagenperjaar1*VLOOKUP(B20,dagsoorttabel1,2,FALSE))/(((dagenperjaar1*VLOOKUP(B20,dagsoorttabel1,2,FALSE))-catfd_1_HHV_51)/catpn_1_HHB_1+catfd_1_HHV_51/catpn_1_HHV_51),0)</f>
        <v>0</v>
      </c>
      <c r="H20" s="67">
        <f>IF(AND(catpn_1_HHB_1&gt;0,catpn_1_HHV_51&gt;0),(catdw_1_HHB_1*((dagenperjaar1-VLOOKUP(B20,dagsoorttabel1,2,FALSE))-catfd_1_HHV_51)/catpn_1_HHB_1+catdw_1_HHV_51*catfd_1_HHV_51/catpn_1_HHV_51)/(((dagenperjaar1-VLOOKUP(B20,dagsoorttabel1,2,FALSE))-catfd_1_HHV_51)/catpn_1_HHB_1+catfd_1_HHV_51/catpn_1_HHV_51),0)</f>
        <v>0</v>
      </c>
      <c r="I20" s="52" t="s">
        <v>98</v>
      </c>
      <c r="J20" s="56">
        <f>IF(AND(catpn_1_HHB_1&gt;0,catpn_1_HHV_51&gt;0),(cattf_1_HHB_1*((dagenperjaar1*VLOOKUP(B20,dagsoorttabel1,2,FALSE))-catfd_1_HHV_51)/catpn_1_HHB_1+cattf_1_HHV_51*catfd_1_HHV_51/catpn_1_HHV_51)/(((dagenperjaar1*VLOOKUP(B20,dagsoorttabel1,2,FALSE))-catfd_1_HHV_51)/catpn_1_HHB_1+catfd_1_HHV_51/catpn_1_HHV_51),0)</f>
        <v>0</v>
      </c>
      <c r="K20" s="65">
        <f>IF(OR(ISBLANK(G20),G20=0),0,F20/ROUND(G20,4))</f>
        <v>0</v>
      </c>
      <c r="L20" s="56">
        <f>ROUND(J20,2)*K20</f>
        <v>0</v>
      </c>
      <c r="M20" s="65">
        <f>K20*dagenperjaar1</f>
        <v>0</v>
      </c>
      <c r="N20" s="56">
        <f>M20*ROUND(J20,2)</f>
        <v>0</v>
      </c>
    </row>
    <row r="21" spans="1:14" x14ac:dyDescent="0.2">
      <c r="A21" s="52" t="s">
        <v>187</v>
      </c>
      <c r="B21" s="52" t="s">
        <v>12</v>
      </c>
      <c r="C21" s="52" t="s">
        <v>171</v>
      </c>
      <c r="D21" s="52" t="s">
        <v>188</v>
      </c>
      <c r="E21" s="65">
        <v>441.29</v>
      </c>
      <c r="F21" s="65">
        <f>E21*VLOOKUP(B21,dagsoorttabel1,2,FALSE)</f>
        <v>346.10980392156864</v>
      </c>
      <c r="G21" s="66">
        <f>IF(AND(catpn_1_KLHB_1&gt;0,catpn_1_KLHV_40&gt;0),(dagenperjaar1*VLOOKUP(B21,dagsoorttabel1,2,FALSE))/(((dagenperjaar1*VLOOKUP(B21,dagsoorttabel1,2,FALSE))-catfd_1_KLHV_40)/catpn_1_KLHB_1+catfd_1_KLHV_40/catpn_1_KLHV_40),0)</f>
        <v>0</v>
      </c>
      <c r="H21" s="67">
        <f>IF(AND(catpn_1_KLHB_1&gt;0,catpn_1_KLHV_40&gt;0),(catdw_1_KLHB_1*((dagenperjaar1-VLOOKUP(B21,dagsoorttabel1,2,FALSE))-catfd_1_KLHV_40)/catpn_1_KLHB_1+catdw_1_KLHV_40*catfd_1_KLHV_40/catpn_1_KLHV_40)/(((dagenperjaar1-VLOOKUP(B21,dagsoorttabel1,2,FALSE))-catfd_1_KLHV_40)/catpn_1_KLHB_1+catfd_1_KLHV_40/catpn_1_KLHV_40),0)</f>
        <v>0</v>
      </c>
      <c r="I21" s="52" t="s">
        <v>98</v>
      </c>
      <c r="J21" s="56">
        <f>IF(AND(catpn_1_KLHB_1&gt;0,catpn_1_KLHV_40&gt;0),(cattf_1_KLHB_1*((dagenperjaar1*VLOOKUP(B21,dagsoorttabel1,2,FALSE))-catfd_1_KLHV_40)/catpn_1_KLHB_1+cattf_1_KLHV_40*catfd_1_KLHV_40/catpn_1_KLHV_40)/(((dagenperjaar1*VLOOKUP(B21,dagsoorttabel1,2,FALSE))-catfd_1_KLHV_40)/catpn_1_KLHB_1+catfd_1_KLHV_40/catpn_1_KLHV_40),0)</f>
        <v>0</v>
      </c>
      <c r="K21" s="65">
        <f>IF(OR(ISBLANK(G21),G21=0),0,F21/ROUND(G21,4))</f>
        <v>0</v>
      </c>
      <c r="L21" s="56">
        <f>ROUND(J21,2)*K21</f>
        <v>0</v>
      </c>
      <c r="M21" s="65">
        <f>K21*dagenperjaar1</f>
        <v>0</v>
      </c>
      <c r="N21" s="56">
        <f>M21*ROUND(J21,2)</f>
        <v>0</v>
      </c>
    </row>
    <row r="22" spans="1:14" x14ac:dyDescent="0.2">
      <c r="A22" s="52" t="s">
        <v>187</v>
      </c>
      <c r="B22" s="52" t="s">
        <v>10</v>
      </c>
      <c r="C22" s="52" t="s">
        <v>171</v>
      </c>
      <c r="D22" s="52" t="s">
        <v>188</v>
      </c>
      <c r="E22" s="65">
        <v>77.17</v>
      </c>
      <c r="F22" s="65">
        <f>E22*VLOOKUP(B22,dagsoorttabel1,2,FALSE)</f>
        <v>77.17</v>
      </c>
      <c r="G22" s="66">
        <f>IF(AND(catpn_1_KLHB_1&gt;0,catpn_1_KLHV_51&gt;0),(dagenperjaar1*VLOOKUP(B22,dagsoorttabel1,2,FALSE))/(((dagenperjaar1*VLOOKUP(B22,dagsoorttabel1,2,FALSE))-catfd_1_KLHV_51)/catpn_1_KLHB_1+catfd_1_KLHV_51/catpn_1_KLHV_51),0)</f>
        <v>0</v>
      </c>
      <c r="H22" s="67">
        <f>IF(AND(catpn_1_KLHB_1&gt;0,catpn_1_KLHV_51&gt;0),(catdw_1_KLHB_1*((dagenperjaar1-VLOOKUP(B22,dagsoorttabel1,2,FALSE))-catfd_1_KLHV_51)/catpn_1_KLHB_1+catdw_1_KLHV_51*catfd_1_KLHV_51/catpn_1_KLHV_51)/(((dagenperjaar1-VLOOKUP(B22,dagsoorttabel1,2,FALSE))-catfd_1_KLHV_51)/catpn_1_KLHB_1+catfd_1_KLHV_51/catpn_1_KLHV_51),0)</f>
        <v>0</v>
      </c>
      <c r="I22" s="52" t="s">
        <v>98</v>
      </c>
      <c r="J22" s="56">
        <f>IF(AND(catpn_1_KLHB_1&gt;0,catpn_1_KLHV_51&gt;0),(cattf_1_KLHB_1*((dagenperjaar1*VLOOKUP(B22,dagsoorttabel1,2,FALSE))-catfd_1_KLHV_51)/catpn_1_KLHB_1+cattf_1_KLHV_51*catfd_1_KLHV_51/catpn_1_KLHV_51)/(((dagenperjaar1*VLOOKUP(B22,dagsoorttabel1,2,FALSE))-catfd_1_KLHV_51)/catpn_1_KLHB_1+catfd_1_KLHV_51/catpn_1_KLHV_51),0)</f>
        <v>0</v>
      </c>
      <c r="K22" s="65">
        <f>IF(OR(ISBLANK(G22),G22=0),0,F22/ROUND(G22,4))</f>
        <v>0</v>
      </c>
      <c r="L22" s="56">
        <f>ROUND(J22,2)*K22</f>
        <v>0</v>
      </c>
      <c r="M22" s="65">
        <f>K22*dagenperjaar1</f>
        <v>0</v>
      </c>
      <c r="N22" s="56">
        <f>M22*ROUND(J22,2)</f>
        <v>0</v>
      </c>
    </row>
    <row r="23" spans="1:14" x14ac:dyDescent="0.2">
      <c r="A23" s="52" t="s">
        <v>189</v>
      </c>
      <c r="B23" s="52" t="s">
        <v>10</v>
      </c>
      <c r="C23" s="52" t="s">
        <v>171</v>
      </c>
      <c r="D23" s="52" t="s">
        <v>190</v>
      </c>
      <c r="E23" s="65">
        <v>24.35</v>
      </c>
      <c r="F23" s="65">
        <f>E23*VLOOKUP(B23,dagsoorttabel1,2,FALSE)</f>
        <v>24.35</v>
      </c>
      <c r="G23" s="66">
        <f>IF(AND(catpn_1_OHB_1&gt;0,catpn_1_OHV_51&gt;0),(dagenperjaar1*VLOOKUP(B23,dagsoorttabel1,2,FALSE))/(((dagenperjaar1*VLOOKUP(B23,dagsoorttabel1,2,FALSE))-catfd_1_OHV_51)/catpn_1_OHB_1+catfd_1_OHV_51/catpn_1_OHV_51),0)</f>
        <v>0</v>
      </c>
      <c r="H23" s="67">
        <f>IF(AND(catpn_1_OHB_1&gt;0,catpn_1_OHV_51&gt;0),(catdw_1_OHB_1*((dagenperjaar1-VLOOKUP(B23,dagsoorttabel1,2,FALSE))-catfd_1_OHV_51)/catpn_1_OHB_1+catdw_1_OHV_51*catfd_1_OHV_51/catpn_1_OHV_51)/(((dagenperjaar1-VLOOKUP(B23,dagsoorttabel1,2,FALSE))-catfd_1_OHV_51)/catpn_1_OHB_1+catfd_1_OHV_51/catpn_1_OHV_51),0)</f>
        <v>0</v>
      </c>
      <c r="I23" s="52" t="s">
        <v>98</v>
      </c>
      <c r="J23" s="56">
        <f>IF(AND(catpn_1_OHB_1&gt;0,catpn_1_OHV_51&gt;0),(cattf_1_OHB_1*((dagenperjaar1*VLOOKUP(B23,dagsoorttabel1,2,FALSE))-catfd_1_OHV_51)/catpn_1_OHB_1+cattf_1_OHV_51*catfd_1_OHV_51/catpn_1_OHV_51)/(((dagenperjaar1*VLOOKUP(B23,dagsoorttabel1,2,FALSE))-catfd_1_OHV_51)/catpn_1_OHB_1+catfd_1_OHV_51/catpn_1_OHV_51),0)</f>
        <v>0</v>
      </c>
      <c r="K23" s="65">
        <f>IF(OR(ISBLANK(G23),G23=0),0,F23/ROUND(G23,4))</f>
        <v>0</v>
      </c>
      <c r="L23" s="56">
        <f>ROUND(J23,2)*K23</f>
        <v>0</v>
      </c>
      <c r="M23" s="65">
        <f>K23*dagenperjaar1</f>
        <v>0</v>
      </c>
      <c r="N23" s="56">
        <f>M23*ROUND(J23,2)</f>
        <v>0</v>
      </c>
    </row>
    <row r="24" spans="1:14" x14ac:dyDescent="0.2">
      <c r="A24" s="52" t="s">
        <v>191</v>
      </c>
      <c r="B24" s="52" t="s">
        <v>10</v>
      </c>
      <c r="C24" s="52" t="s">
        <v>171</v>
      </c>
      <c r="D24" s="52" t="s">
        <v>192</v>
      </c>
      <c r="E24" s="65">
        <v>40.36</v>
      </c>
      <c r="F24" s="65">
        <f>E24*VLOOKUP(B24,dagsoorttabel1,2,FALSE)</f>
        <v>40.36</v>
      </c>
      <c r="G24" s="66">
        <f>IF(AND(catpn_1_PHB_1&gt;0,catpn_1_PHV_51&gt;0),(dagenperjaar1*VLOOKUP(B24,dagsoorttabel1,2,FALSE))/(((dagenperjaar1*VLOOKUP(B24,dagsoorttabel1,2,FALSE))-catfd_1_PHV_51)/catpn_1_PHB_1+catfd_1_PHV_51/catpn_1_PHV_51),0)</f>
        <v>0</v>
      </c>
      <c r="H24" s="67">
        <f>IF(AND(catpn_1_PHB_1&gt;0,catpn_1_PHV_51&gt;0),(catdw_1_PHB_1*((dagenperjaar1-VLOOKUP(B24,dagsoorttabel1,2,FALSE))-catfd_1_PHV_51)/catpn_1_PHB_1+catdw_1_PHV_51*catfd_1_PHV_51/catpn_1_PHV_51)/(((dagenperjaar1-VLOOKUP(B24,dagsoorttabel1,2,FALSE))-catfd_1_PHV_51)/catpn_1_PHB_1+catfd_1_PHV_51/catpn_1_PHV_51),0)</f>
        <v>0</v>
      </c>
      <c r="I24" s="52" t="s">
        <v>98</v>
      </c>
      <c r="J24" s="56">
        <f>IF(AND(catpn_1_PHB_1&gt;0,catpn_1_PHV_51&gt;0),(cattf_1_PHB_1*((dagenperjaar1*VLOOKUP(B24,dagsoorttabel1,2,FALSE))-catfd_1_PHV_51)/catpn_1_PHB_1+cattf_1_PHV_51*catfd_1_PHV_51/catpn_1_PHV_51)/(((dagenperjaar1*VLOOKUP(B24,dagsoorttabel1,2,FALSE))-catfd_1_PHV_51)/catpn_1_PHB_1+catfd_1_PHV_51/catpn_1_PHV_51),0)</f>
        <v>0</v>
      </c>
      <c r="K24" s="65">
        <f>IF(OR(ISBLANK(G24),G24=0),0,F24/ROUND(G24,4))</f>
        <v>0</v>
      </c>
      <c r="L24" s="56">
        <f>ROUND(J24,2)*K24</f>
        <v>0</v>
      </c>
      <c r="M24" s="65">
        <f>K24*dagenperjaar1</f>
        <v>0</v>
      </c>
      <c r="N24" s="56">
        <f>M24*ROUND(J24,2)</f>
        <v>0</v>
      </c>
    </row>
    <row r="25" spans="1:14" x14ac:dyDescent="0.2">
      <c r="A25" s="52" t="s">
        <v>193</v>
      </c>
      <c r="B25" s="52" t="s">
        <v>10</v>
      </c>
      <c r="C25" s="52" t="s">
        <v>171</v>
      </c>
      <c r="D25" s="52" t="s">
        <v>194</v>
      </c>
      <c r="E25" s="65">
        <v>67.490000000000009</v>
      </c>
      <c r="F25" s="65">
        <f>E25*VLOOKUP(B25,dagsoorttabel1,2,FALSE)</f>
        <v>67.490000000000009</v>
      </c>
      <c r="G25" s="66">
        <f>IF(AND(catpn_1_RHB_1&gt;0,catpn_1_RHV_51&gt;0),(dagenperjaar1*VLOOKUP(B25,dagsoorttabel1,2,FALSE))/(((dagenperjaar1*VLOOKUP(B25,dagsoorttabel1,2,FALSE))-catfd_1_RHV_51)/catpn_1_RHB_1+catfd_1_RHV_51/catpn_1_RHV_51),0)</f>
        <v>0</v>
      </c>
      <c r="H25" s="67">
        <f>IF(AND(catpn_1_RHB_1&gt;0,catpn_1_RHV_51&gt;0),(catdw_1_RHB_1*((dagenperjaar1-VLOOKUP(B25,dagsoorttabel1,2,FALSE))-catfd_1_RHV_51)/catpn_1_RHB_1+catdw_1_RHV_51*catfd_1_RHV_51/catpn_1_RHV_51)/(((dagenperjaar1-VLOOKUP(B25,dagsoorttabel1,2,FALSE))-catfd_1_RHV_51)/catpn_1_RHB_1+catfd_1_RHV_51/catpn_1_RHV_51),0)</f>
        <v>0</v>
      </c>
      <c r="I25" s="52" t="s">
        <v>98</v>
      </c>
      <c r="J25" s="56">
        <f>IF(AND(catpn_1_RHB_1&gt;0,catpn_1_RHV_51&gt;0),(cattf_1_RHB_1*((dagenperjaar1*VLOOKUP(B25,dagsoorttabel1,2,FALSE))-catfd_1_RHV_51)/catpn_1_RHB_1+cattf_1_RHV_51*catfd_1_RHV_51/catpn_1_RHV_51)/(((dagenperjaar1*VLOOKUP(B25,dagsoorttabel1,2,FALSE))-catfd_1_RHV_51)/catpn_1_RHB_1+catfd_1_RHV_51/catpn_1_RHV_51),0)</f>
        <v>0</v>
      </c>
      <c r="K25" s="65">
        <f>IF(OR(ISBLANK(G25),G25=0),0,F25/ROUND(G25,4))</f>
        <v>0</v>
      </c>
      <c r="L25" s="56">
        <f>ROUND(J25,2)*K25</f>
        <v>0</v>
      </c>
      <c r="M25" s="65">
        <f>K25*dagenperjaar1</f>
        <v>0</v>
      </c>
      <c r="N25" s="56">
        <f>M25*ROUND(J25,2)</f>
        <v>0</v>
      </c>
    </row>
    <row r="26" spans="1:14" x14ac:dyDescent="0.2">
      <c r="A26" s="52" t="s">
        <v>195</v>
      </c>
      <c r="B26" s="52" t="s">
        <v>12</v>
      </c>
      <c r="C26" s="52" t="s">
        <v>171</v>
      </c>
      <c r="D26" s="52" t="s">
        <v>196</v>
      </c>
      <c r="E26" s="65">
        <v>53.42</v>
      </c>
      <c r="F26" s="65">
        <f>E26*VLOOKUP(B26,dagsoorttabel1,2,FALSE)</f>
        <v>41.898039215686275</v>
      </c>
      <c r="G26" s="66">
        <f>IF(AND(catpn_1_SHB_1&gt;0,catpn_1_SHV_40&gt;0),(dagenperjaar1*VLOOKUP(B26,dagsoorttabel1,2,FALSE))/(((dagenperjaar1*VLOOKUP(B26,dagsoorttabel1,2,FALSE))-catfd_1_SHV_40)/catpn_1_SHB_1+catfd_1_SHV_40/catpn_1_SHV_40),0)</f>
        <v>0</v>
      </c>
      <c r="H26" s="67">
        <f>IF(AND(catpn_1_SHB_1&gt;0,catpn_1_SHV_40&gt;0),(catdw_1_SHB_1*((dagenperjaar1-VLOOKUP(B26,dagsoorttabel1,2,FALSE))-catfd_1_SHV_40)/catpn_1_SHB_1+catdw_1_SHV_40*catfd_1_SHV_40/catpn_1_SHV_40)/(((dagenperjaar1-VLOOKUP(B26,dagsoorttabel1,2,FALSE))-catfd_1_SHV_40)/catpn_1_SHB_1+catfd_1_SHV_40/catpn_1_SHV_40),0)</f>
        <v>0</v>
      </c>
      <c r="I26" s="52" t="s">
        <v>98</v>
      </c>
      <c r="J26" s="56">
        <f>IF(AND(catpn_1_SHB_1&gt;0,catpn_1_SHV_40&gt;0),(cattf_1_SHB_1*((dagenperjaar1*VLOOKUP(B26,dagsoorttabel1,2,FALSE))-catfd_1_SHV_40)/catpn_1_SHB_1+cattf_1_SHV_40*catfd_1_SHV_40/catpn_1_SHV_40)/(((dagenperjaar1*VLOOKUP(B26,dagsoorttabel1,2,FALSE))-catfd_1_SHV_40)/catpn_1_SHB_1+catfd_1_SHV_40/catpn_1_SHV_40),0)</f>
        <v>0</v>
      </c>
      <c r="K26" s="65">
        <f>IF(OR(ISBLANK(G26),G26=0),0,F26/ROUND(G26,4))</f>
        <v>0</v>
      </c>
      <c r="L26" s="56">
        <f>ROUND(J26,2)*K26</f>
        <v>0</v>
      </c>
      <c r="M26" s="65">
        <f>K26*dagenperjaar1</f>
        <v>0</v>
      </c>
      <c r="N26" s="56">
        <f>M26*ROUND(J26,2)</f>
        <v>0</v>
      </c>
    </row>
    <row r="27" spans="1:14" x14ac:dyDescent="0.2">
      <c r="A27" s="52" t="s">
        <v>195</v>
      </c>
      <c r="B27" s="52" t="s">
        <v>10</v>
      </c>
      <c r="C27" s="52" t="s">
        <v>171</v>
      </c>
      <c r="D27" s="52" t="s">
        <v>196</v>
      </c>
      <c r="E27" s="65">
        <v>34.359999999999992</v>
      </c>
      <c r="F27" s="65">
        <f>E27*VLOOKUP(B27,dagsoorttabel1,2,FALSE)</f>
        <v>34.359999999999992</v>
      </c>
      <c r="G27" s="66">
        <f>IF(AND(catpn_1_SHB_1&gt;0,catpn_1_SHV_51&gt;0),(dagenperjaar1*VLOOKUP(B27,dagsoorttabel1,2,FALSE))/(((dagenperjaar1*VLOOKUP(B27,dagsoorttabel1,2,FALSE))-catfd_1_SHV_51)/catpn_1_SHB_1+catfd_1_SHV_51/catpn_1_SHV_51),0)</f>
        <v>0</v>
      </c>
      <c r="H27" s="67">
        <f>IF(AND(catpn_1_SHB_1&gt;0,catpn_1_SHV_51&gt;0),(catdw_1_SHB_1*((dagenperjaar1-VLOOKUP(B27,dagsoorttabel1,2,FALSE))-catfd_1_SHV_51)/catpn_1_SHB_1+catdw_1_SHV_51*catfd_1_SHV_51/catpn_1_SHV_51)/(((dagenperjaar1-VLOOKUP(B27,dagsoorttabel1,2,FALSE))-catfd_1_SHV_51)/catpn_1_SHB_1+catfd_1_SHV_51/catpn_1_SHV_51),0)</f>
        <v>0</v>
      </c>
      <c r="I27" s="52" t="s">
        <v>98</v>
      </c>
      <c r="J27" s="56">
        <f>IF(AND(catpn_1_SHB_1&gt;0,catpn_1_SHV_51&gt;0),(cattf_1_SHB_1*((dagenperjaar1*VLOOKUP(B27,dagsoorttabel1,2,FALSE))-catfd_1_SHV_51)/catpn_1_SHB_1+cattf_1_SHV_51*catfd_1_SHV_51/catpn_1_SHV_51)/(((dagenperjaar1*VLOOKUP(B27,dagsoorttabel1,2,FALSE))-catfd_1_SHV_51)/catpn_1_SHB_1+catfd_1_SHV_51/catpn_1_SHV_51),0)</f>
        <v>0</v>
      </c>
      <c r="K27" s="65">
        <f>IF(OR(ISBLANK(G27),G27=0),0,F27/ROUND(G27,4))</f>
        <v>0</v>
      </c>
      <c r="L27" s="56">
        <f>ROUND(J27,2)*K27</f>
        <v>0</v>
      </c>
      <c r="M27" s="65">
        <f>K27*dagenperjaar1</f>
        <v>0</v>
      </c>
      <c r="N27" s="56">
        <f>M27*ROUND(J27,2)</f>
        <v>0</v>
      </c>
    </row>
    <row r="28" spans="1:14" x14ac:dyDescent="0.2">
      <c r="A28" s="52" t="s">
        <v>197</v>
      </c>
      <c r="B28" s="52" t="s">
        <v>12</v>
      </c>
      <c r="C28" s="52" t="s">
        <v>171</v>
      </c>
      <c r="D28" s="52" t="s">
        <v>198</v>
      </c>
      <c r="E28" s="65">
        <v>8.0399999999999991</v>
      </c>
      <c r="F28" s="65">
        <f>E28*VLOOKUP(B28,dagsoorttabel1,2,FALSE)</f>
        <v>6.3058823529411754</v>
      </c>
      <c r="G28" s="66">
        <f>IF(AND(catpn_1_THB_1&gt;0,catpn_1_THV_40&gt;0),(dagenperjaar1*VLOOKUP(B28,dagsoorttabel1,2,FALSE))/(((dagenperjaar1*VLOOKUP(B28,dagsoorttabel1,2,FALSE))-catfd_1_THV_40)/catpn_1_THB_1+catfd_1_THV_40/catpn_1_THV_40),0)</f>
        <v>0</v>
      </c>
      <c r="H28" s="67">
        <f>IF(AND(catpn_1_THB_1&gt;0,catpn_1_THV_40&gt;0),(catdw_1_THB_1*((dagenperjaar1-VLOOKUP(B28,dagsoorttabel1,2,FALSE))-catfd_1_THV_40)/catpn_1_THB_1+catdw_1_THV_40*catfd_1_THV_40/catpn_1_THV_40)/(((dagenperjaar1-VLOOKUP(B28,dagsoorttabel1,2,FALSE))-catfd_1_THV_40)/catpn_1_THB_1+catfd_1_THV_40/catpn_1_THV_40),0)</f>
        <v>0</v>
      </c>
      <c r="I28" s="52" t="s">
        <v>98</v>
      </c>
      <c r="J28" s="56">
        <f>IF(AND(catpn_1_THB_1&gt;0,catpn_1_THV_40&gt;0),(cattf_1_THB_1*((dagenperjaar1*VLOOKUP(B28,dagsoorttabel1,2,FALSE))-catfd_1_THV_40)/catpn_1_THB_1+cattf_1_THV_40*catfd_1_THV_40/catpn_1_THV_40)/(((dagenperjaar1*VLOOKUP(B28,dagsoorttabel1,2,FALSE))-catfd_1_THV_40)/catpn_1_THB_1+catfd_1_THV_40/catpn_1_THV_40),0)</f>
        <v>0</v>
      </c>
      <c r="K28" s="65">
        <f>IF(OR(ISBLANK(G28),G28=0),0,F28/ROUND(G28,4))</f>
        <v>0</v>
      </c>
      <c r="L28" s="56">
        <f>ROUND(J28,2)*K28</f>
        <v>0</v>
      </c>
      <c r="M28" s="65">
        <f>K28*dagenperjaar1</f>
        <v>0</v>
      </c>
      <c r="N28" s="56">
        <f>M28*ROUND(J28,2)</f>
        <v>0</v>
      </c>
    </row>
    <row r="29" spans="1:14" x14ac:dyDescent="0.2">
      <c r="A29" s="52" t="s">
        <v>197</v>
      </c>
      <c r="B29" s="52" t="s">
        <v>10</v>
      </c>
      <c r="C29" s="52" t="s">
        <v>171</v>
      </c>
      <c r="D29" s="52" t="s">
        <v>198</v>
      </c>
      <c r="E29" s="65">
        <v>20</v>
      </c>
      <c r="F29" s="65">
        <f>E29*VLOOKUP(B29,dagsoorttabel1,2,FALSE)</f>
        <v>20</v>
      </c>
      <c r="G29" s="66">
        <f>IF(AND(catpn_1_THB_1&gt;0,catpn_1_THV_51&gt;0),(dagenperjaar1*VLOOKUP(B29,dagsoorttabel1,2,FALSE))/(((dagenperjaar1*VLOOKUP(B29,dagsoorttabel1,2,FALSE))-catfd_1_THV_51)/catpn_1_THB_1+catfd_1_THV_51/catpn_1_THV_51),0)</f>
        <v>0</v>
      </c>
      <c r="H29" s="67">
        <f>IF(AND(catpn_1_THB_1&gt;0,catpn_1_THV_51&gt;0),(catdw_1_THB_1*((dagenperjaar1-VLOOKUP(B29,dagsoorttabel1,2,FALSE))-catfd_1_THV_51)/catpn_1_THB_1+catdw_1_THV_51*catfd_1_THV_51/catpn_1_THV_51)/(((dagenperjaar1-VLOOKUP(B29,dagsoorttabel1,2,FALSE))-catfd_1_THV_51)/catpn_1_THB_1+catfd_1_THV_51/catpn_1_THV_51),0)</f>
        <v>0</v>
      </c>
      <c r="I29" s="52" t="s">
        <v>98</v>
      </c>
      <c r="J29" s="56">
        <f>IF(AND(catpn_1_THB_1&gt;0,catpn_1_THV_51&gt;0),(cattf_1_THB_1*((dagenperjaar1*VLOOKUP(B29,dagsoorttabel1,2,FALSE))-catfd_1_THV_51)/catpn_1_THB_1+cattf_1_THV_51*catfd_1_THV_51/catpn_1_THV_51)/(((dagenperjaar1*VLOOKUP(B29,dagsoorttabel1,2,FALSE))-catfd_1_THV_51)/catpn_1_THB_1+catfd_1_THV_51/catpn_1_THV_51),0)</f>
        <v>0</v>
      </c>
      <c r="K29" s="65">
        <f>IF(OR(ISBLANK(G29),G29=0),0,F29/ROUND(G29,4))</f>
        <v>0</v>
      </c>
      <c r="L29" s="56">
        <f>ROUND(J29,2)*K29</f>
        <v>0</v>
      </c>
      <c r="M29" s="65">
        <f>K29*dagenperjaar1</f>
        <v>0</v>
      </c>
      <c r="N29" s="56">
        <f>M29*ROUND(J29,2)</f>
        <v>0</v>
      </c>
    </row>
    <row r="30" spans="1:14" x14ac:dyDescent="0.2">
      <c r="A30" s="52" t="s">
        <v>199</v>
      </c>
      <c r="B30" s="52" t="s">
        <v>12</v>
      </c>
      <c r="C30" s="52" t="s">
        <v>171</v>
      </c>
      <c r="D30" s="52" t="s">
        <v>200</v>
      </c>
      <c r="E30" s="65">
        <v>209.63</v>
      </c>
      <c r="F30" s="65">
        <f>E30*VLOOKUP(B30,dagsoorttabel1,2,FALSE)</f>
        <v>164.4156862745098</v>
      </c>
      <c r="G30" s="66">
        <f>IF(AND(catpn_1_VHB_1&gt;0,catpn_1_VHV_40&gt;0),(dagenperjaar1*VLOOKUP(B30,dagsoorttabel1,2,FALSE))/(((dagenperjaar1*VLOOKUP(B30,dagsoorttabel1,2,FALSE))-catfd_1_VHV_40)/catpn_1_VHB_1+catfd_1_VHV_40/catpn_1_VHV_40),0)</f>
        <v>0</v>
      </c>
      <c r="H30" s="67">
        <f>IF(AND(catpn_1_VHB_1&gt;0,catpn_1_VHV_40&gt;0),(catdw_1_VHB_1*((dagenperjaar1-VLOOKUP(B30,dagsoorttabel1,2,FALSE))-catfd_1_VHV_40)/catpn_1_VHB_1+catdw_1_VHV_40*catfd_1_VHV_40/catpn_1_VHV_40)/(((dagenperjaar1-VLOOKUP(B30,dagsoorttabel1,2,FALSE))-catfd_1_VHV_40)/catpn_1_VHB_1+catfd_1_VHV_40/catpn_1_VHV_40),0)</f>
        <v>0</v>
      </c>
      <c r="I30" s="52" t="s">
        <v>98</v>
      </c>
      <c r="J30" s="56">
        <f>IF(AND(catpn_1_VHB_1&gt;0,catpn_1_VHV_40&gt;0),(cattf_1_VHB_1*((dagenperjaar1*VLOOKUP(B30,dagsoorttabel1,2,FALSE))-catfd_1_VHV_40)/catpn_1_VHB_1+cattf_1_VHV_40*catfd_1_VHV_40/catpn_1_VHV_40)/(((dagenperjaar1*VLOOKUP(B30,dagsoorttabel1,2,FALSE))-catfd_1_VHV_40)/catpn_1_VHB_1+catfd_1_VHV_40/catpn_1_VHV_40),0)</f>
        <v>0</v>
      </c>
      <c r="K30" s="65">
        <f>IF(OR(ISBLANK(G30),G30=0),0,F30/ROUND(G30,4))</f>
        <v>0</v>
      </c>
      <c r="L30" s="56">
        <f>ROUND(J30,2)*K30</f>
        <v>0</v>
      </c>
      <c r="M30" s="65">
        <f>K30*dagenperjaar1</f>
        <v>0</v>
      </c>
      <c r="N30" s="56">
        <f>M30*ROUND(J30,2)</f>
        <v>0</v>
      </c>
    </row>
    <row r="31" spans="1:14" x14ac:dyDescent="0.2">
      <c r="A31" s="52" t="s">
        <v>199</v>
      </c>
      <c r="B31" s="52" t="s">
        <v>10</v>
      </c>
      <c r="C31" s="52" t="s">
        <v>171</v>
      </c>
      <c r="D31" s="52" t="s">
        <v>200</v>
      </c>
      <c r="E31" s="65">
        <v>54.16</v>
      </c>
      <c r="F31" s="65">
        <f>E31*VLOOKUP(B31,dagsoorttabel1,2,FALSE)</f>
        <v>54.16</v>
      </c>
      <c r="G31" s="66">
        <f>IF(AND(catpn_1_VHB_1&gt;0,catpn_1_VHV_51&gt;0),(dagenperjaar1*VLOOKUP(B31,dagsoorttabel1,2,FALSE))/(((dagenperjaar1*VLOOKUP(B31,dagsoorttabel1,2,FALSE))-catfd_1_VHV_51)/catpn_1_VHB_1+catfd_1_VHV_51/catpn_1_VHV_51),0)</f>
        <v>0</v>
      </c>
      <c r="H31" s="67">
        <f>IF(AND(catpn_1_VHB_1&gt;0,catpn_1_VHV_51&gt;0),(catdw_1_VHB_1*((dagenperjaar1-VLOOKUP(B31,dagsoorttabel1,2,FALSE))-catfd_1_VHV_51)/catpn_1_VHB_1+catdw_1_VHV_51*catfd_1_VHV_51/catpn_1_VHV_51)/(((dagenperjaar1-VLOOKUP(B31,dagsoorttabel1,2,FALSE))-catfd_1_VHV_51)/catpn_1_VHB_1+catfd_1_VHV_51/catpn_1_VHV_51),0)</f>
        <v>0</v>
      </c>
      <c r="I31" s="52" t="s">
        <v>98</v>
      </c>
      <c r="J31" s="56">
        <f>IF(AND(catpn_1_VHB_1&gt;0,catpn_1_VHV_51&gt;0),(cattf_1_VHB_1*((dagenperjaar1*VLOOKUP(B31,dagsoorttabel1,2,FALSE))-catfd_1_VHV_51)/catpn_1_VHB_1+cattf_1_VHV_51*catfd_1_VHV_51/catpn_1_VHV_51)/(((dagenperjaar1*VLOOKUP(B31,dagsoorttabel1,2,FALSE))-catfd_1_VHV_51)/catpn_1_VHB_1+catfd_1_VHV_51/catpn_1_VHV_51),0)</f>
        <v>0</v>
      </c>
      <c r="K31" s="65">
        <f>IF(OR(ISBLANK(G31),G31=0),0,F31/ROUND(G31,4))</f>
        <v>0</v>
      </c>
      <c r="L31" s="56">
        <f>ROUND(J31,2)*K31</f>
        <v>0</v>
      </c>
      <c r="M31" s="65">
        <f>K31*dagenperjaar1</f>
        <v>0</v>
      </c>
      <c r="N31" s="56">
        <f>M31*ROUND(J31,2)</f>
        <v>0</v>
      </c>
    </row>
    <row r="32" spans="1:14" x14ac:dyDescent="0.2">
      <c r="A32" s="52" t="s">
        <v>201</v>
      </c>
      <c r="B32" s="52" t="s">
        <v>12</v>
      </c>
      <c r="C32" s="52" t="s">
        <v>171</v>
      </c>
      <c r="D32" s="52" t="s">
        <v>202</v>
      </c>
      <c r="E32" s="65">
        <v>10.25</v>
      </c>
      <c r="F32" s="65">
        <f>E32*VLOOKUP(B32,dagsoorttabel1,2,FALSE)</f>
        <v>8.0392156862745097</v>
      </c>
      <c r="G32" s="66">
        <f>IF(AND(catpn_1_VZB_1&gt;0,catpn_1_VZV_40&gt;0),(dagenperjaar1*VLOOKUP(B32,dagsoorttabel1,2,FALSE))/(((dagenperjaar1*VLOOKUP(B32,dagsoorttabel1,2,FALSE))-catfd_1_VZV_40)/catpn_1_VZB_1+catfd_1_VZV_40/catpn_1_VZV_40),0)</f>
        <v>0</v>
      </c>
      <c r="H32" s="67">
        <f>IF(AND(catpn_1_VZB_1&gt;0,catpn_1_VZV_40&gt;0),(catdw_1_VZB_1*((dagenperjaar1-VLOOKUP(B32,dagsoorttabel1,2,FALSE))-catfd_1_VZV_40)/catpn_1_VZB_1+catdw_1_VZV_40*catfd_1_VZV_40/catpn_1_VZV_40)/(((dagenperjaar1-VLOOKUP(B32,dagsoorttabel1,2,FALSE))-catfd_1_VZV_40)/catpn_1_VZB_1+catfd_1_VZV_40/catpn_1_VZV_40),0)</f>
        <v>0</v>
      </c>
      <c r="I32" s="52" t="s">
        <v>98</v>
      </c>
      <c r="J32" s="56">
        <f>IF(AND(catpn_1_VZB_1&gt;0,catpn_1_VZV_40&gt;0),(cattf_1_VZB_1*((dagenperjaar1*VLOOKUP(B32,dagsoorttabel1,2,FALSE))-catfd_1_VZV_40)/catpn_1_VZB_1+cattf_1_VZV_40*catfd_1_VZV_40/catpn_1_VZV_40)/(((dagenperjaar1*VLOOKUP(B32,dagsoorttabel1,2,FALSE))-catfd_1_VZV_40)/catpn_1_VZB_1+catfd_1_VZV_40/catpn_1_VZV_40),0)</f>
        <v>0</v>
      </c>
      <c r="K32" s="65">
        <f>IF(OR(ISBLANK(G32),G32=0),0,F32/ROUND(G32,4))</f>
        <v>0</v>
      </c>
      <c r="L32" s="56">
        <f>ROUND(J32,2)*K32</f>
        <v>0</v>
      </c>
      <c r="M32" s="65">
        <f>K32*dagenperjaar1</f>
        <v>0</v>
      </c>
      <c r="N32" s="56">
        <f>M32*ROUND(J32,2)</f>
        <v>0</v>
      </c>
    </row>
    <row r="33" spans="1:14" x14ac:dyDescent="0.2">
      <c r="A33" s="57" t="s">
        <v>183</v>
      </c>
      <c r="B33" s="57" t="s">
        <v>19</v>
      </c>
      <c r="C33" s="57" t="s">
        <v>203</v>
      </c>
      <c r="D33" s="57" t="s">
        <v>184</v>
      </c>
      <c r="E33" s="68">
        <v>38</v>
      </c>
      <c r="F33" s="68">
        <f>E33*VLOOKUP(B33,dagsoorttabel1,2,FALSE)</f>
        <v>1.4901960784313726</v>
      </c>
      <c r="G33" s="69">
        <f>IF(AND(catpn_1_GHB_1&gt;0,catpn_1_GHV_10&gt;0),(dagenperjaar1*VLOOKUP(B33,dagsoorttabel1,2,FALSE))/(((dagenperjaar1*VLOOKUP(B33,dagsoorttabel1,2,FALSE))-catfd_1_GHV_10)/catpn_1_GHB_1+catfd_1_GHV_10/catpn_1_GHV_10),0)</f>
        <v>0</v>
      </c>
      <c r="H33" s="70">
        <f>IF(AND(catpn_1_GHB_1&gt;0,catpn_1_GHV_10&gt;0),(catdw_1_GHB_1*((dagenperjaar1-VLOOKUP(B33,dagsoorttabel1,2,FALSE))-catfd_1_GHV_10)/catpn_1_GHB_1+catdw_1_GHV_10*catfd_1_GHV_10/catpn_1_GHV_10)/(((dagenperjaar1-VLOOKUP(B33,dagsoorttabel1,2,FALSE))-catfd_1_GHV_10)/catpn_1_GHB_1+catfd_1_GHV_10/catpn_1_GHV_10),0)</f>
        <v>0</v>
      </c>
      <c r="I33" s="57" t="s">
        <v>98</v>
      </c>
      <c r="J33" s="61">
        <f>IF(AND(catpn_1_GHB_1&gt;0,catpn_1_GHV_10&gt;0),(cattf_1_GHB_1*((dagenperjaar1*VLOOKUP(B33,dagsoorttabel1,2,FALSE))-catfd_1_GHV_10)/catpn_1_GHB_1+cattf_1_GHV_10*catfd_1_GHV_10/catpn_1_GHV_10)/(((dagenperjaar1*VLOOKUP(B33,dagsoorttabel1,2,FALSE))-catfd_1_GHV_10)/catpn_1_GHB_1+catfd_1_GHV_10/catpn_1_GHV_10),0)</f>
        <v>0</v>
      </c>
      <c r="K33" s="68">
        <f>IF(OR(ISBLANK(G33),G33=0),0,F33/ROUND(G33,4))</f>
        <v>0</v>
      </c>
      <c r="L33" s="61">
        <f>ROUND(J33,2)*K33</f>
        <v>0</v>
      </c>
      <c r="M33" s="68">
        <f>K33*dagenperjaar1</f>
        <v>0</v>
      </c>
      <c r="N33" s="61">
        <f>M33*ROUND(J33,2)</f>
        <v>0</v>
      </c>
    </row>
    <row r="34" spans="1:14" x14ac:dyDescent="0.2">
      <c r="A34" s="72" t="s">
        <v>204</v>
      </c>
      <c r="B34" s="73"/>
      <c r="C34" s="73"/>
      <c r="D34" s="73"/>
      <c r="E34" s="73"/>
      <c r="F34" s="73"/>
      <c r="G34" s="73"/>
      <c r="H34" s="73"/>
      <c r="I34" s="73"/>
      <c r="J34" s="73"/>
      <c r="K34" s="74">
        <f>SUM(K6:K33)</f>
        <v>0</v>
      </c>
      <c r="L34" s="75">
        <f>SUM(L6:L33)</f>
        <v>0</v>
      </c>
      <c r="M34" s="74">
        <f>SUM(M6:M33)</f>
        <v>0</v>
      </c>
      <c r="N34" s="76">
        <f>SUM(N6:N33)</f>
        <v>0</v>
      </c>
    </row>
    <row r="35" spans="1:14" x14ac:dyDescent="0.2">
      <c r="A35" s="77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8"/>
    </row>
    <row r="36" spans="1:14" x14ac:dyDescent="0.2">
      <c r="A36" s="72" t="s">
        <v>205</v>
      </c>
      <c r="B36" s="73"/>
      <c r="C36" s="73"/>
      <c r="D36" s="73"/>
      <c r="E36" s="73"/>
      <c r="F36" s="73"/>
      <c r="G36" s="73"/>
      <c r="H36" s="73"/>
      <c r="I36" s="73"/>
      <c r="J36" s="75">
        <f>IF(urenjaar1&gt;0,SUMIF(M6:M33,"&gt;0",N6:N33)/urenjaar1,0)</f>
        <v>0</v>
      </c>
      <c r="K36" s="73"/>
      <c r="L36" s="73"/>
      <c r="M36" s="73"/>
      <c r="N36" s="78"/>
    </row>
    <row r="37" spans="1:14" x14ac:dyDescent="0.2">
      <c r="A37" s="77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8"/>
    </row>
    <row r="39" spans="1:14" x14ac:dyDescent="0.2">
      <c r="A39" s="72" t="s">
        <v>206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4">
        <f>urenjaar1</f>
        <v>0</v>
      </c>
      <c r="N39" s="75">
        <f>prijsjaar1</f>
        <v>0</v>
      </c>
    </row>
  </sheetData>
  <sheetProtection algorithmName="SHA-512" hashValue="ydjQfFiuaCUJ6TD8508jqvtPl976r79k9Vilc8ceJd0Q78o8+TSk8MM0afILgr4ZoiJFwXYi0eWMXfkuB52KQg==" saltValue="83s1UhHHEwzeNC6K9En8GA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146D-F1C6-483B-B47F-950786CDEE59}">
  <dimension ref="A1:U16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10" width="8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F.3.3: ",tabeltype," ruimten werkdag")</f>
        <v>Bijlage F.3.3: Invultabel ruimten werkdag</v>
      </c>
    </row>
    <row r="3" spans="1:21" ht="37.799999999999997" x14ac:dyDescent="0.2">
      <c r="A3" s="79" t="s">
        <v>207</v>
      </c>
      <c r="B3" s="40" t="s">
        <v>208</v>
      </c>
      <c r="C3" s="40" t="s">
        <v>209</v>
      </c>
      <c r="D3" s="40" t="s">
        <v>210</v>
      </c>
      <c r="E3" s="40" t="s">
        <v>211</v>
      </c>
      <c r="F3" s="40" t="s">
        <v>212</v>
      </c>
      <c r="G3" s="40" t="s">
        <v>162</v>
      </c>
      <c r="H3" s="40" t="s">
        <v>7</v>
      </c>
      <c r="I3" s="40" t="s">
        <v>213</v>
      </c>
      <c r="J3" s="40" t="s">
        <v>214</v>
      </c>
      <c r="K3" s="40" t="s">
        <v>164</v>
      </c>
      <c r="L3" s="40" t="s">
        <v>165</v>
      </c>
      <c r="M3" s="40" t="s">
        <v>91</v>
      </c>
      <c r="N3" s="40" t="s">
        <v>92</v>
      </c>
      <c r="O3" s="40" t="s">
        <v>93</v>
      </c>
      <c r="P3" s="40" t="s">
        <v>94</v>
      </c>
      <c r="Q3" s="40" t="s">
        <v>166</v>
      </c>
      <c r="R3" s="40" t="s">
        <v>215</v>
      </c>
      <c r="S3" s="40" t="s">
        <v>167</v>
      </c>
      <c r="T3" s="40" t="s">
        <v>168</v>
      </c>
      <c r="U3" s="80" t="s">
        <v>169</v>
      </c>
    </row>
    <row r="4" spans="1:21" x14ac:dyDescent="0.2">
      <c r="A4" s="81" t="s">
        <v>216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1"/>
    </row>
    <row r="5" spans="1:21" x14ac:dyDescent="0.2">
      <c r="A5" s="82" t="s">
        <v>217</v>
      </c>
      <c r="B5" s="83" t="s">
        <v>40</v>
      </c>
      <c r="C5" s="83" t="s">
        <v>218</v>
      </c>
      <c r="D5" s="83" t="s">
        <v>219</v>
      </c>
      <c r="E5" s="84" t="s">
        <v>220</v>
      </c>
      <c r="F5" s="83" t="s">
        <v>221</v>
      </c>
      <c r="G5" s="83" t="s">
        <v>179</v>
      </c>
      <c r="H5" s="83" t="s">
        <v>12</v>
      </c>
      <c r="I5" s="83" t="s">
        <v>171</v>
      </c>
      <c r="J5" s="83"/>
      <c r="K5" s="85">
        <v>6.6</v>
      </c>
      <c r="L5" s="85">
        <f>K5*VLOOKUP(H5,dagsoorttabel1,2,FALSE)</f>
        <v>5.1764705882352935</v>
      </c>
      <c r="M5" s="86">
        <f>prodnorm10</f>
        <v>0</v>
      </c>
      <c r="N5" s="87">
        <f>dagwerk10</f>
        <v>0</v>
      </c>
      <c r="O5" s="83" t="s">
        <v>98</v>
      </c>
      <c r="P5" s="88">
        <f>uurtarief10</f>
        <v>0</v>
      </c>
      <c r="Q5" s="85" t="e">
        <f>IF(ISBLANK(M5),0,L5/ROUND(M5,4))</f>
        <v>#DIV/0!</v>
      </c>
      <c r="R5" s="85" t="e">
        <f>IF(ISBLANK(M5),0,Q5*ROUND(N5,2))</f>
        <v>#DIV/0!</v>
      </c>
      <c r="S5" s="88" t="e">
        <f>ROUND(P5,2)*Q5</f>
        <v>#DIV/0!</v>
      </c>
      <c r="T5" s="85" t="e">
        <f>Q5*dagenperjaar1</f>
        <v>#DIV/0!</v>
      </c>
      <c r="U5" s="89" t="e">
        <f>T5*ROUND(P5,2)</f>
        <v>#DIV/0!</v>
      </c>
    </row>
    <row r="6" spans="1:21" x14ac:dyDescent="0.2">
      <c r="A6" s="90" t="s">
        <v>217</v>
      </c>
      <c r="B6" s="91" t="s">
        <v>40</v>
      </c>
      <c r="C6" s="91" t="s">
        <v>218</v>
      </c>
      <c r="D6" s="91" t="s">
        <v>222</v>
      </c>
      <c r="E6" s="92" t="s">
        <v>223</v>
      </c>
      <c r="F6" s="91" t="s">
        <v>224</v>
      </c>
      <c r="G6" s="91" t="s">
        <v>199</v>
      </c>
      <c r="H6" s="91" t="s">
        <v>12</v>
      </c>
      <c r="I6" s="91" t="s">
        <v>171</v>
      </c>
      <c r="J6" s="91"/>
      <c r="K6" s="93">
        <v>27</v>
      </c>
      <c r="L6" s="93">
        <f>K6*VLOOKUP(H6,dagsoorttabel1,2,FALSE)</f>
        <v>21.176470588235293</v>
      </c>
      <c r="M6" s="94">
        <f>prodnorm28</f>
        <v>0</v>
      </c>
      <c r="N6" s="37">
        <f>dagwerk28</f>
        <v>0</v>
      </c>
      <c r="O6" s="91" t="s">
        <v>98</v>
      </c>
      <c r="P6" s="24">
        <f>uurtarief28</f>
        <v>0</v>
      </c>
      <c r="Q6" s="93" t="e">
        <f>IF(ISBLANK(M6),0,L6/ROUND(M6,4))</f>
        <v>#DIV/0!</v>
      </c>
      <c r="R6" s="93" t="e">
        <f>IF(ISBLANK(M6),0,Q6*ROUND(N6,2))</f>
        <v>#DIV/0!</v>
      </c>
      <c r="S6" s="24" t="e">
        <f>ROUND(P6,2)*Q6</f>
        <v>#DIV/0!</v>
      </c>
      <c r="T6" s="93" t="e">
        <f>Q6*dagenperjaar1</f>
        <v>#DIV/0!</v>
      </c>
      <c r="U6" s="25" t="e">
        <f>T6*ROUND(P6,2)</f>
        <v>#DIV/0!</v>
      </c>
    </row>
    <row r="7" spans="1:21" x14ac:dyDescent="0.2">
      <c r="A7" s="90" t="s">
        <v>217</v>
      </c>
      <c r="B7" s="91" t="s">
        <v>40</v>
      </c>
      <c r="C7" s="91" t="s">
        <v>218</v>
      </c>
      <c r="D7" s="91" t="s">
        <v>225</v>
      </c>
      <c r="E7" s="92" t="s">
        <v>226</v>
      </c>
      <c r="F7" s="91" t="s">
        <v>227</v>
      </c>
      <c r="G7" s="91" t="s">
        <v>170</v>
      </c>
      <c r="H7" s="91" t="s">
        <v>12</v>
      </c>
      <c r="I7" s="91" t="s">
        <v>171</v>
      </c>
      <c r="J7" s="91"/>
      <c r="K7" s="93">
        <v>7.3</v>
      </c>
      <c r="L7" s="93">
        <f>K7*VLOOKUP(H7,dagsoorttabel1,2,FALSE)</f>
        <v>5.7254901960784315</v>
      </c>
      <c r="M7" s="94">
        <f>prodnorm4</f>
        <v>0</v>
      </c>
      <c r="N7" s="37">
        <f>dagwerk4</f>
        <v>0</v>
      </c>
      <c r="O7" s="91" t="s">
        <v>98</v>
      </c>
      <c r="P7" s="24">
        <f>uurtarief4</f>
        <v>0</v>
      </c>
      <c r="Q7" s="93" t="e">
        <f>IF(ISBLANK(M7),0,L7/ROUND(M7,4))</f>
        <v>#DIV/0!</v>
      </c>
      <c r="R7" s="93" t="e">
        <f>IF(ISBLANK(M7),0,Q7*ROUND(N7,2))</f>
        <v>#DIV/0!</v>
      </c>
      <c r="S7" s="24" t="e">
        <f>ROUND(P7,2)*Q7</f>
        <v>#DIV/0!</v>
      </c>
      <c r="T7" s="93" t="e">
        <f>Q7*dagenperjaar1</f>
        <v>#DIV/0!</v>
      </c>
      <c r="U7" s="25" t="e">
        <f>T7*ROUND(P7,2)</f>
        <v>#DIV/0!</v>
      </c>
    </row>
    <row r="8" spans="1:21" x14ac:dyDescent="0.2">
      <c r="A8" s="90" t="s">
        <v>217</v>
      </c>
      <c r="B8" s="91" t="s">
        <v>40</v>
      </c>
      <c r="C8" s="91" t="s">
        <v>218</v>
      </c>
      <c r="D8" s="91" t="s">
        <v>228</v>
      </c>
      <c r="E8" s="92" t="s">
        <v>229</v>
      </c>
      <c r="F8" s="91" t="s">
        <v>224</v>
      </c>
      <c r="G8" s="91" t="s">
        <v>175</v>
      </c>
      <c r="H8" s="91" t="s">
        <v>12</v>
      </c>
      <c r="I8" s="91" t="s">
        <v>171</v>
      </c>
      <c r="J8" s="91"/>
      <c r="K8" s="93">
        <v>1.8</v>
      </c>
      <c r="L8" s="93">
        <f>K8*VLOOKUP(H8,dagsoorttabel1,2,FALSE)</f>
        <v>1.411764705882353</v>
      </c>
      <c r="M8" s="94">
        <f>prodnorm6</f>
        <v>0</v>
      </c>
      <c r="N8" s="37">
        <f>dagwerk6</f>
        <v>0</v>
      </c>
      <c r="O8" s="91" t="s">
        <v>98</v>
      </c>
      <c r="P8" s="24">
        <f>uurtarief6</f>
        <v>0</v>
      </c>
      <c r="Q8" s="93" t="e">
        <f>IF(ISBLANK(M8),0,L8/ROUND(M8,4))</f>
        <v>#DIV/0!</v>
      </c>
      <c r="R8" s="93" t="e">
        <f>IF(ISBLANK(M8),0,Q8*ROUND(N8,2))</f>
        <v>#DIV/0!</v>
      </c>
      <c r="S8" s="24" t="e">
        <f>ROUND(P8,2)*Q8</f>
        <v>#DIV/0!</v>
      </c>
      <c r="T8" s="93" t="e">
        <f>Q8*dagenperjaar1</f>
        <v>#DIV/0!</v>
      </c>
      <c r="U8" s="25" t="e">
        <f>T8*ROUND(P8,2)</f>
        <v>#DIV/0!</v>
      </c>
    </row>
    <row r="9" spans="1:21" x14ac:dyDescent="0.2">
      <c r="A9" s="90" t="s">
        <v>217</v>
      </c>
      <c r="B9" s="91" t="s">
        <v>40</v>
      </c>
      <c r="C9" s="91" t="s">
        <v>218</v>
      </c>
      <c r="D9" s="91" t="s">
        <v>230</v>
      </c>
      <c r="E9" s="92" t="s">
        <v>231</v>
      </c>
      <c r="F9" s="91" t="s">
        <v>224</v>
      </c>
      <c r="G9" s="91" t="s">
        <v>195</v>
      </c>
      <c r="H9" s="91" t="s">
        <v>12</v>
      </c>
      <c r="I9" s="91" t="s">
        <v>171</v>
      </c>
      <c r="J9" s="91"/>
      <c r="K9" s="93">
        <v>1.8</v>
      </c>
      <c r="L9" s="93">
        <f>K9*VLOOKUP(H9,dagsoorttabel1,2,FALSE)</f>
        <v>1.411764705882353</v>
      </c>
      <c r="M9" s="94">
        <f>prodnorm24</f>
        <v>0</v>
      </c>
      <c r="N9" s="37">
        <f>dagwerk24</f>
        <v>0</v>
      </c>
      <c r="O9" s="91" t="s">
        <v>98</v>
      </c>
      <c r="P9" s="24">
        <f>uurtarief24</f>
        <v>0</v>
      </c>
      <c r="Q9" s="93" t="e">
        <f>IF(ISBLANK(M9),0,L9/ROUND(M9,4))</f>
        <v>#DIV/0!</v>
      </c>
      <c r="R9" s="93" t="e">
        <f>IF(ISBLANK(M9),0,Q9*ROUND(N9,2))</f>
        <v>#DIV/0!</v>
      </c>
      <c r="S9" s="24" t="e">
        <f>ROUND(P9,2)*Q9</f>
        <v>#DIV/0!</v>
      </c>
      <c r="T9" s="93" t="e">
        <f>Q9*dagenperjaar1</f>
        <v>#DIV/0!</v>
      </c>
      <c r="U9" s="25" t="e">
        <f>T9*ROUND(P9,2)</f>
        <v>#DIV/0!</v>
      </c>
    </row>
    <row r="10" spans="1:21" x14ac:dyDescent="0.2">
      <c r="A10" s="90" t="s">
        <v>217</v>
      </c>
      <c r="B10" s="91" t="s">
        <v>40</v>
      </c>
      <c r="C10" s="91" t="s">
        <v>218</v>
      </c>
      <c r="D10" s="91" t="s">
        <v>232</v>
      </c>
      <c r="E10" s="92" t="s">
        <v>233</v>
      </c>
      <c r="F10" s="91" t="s">
        <v>224</v>
      </c>
      <c r="G10" s="91" t="s">
        <v>187</v>
      </c>
      <c r="H10" s="91" t="s">
        <v>12</v>
      </c>
      <c r="I10" s="91" t="s">
        <v>171</v>
      </c>
      <c r="J10" s="91"/>
      <c r="K10" s="93">
        <v>30.8</v>
      </c>
      <c r="L10" s="93">
        <f>K10*VLOOKUP(H10,dagsoorttabel1,2,FALSE)</f>
        <v>24.156862745098039</v>
      </c>
      <c r="M10" s="94">
        <f>prodnorm19</f>
        <v>0</v>
      </c>
      <c r="N10" s="37">
        <f>dagwerk19</f>
        <v>0</v>
      </c>
      <c r="O10" s="91" t="s">
        <v>98</v>
      </c>
      <c r="P10" s="24">
        <f>uurtarief19</f>
        <v>0</v>
      </c>
      <c r="Q10" s="93" t="e">
        <f>IF(ISBLANK(M10),0,L10/ROUND(M10,4))</f>
        <v>#DIV/0!</v>
      </c>
      <c r="R10" s="93" t="e">
        <f>IF(ISBLANK(M10),0,Q10*ROUND(N10,2))</f>
        <v>#DIV/0!</v>
      </c>
      <c r="S10" s="24" t="e">
        <f>ROUND(P10,2)*Q10</f>
        <v>#DIV/0!</v>
      </c>
      <c r="T10" s="93" t="e">
        <f>Q10*dagenperjaar1</f>
        <v>#DIV/0!</v>
      </c>
      <c r="U10" s="25" t="e">
        <f>T10*ROUND(P10,2)</f>
        <v>#DIV/0!</v>
      </c>
    </row>
    <row r="11" spans="1:21" x14ac:dyDescent="0.2">
      <c r="A11" s="90" t="s">
        <v>217</v>
      </c>
      <c r="B11" s="91" t="s">
        <v>40</v>
      </c>
      <c r="C11" s="91" t="s">
        <v>218</v>
      </c>
      <c r="D11" s="91" t="s">
        <v>234</v>
      </c>
      <c r="E11" s="92" t="s">
        <v>235</v>
      </c>
      <c r="F11" s="91" t="s">
        <v>224</v>
      </c>
      <c r="G11" s="91" t="s">
        <v>175</v>
      </c>
      <c r="H11" s="91" t="s">
        <v>12</v>
      </c>
      <c r="I11" s="91" t="s">
        <v>171</v>
      </c>
      <c r="J11" s="91"/>
      <c r="K11" s="93">
        <v>16.7</v>
      </c>
      <c r="L11" s="93">
        <f>K11*VLOOKUP(H11,dagsoorttabel1,2,FALSE)</f>
        <v>13.098039215686274</v>
      </c>
      <c r="M11" s="94">
        <f>prodnorm6</f>
        <v>0</v>
      </c>
      <c r="N11" s="37">
        <f>dagwerk6</f>
        <v>0</v>
      </c>
      <c r="O11" s="91" t="s">
        <v>98</v>
      </c>
      <c r="P11" s="24">
        <f>uurtarief6</f>
        <v>0</v>
      </c>
      <c r="Q11" s="93" t="e">
        <f>IF(ISBLANK(M11),0,L11/ROUND(M11,4))</f>
        <v>#DIV/0!</v>
      </c>
      <c r="R11" s="93" t="e">
        <f>IF(ISBLANK(M11),0,Q11*ROUND(N11,2))</f>
        <v>#DIV/0!</v>
      </c>
      <c r="S11" s="24" t="e">
        <f>ROUND(P11,2)*Q11</f>
        <v>#DIV/0!</v>
      </c>
      <c r="T11" s="93" t="e">
        <f>Q11*dagenperjaar1</f>
        <v>#DIV/0!</v>
      </c>
      <c r="U11" s="25" t="e">
        <f>T11*ROUND(P11,2)</f>
        <v>#DIV/0!</v>
      </c>
    </row>
    <row r="12" spans="1:21" x14ac:dyDescent="0.2">
      <c r="A12" s="90" t="s">
        <v>217</v>
      </c>
      <c r="B12" s="91" t="s">
        <v>40</v>
      </c>
      <c r="C12" s="91" t="s">
        <v>218</v>
      </c>
      <c r="D12" s="91" t="s">
        <v>236</v>
      </c>
      <c r="E12" s="92" t="s">
        <v>235</v>
      </c>
      <c r="F12" s="91" t="s">
        <v>224</v>
      </c>
      <c r="G12" s="91" t="s">
        <v>175</v>
      </c>
      <c r="H12" s="91" t="s">
        <v>12</v>
      </c>
      <c r="I12" s="91" t="s">
        <v>171</v>
      </c>
      <c r="J12" s="91"/>
      <c r="K12" s="93">
        <v>16.7</v>
      </c>
      <c r="L12" s="93">
        <f>K12*VLOOKUP(H12,dagsoorttabel1,2,FALSE)</f>
        <v>13.098039215686274</v>
      </c>
      <c r="M12" s="94">
        <f>prodnorm6</f>
        <v>0</v>
      </c>
      <c r="N12" s="37">
        <f>dagwerk6</f>
        <v>0</v>
      </c>
      <c r="O12" s="91" t="s">
        <v>98</v>
      </c>
      <c r="P12" s="24">
        <f>uurtarief6</f>
        <v>0</v>
      </c>
      <c r="Q12" s="93" t="e">
        <f>IF(ISBLANK(M12),0,L12/ROUND(M12,4))</f>
        <v>#DIV/0!</v>
      </c>
      <c r="R12" s="93" t="e">
        <f>IF(ISBLANK(M12),0,Q12*ROUND(N12,2))</f>
        <v>#DIV/0!</v>
      </c>
      <c r="S12" s="24" t="e">
        <f>ROUND(P12,2)*Q12</f>
        <v>#DIV/0!</v>
      </c>
      <c r="T12" s="93" t="e">
        <f>Q12*dagenperjaar1</f>
        <v>#DIV/0!</v>
      </c>
      <c r="U12" s="25" t="e">
        <f>T12*ROUND(P12,2)</f>
        <v>#DIV/0!</v>
      </c>
    </row>
    <row r="13" spans="1:21" x14ac:dyDescent="0.2">
      <c r="A13" s="90" t="s">
        <v>217</v>
      </c>
      <c r="B13" s="91" t="s">
        <v>40</v>
      </c>
      <c r="C13" s="91" t="s">
        <v>218</v>
      </c>
      <c r="D13" s="91" t="s">
        <v>237</v>
      </c>
      <c r="E13" s="92" t="s">
        <v>233</v>
      </c>
      <c r="F13" s="91" t="s">
        <v>224</v>
      </c>
      <c r="G13" s="91" t="s">
        <v>187</v>
      </c>
      <c r="H13" s="91" t="s">
        <v>12</v>
      </c>
      <c r="I13" s="91" t="s">
        <v>171</v>
      </c>
      <c r="J13" s="91"/>
      <c r="K13" s="93">
        <v>30.8</v>
      </c>
      <c r="L13" s="93">
        <f>K13*VLOOKUP(H13,dagsoorttabel1,2,FALSE)</f>
        <v>24.156862745098039</v>
      </c>
      <c r="M13" s="94">
        <f>prodnorm19</f>
        <v>0</v>
      </c>
      <c r="N13" s="37">
        <f>dagwerk19</f>
        <v>0</v>
      </c>
      <c r="O13" s="91" t="s">
        <v>98</v>
      </c>
      <c r="P13" s="24">
        <f>uurtarief19</f>
        <v>0</v>
      </c>
      <c r="Q13" s="93" t="e">
        <f>IF(ISBLANK(M13),0,L13/ROUND(M13,4))</f>
        <v>#DIV/0!</v>
      </c>
      <c r="R13" s="93" t="e">
        <f>IF(ISBLANK(M13),0,Q13*ROUND(N13,2))</f>
        <v>#DIV/0!</v>
      </c>
      <c r="S13" s="24" t="e">
        <f>ROUND(P13,2)*Q13</f>
        <v>#DIV/0!</v>
      </c>
      <c r="T13" s="93" t="e">
        <f>Q13*dagenperjaar1</f>
        <v>#DIV/0!</v>
      </c>
      <c r="U13" s="25" t="e">
        <f>T13*ROUND(P13,2)</f>
        <v>#DIV/0!</v>
      </c>
    </row>
    <row r="14" spans="1:21" x14ac:dyDescent="0.2">
      <c r="A14" s="90" t="s">
        <v>217</v>
      </c>
      <c r="B14" s="91" t="s">
        <v>40</v>
      </c>
      <c r="C14" s="91" t="s">
        <v>218</v>
      </c>
      <c r="D14" s="91" t="s">
        <v>238</v>
      </c>
      <c r="E14" s="92" t="s">
        <v>239</v>
      </c>
      <c r="F14" s="91" t="s">
        <v>224</v>
      </c>
      <c r="G14" s="91" t="s">
        <v>195</v>
      </c>
      <c r="H14" s="91" t="s">
        <v>12</v>
      </c>
      <c r="I14" s="91" t="s">
        <v>171</v>
      </c>
      <c r="J14" s="91"/>
      <c r="K14" s="93">
        <v>1.2</v>
      </c>
      <c r="L14" s="93">
        <f>K14*VLOOKUP(H14,dagsoorttabel1,2,FALSE)</f>
        <v>0.94117647058823528</v>
      </c>
      <c r="M14" s="94">
        <f>prodnorm24</f>
        <v>0</v>
      </c>
      <c r="N14" s="37">
        <f>dagwerk24</f>
        <v>0</v>
      </c>
      <c r="O14" s="91" t="s">
        <v>98</v>
      </c>
      <c r="P14" s="24">
        <f>uurtarief24</f>
        <v>0</v>
      </c>
      <c r="Q14" s="93" t="e">
        <f>IF(ISBLANK(M14),0,L14/ROUND(M14,4))</f>
        <v>#DIV/0!</v>
      </c>
      <c r="R14" s="93" t="e">
        <f>IF(ISBLANK(M14),0,Q14*ROUND(N14,2))</f>
        <v>#DIV/0!</v>
      </c>
      <c r="S14" s="24" t="e">
        <f>ROUND(P14,2)*Q14</f>
        <v>#DIV/0!</v>
      </c>
      <c r="T14" s="93" t="e">
        <f>Q14*dagenperjaar1</f>
        <v>#DIV/0!</v>
      </c>
      <c r="U14" s="25" t="e">
        <f>T14*ROUND(P14,2)</f>
        <v>#DIV/0!</v>
      </c>
    </row>
    <row r="15" spans="1:21" x14ac:dyDescent="0.2">
      <c r="A15" s="90" t="s">
        <v>217</v>
      </c>
      <c r="B15" s="91" t="s">
        <v>40</v>
      </c>
      <c r="C15" s="91" t="s">
        <v>218</v>
      </c>
      <c r="D15" s="91" t="s">
        <v>240</v>
      </c>
      <c r="E15" s="92" t="s">
        <v>241</v>
      </c>
      <c r="F15" s="91" t="s">
        <v>224</v>
      </c>
      <c r="G15" s="91" t="s">
        <v>175</v>
      </c>
      <c r="H15" s="91" t="s">
        <v>12</v>
      </c>
      <c r="I15" s="91" t="s">
        <v>171</v>
      </c>
      <c r="J15" s="91"/>
      <c r="K15" s="93">
        <v>1.8</v>
      </c>
      <c r="L15" s="93">
        <f>K15*VLOOKUP(H15,dagsoorttabel1,2,FALSE)</f>
        <v>1.411764705882353</v>
      </c>
      <c r="M15" s="94">
        <f>prodnorm6</f>
        <v>0</v>
      </c>
      <c r="N15" s="37">
        <f>dagwerk6</f>
        <v>0</v>
      </c>
      <c r="O15" s="91" t="s">
        <v>98</v>
      </c>
      <c r="P15" s="24">
        <f>uurtarief6</f>
        <v>0</v>
      </c>
      <c r="Q15" s="93" t="e">
        <f>IF(ISBLANK(M15),0,L15/ROUND(M15,4))</f>
        <v>#DIV/0!</v>
      </c>
      <c r="R15" s="93" t="e">
        <f>IF(ISBLANK(M15),0,Q15*ROUND(N15,2))</f>
        <v>#DIV/0!</v>
      </c>
      <c r="S15" s="24" t="e">
        <f>ROUND(P15,2)*Q15</f>
        <v>#DIV/0!</v>
      </c>
      <c r="T15" s="93" t="e">
        <f>Q15*dagenperjaar1</f>
        <v>#DIV/0!</v>
      </c>
      <c r="U15" s="25" t="e">
        <f>T15*ROUND(P15,2)</f>
        <v>#DIV/0!</v>
      </c>
    </row>
    <row r="16" spans="1:21" x14ac:dyDescent="0.2">
      <c r="A16" s="90" t="s">
        <v>217</v>
      </c>
      <c r="B16" s="91" t="s">
        <v>40</v>
      </c>
      <c r="C16" s="91" t="s">
        <v>218</v>
      </c>
      <c r="D16" s="91" t="s">
        <v>242</v>
      </c>
      <c r="E16" s="92" t="s">
        <v>241</v>
      </c>
      <c r="F16" s="91" t="s">
        <v>224</v>
      </c>
      <c r="G16" s="91" t="s">
        <v>175</v>
      </c>
      <c r="H16" s="91" t="s">
        <v>12</v>
      </c>
      <c r="I16" s="91" t="s">
        <v>171</v>
      </c>
      <c r="J16" s="91"/>
      <c r="K16" s="93">
        <v>1.8</v>
      </c>
      <c r="L16" s="93">
        <f>K16*VLOOKUP(H16,dagsoorttabel1,2,FALSE)</f>
        <v>1.411764705882353</v>
      </c>
      <c r="M16" s="94">
        <f>prodnorm6</f>
        <v>0</v>
      </c>
      <c r="N16" s="37">
        <f>dagwerk6</f>
        <v>0</v>
      </c>
      <c r="O16" s="91" t="s">
        <v>98</v>
      </c>
      <c r="P16" s="24">
        <f>uurtarief6</f>
        <v>0</v>
      </c>
      <c r="Q16" s="93" t="e">
        <f>IF(ISBLANK(M16),0,L16/ROUND(M16,4))</f>
        <v>#DIV/0!</v>
      </c>
      <c r="R16" s="93" t="e">
        <f>IF(ISBLANK(M16),0,Q16*ROUND(N16,2))</f>
        <v>#DIV/0!</v>
      </c>
      <c r="S16" s="24" t="e">
        <f>ROUND(P16,2)*Q16</f>
        <v>#DIV/0!</v>
      </c>
      <c r="T16" s="93" t="e">
        <f>Q16*dagenperjaar1</f>
        <v>#DIV/0!</v>
      </c>
      <c r="U16" s="25" t="e">
        <f>T16*ROUND(P16,2)</f>
        <v>#DIV/0!</v>
      </c>
    </row>
    <row r="17" spans="1:21" x14ac:dyDescent="0.2">
      <c r="A17" s="90" t="s">
        <v>217</v>
      </c>
      <c r="B17" s="91" t="s">
        <v>40</v>
      </c>
      <c r="C17" s="91" t="s">
        <v>218</v>
      </c>
      <c r="D17" s="91" t="s">
        <v>243</v>
      </c>
      <c r="E17" s="92" t="s">
        <v>239</v>
      </c>
      <c r="F17" s="91" t="s">
        <v>224</v>
      </c>
      <c r="G17" s="91" t="s">
        <v>195</v>
      </c>
      <c r="H17" s="91" t="s">
        <v>12</v>
      </c>
      <c r="I17" s="91" t="s">
        <v>171</v>
      </c>
      <c r="J17" s="91"/>
      <c r="K17" s="93">
        <v>1.8</v>
      </c>
      <c r="L17" s="93">
        <f>K17*VLOOKUP(H17,dagsoorttabel1,2,FALSE)</f>
        <v>1.411764705882353</v>
      </c>
      <c r="M17" s="94">
        <f>prodnorm24</f>
        <v>0</v>
      </c>
      <c r="N17" s="37">
        <f>dagwerk24</f>
        <v>0</v>
      </c>
      <c r="O17" s="91" t="s">
        <v>98</v>
      </c>
      <c r="P17" s="24">
        <f>uurtarief24</f>
        <v>0</v>
      </c>
      <c r="Q17" s="93" t="e">
        <f>IF(ISBLANK(M17),0,L17/ROUND(M17,4))</f>
        <v>#DIV/0!</v>
      </c>
      <c r="R17" s="93" t="e">
        <f>IF(ISBLANK(M17),0,Q17*ROUND(N17,2))</f>
        <v>#DIV/0!</v>
      </c>
      <c r="S17" s="24" t="e">
        <f>ROUND(P17,2)*Q17</f>
        <v>#DIV/0!</v>
      </c>
      <c r="T17" s="93" t="e">
        <f>Q17*dagenperjaar1</f>
        <v>#DIV/0!</v>
      </c>
      <c r="U17" s="25" t="e">
        <f>T17*ROUND(P17,2)</f>
        <v>#DIV/0!</v>
      </c>
    </row>
    <row r="18" spans="1:21" x14ac:dyDescent="0.2">
      <c r="A18" s="90" t="s">
        <v>217</v>
      </c>
      <c r="B18" s="91" t="s">
        <v>40</v>
      </c>
      <c r="C18" s="91" t="s">
        <v>218</v>
      </c>
      <c r="D18" s="91" t="s">
        <v>244</v>
      </c>
      <c r="E18" s="92" t="s">
        <v>245</v>
      </c>
      <c r="F18" s="91" t="s">
        <v>246</v>
      </c>
      <c r="G18" s="91" t="s">
        <v>183</v>
      </c>
      <c r="H18" s="91" t="s">
        <v>12</v>
      </c>
      <c r="I18" s="91" t="s">
        <v>171</v>
      </c>
      <c r="J18" s="91"/>
      <c r="K18" s="93">
        <v>252</v>
      </c>
      <c r="L18" s="93">
        <f>K18*VLOOKUP(H18,dagsoorttabel1,2,FALSE)</f>
        <v>197.64705882352942</v>
      </c>
      <c r="M18" s="94">
        <f>prodnorm15</f>
        <v>0</v>
      </c>
      <c r="N18" s="37">
        <f>dagwerk15</f>
        <v>0</v>
      </c>
      <c r="O18" s="91" t="s">
        <v>98</v>
      </c>
      <c r="P18" s="24">
        <f>uurtarief15</f>
        <v>0</v>
      </c>
      <c r="Q18" s="93" t="e">
        <f>IF(ISBLANK(M18),0,L18/ROUND(M18,4))</f>
        <v>#DIV/0!</v>
      </c>
      <c r="R18" s="93" t="e">
        <f>IF(ISBLANK(M18),0,Q18*ROUND(N18,2))</f>
        <v>#DIV/0!</v>
      </c>
      <c r="S18" s="24" t="e">
        <f>ROUND(P18,2)*Q18</f>
        <v>#DIV/0!</v>
      </c>
      <c r="T18" s="93" t="e">
        <f>Q18*dagenperjaar1</f>
        <v>#DIV/0!</v>
      </c>
      <c r="U18" s="25" t="e">
        <f>T18*ROUND(P18,2)</f>
        <v>#DIV/0!</v>
      </c>
    </row>
    <row r="19" spans="1:21" x14ac:dyDescent="0.2">
      <c r="A19" s="95" t="s">
        <v>217</v>
      </c>
      <c r="B19" s="96" t="s">
        <v>40</v>
      </c>
      <c r="C19" s="96" t="s">
        <v>218</v>
      </c>
      <c r="D19" s="96" t="s">
        <v>247</v>
      </c>
      <c r="E19" s="97" t="s">
        <v>248</v>
      </c>
      <c r="F19" s="96" t="s">
        <v>246</v>
      </c>
      <c r="G19" s="96" t="s">
        <v>183</v>
      </c>
      <c r="H19" s="96" t="s">
        <v>19</v>
      </c>
      <c r="I19" s="96" t="s">
        <v>171</v>
      </c>
      <c r="J19" s="96"/>
      <c r="K19" s="98">
        <v>42</v>
      </c>
      <c r="L19" s="98">
        <f>K19*VLOOKUP(H19,dagsoorttabel1,2,FALSE)</f>
        <v>1.6470588235294117</v>
      </c>
      <c r="M19" s="99">
        <f>prodnorm14</f>
        <v>0</v>
      </c>
      <c r="N19" s="100">
        <f>dagwerk14</f>
        <v>0</v>
      </c>
      <c r="O19" s="96" t="s">
        <v>98</v>
      </c>
      <c r="P19" s="34">
        <f>uurtarief14</f>
        <v>0</v>
      </c>
      <c r="Q19" s="98" t="e">
        <f>IF(ISBLANK(M19),0,L19/ROUND(M19,4))</f>
        <v>#DIV/0!</v>
      </c>
      <c r="R19" s="98" t="e">
        <f>IF(ISBLANK(M19),0,Q19*ROUND(N19,2))</f>
        <v>#DIV/0!</v>
      </c>
      <c r="S19" s="34" t="e">
        <f>ROUND(P19,2)*Q19</f>
        <v>#DIV/0!</v>
      </c>
      <c r="T19" s="98" t="e">
        <f>Q19*dagenperjaar1</f>
        <v>#DIV/0!</v>
      </c>
      <c r="U19" s="35" t="e">
        <f>T19*ROUND(P19,2)</f>
        <v>#DIV/0!</v>
      </c>
    </row>
    <row r="20" spans="1:21" x14ac:dyDescent="0.2">
      <c r="A20" s="101" t="s">
        <v>249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5" t="e">
        <f>IF(_xlfn.SINGLE(object1_urenjaar1)&gt;0,_xlfn.SINGLE(object1_prijsjaar1)/_xlfn.SINGLE(object1_urenjaar1),0)</f>
        <v>#DIV/0!</v>
      </c>
      <c r="Q20" s="74" t="e">
        <f>SUM(Q5:Q19)</f>
        <v>#DIV/0!</v>
      </c>
      <c r="R20" s="74" t="e">
        <f>SUM(R5:R19)</f>
        <v>#DIV/0!</v>
      </c>
      <c r="S20" s="75" t="e">
        <f>SUM(S5:S19)</f>
        <v>#DIV/0!</v>
      </c>
      <c r="T20" s="74" t="e">
        <f>SUM(T5:T19)</f>
        <v>#DIV/0!</v>
      </c>
      <c r="U20" s="76" t="e">
        <f>SUM(U5:U19)</f>
        <v>#DIV/0!</v>
      </c>
    </row>
    <row r="21" spans="1:21" x14ac:dyDescent="0.2">
      <c r="A21" s="81" t="s">
        <v>250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71"/>
    </row>
    <row r="22" spans="1:21" x14ac:dyDescent="0.2">
      <c r="A22" s="82" t="s">
        <v>251</v>
      </c>
      <c r="B22" s="83" t="s">
        <v>40</v>
      </c>
      <c r="C22" s="83" t="s">
        <v>218</v>
      </c>
      <c r="D22" s="83" t="s">
        <v>219</v>
      </c>
      <c r="E22" s="84" t="s">
        <v>220</v>
      </c>
      <c r="F22" s="83" t="s">
        <v>252</v>
      </c>
      <c r="G22" s="83" t="s">
        <v>199</v>
      </c>
      <c r="H22" s="83" t="s">
        <v>12</v>
      </c>
      <c r="I22" s="83" t="s">
        <v>171</v>
      </c>
      <c r="J22" s="83"/>
      <c r="K22" s="85">
        <v>19</v>
      </c>
      <c r="L22" s="85">
        <f>K22*VLOOKUP(H22,dagsoorttabel1,2,FALSE)</f>
        <v>14.901960784313726</v>
      </c>
      <c r="M22" s="86">
        <f>prodnorm28</f>
        <v>0</v>
      </c>
      <c r="N22" s="87">
        <f>dagwerk28</f>
        <v>0</v>
      </c>
      <c r="O22" s="83" t="s">
        <v>98</v>
      </c>
      <c r="P22" s="88">
        <f>uurtarief28</f>
        <v>0</v>
      </c>
      <c r="Q22" s="85" t="e">
        <f>IF(ISBLANK(M22),0,L22/ROUND(M22,4))</f>
        <v>#DIV/0!</v>
      </c>
      <c r="R22" s="85" t="e">
        <f>IF(ISBLANK(M22),0,Q22*ROUND(N22,2))</f>
        <v>#DIV/0!</v>
      </c>
      <c r="S22" s="88" t="e">
        <f>ROUND(P22,2)*Q22</f>
        <v>#DIV/0!</v>
      </c>
      <c r="T22" s="85" t="e">
        <f>Q22*dagenperjaar1</f>
        <v>#DIV/0!</v>
      </c>
      <c r="U22" s="89" t="e">
        <f>T22*ROUND(P22,2)</f>
        <v>#DIV/0!</v>
      </c>
    </row>
    <row r="23" spans="1:21" x14ac:dyDescent="0.2">
      <c r="A23" s="90" t="s">
        <v>251</v>
      </c>
      <c r="B23" s="91" t="s">
        <v>40</v>
      </c>
      <c r="C23" s="91" t="s">
        <v>218</v>
      </c>
      <c r="D23" s="91" t="s">
        <v>253</v>
      </c>
      <c r="E23" s="92" t="s">
        <v>220</v>
      </c>
      <c r="F23" s="91" t="s">
        <v>221</v>
      </c>
      <c r="G23" s="91" t="s">
        <v>201</v>
      </c>
      <c r="H23" s="91" t="s">
        <v>12</v>
      </c>
      <c r="I23" s="91" t="s">
        <v>171</v>
      </c>
      <c r="J23" s="91"/>
      <c r="K23" s="93">
        <v>6.25</v>
      </c>
      <c r="L23" s="93">
        <f>K23*VLOOKUP(H23,dagsoorttabel1,2,FALSE)</f>
        <v>4.9019607843137258</v>
      </c>
      <c r="M23" s="94">
        <f>prodnorm30</f>
        <v>0</v>
      </c>
      <c r="N23" s="37">
        <f>dagwerk30</f>
        <v>0</v>
      </c>
      <c r="O23" s="91" t="s">
        <v>98</v>
      </c>
      <c r="P23" s="24">
        <f>uurtarief30</f>
        <v>0</v>
      </c>
      <c r="Q23" s="93" t="e">
        <f>IF(ISBLANK(M23),0,L23/ROUND(M23,4))</f>
        <v>#DIV/0!</v>
      </c>
      <c r="R23" s="93" t="e">
        <f>IF(ISBLANK(M23),0,Q23*ROUND(N23,2))</f>
        <v>#DIV/0!</v>
      </c>
      <c r="S23" s="24" t="e">
        <f>ROUND(P23,2)*Q23</f>
        <v>#DIV/0!</v>
      </c>
      <c r="T23" s="93" t="e">
        <f>Q23*dagenperjaar1</f>
        <v>#DIV/0!</v>
      </c>
      <c r="U23" s="25" t="e">
        <f>T23*ROUND(P23,2)</f>
        <v>#DIV/0!</v>
      </c>
    </row>
    <row r="24" spans="1:21" x14ac:dyDescent="0.2">
      <c r="A24" s="90" t="s">
        <v>251</v>
      </c>
      <c r="B24" s="91" t="s">
        <v>40</v>
      </c>
      <c r="C24" s="91" t="s">
        <v>218</v>
      </c>
      <c r="D24" s="91" t="s">
        <v>222</v>
      </c>
      <c r="E24" s="92" t="s">
        <v>254</v>
      </c>
      <c r="F24" s="91" t="s">
        <v>252</v>
      </c>
      <c r="G24" s="91" t="s">
        <v>199</v>
      </c>
      <c r="H24" s="91" t="s">
        <v>12</v>
      </c>
      <c r="I24" s="91" t="s">
        <v>171</v>
      </c>
      <c r="J24" s="91"/>
      <c r="K24" s="93">
        <v>51</v>
      </c>
      <c r="L24" s="93">
        <f>K24*VLOOKUP(H24,dagsoorttabel1,2,FALSE)</f>
        <v>40</v>
      </c>
      <c r="M24" s="94">
        <f>prodnorm28</f>
        <v>0</v>
      </c>
      <c r="N24" s="37">
        <f>dagwerk28</f>
        <v>0</v>
      </c>
      <c r="O24" s="91" t="s">
        <v>98</v>
      </c>
      <c r="P24" s="24">
        <f>uurtarief28</f>
        <v>0</v>
      </c>
      <c r="Q24" s="93" t="e">
        <f>IF(ISBLANK(M24),0,L24/ROUND(M24,4))</f>
        <v>#DIV/0!</v>
      </c>
      <c r="R24" s="93" t="e">
        <f>IF(ISBLANK(M24),0,Q24*ROUND(N24,2))</f>
        <v>#DIV/0!</v>
      </c>
      <c r="S24" s="24" t="e">
        <f>ROUND(P24,2)*Q24</f>
        <v>#DIV/0!</v>
      </c>
      <c r="T24" s="93" t="e">
        <f>Q24*dagenperjaar1</f>
        <v>#DIV/0!</v>
      </c>
      <c r="U24" s="25" t="e">
        <f>T24*ROUND(P24,2)</f>
        <v>#DIV/0!</v>
      </c>
    </row>
    <row r="25" spans="1:21" x14ac:dyDescent="0.2">
      <c r="A25" s="90" t="s">
        <v>251</v>
      </c>
      <c r="B25" s="91" t="s">
        <v>40</v>
      </c>
      <c r="C25" s="91" t="s">
        <v>218</v>
      </c>
      <c r="D25" s="91" t="s">
        <v>225</v>
      </c>
      <c r="E25" s="92" t="s">
        <v>233</v>
      </c>
      <c r="F25" s="91" t="s">
        <v>224</v>
      </c>
      <c r="G25" s="91" t="s">
        <v>187</v>
      </c>
      <c r="H25" s="91" t="s">
        <v>12</v>
      </c>
      <c r="I25" s="91" t="s">
        <v>171</v>
      </c>
      <c r="J25" s="91"/>
      <c r="K25" s="93">
        <v>30.4</v>
      </c>
      <c r="L25" s="93">
        <f>K25*VLOOKUP(H25,dagsoorttabel1,2,FALSE)</f>
        <v>23.843137254901958</v>
      </c>
      <c r="M25" s="94">
        <f>prodnorm19</f>
        <v>0</v>
      </c>
      <c r="N25" s="37">
        <f>dagwerk19</f>
        <v>0</v>
      </c>
      <c r="O25" s="91" t="s">
        <v>98</v>
      </c>
      <c r="P25" s="24">
        <f>uurtarief19</f>
        <v>0</v>
      </c>
      <c r="Q25" s="93" t="e">
        <f>IF(ISBLANK(M25),0,L25/ROUND(M25,4))</f>
        <v>#DIV/0!</v>
      </c>
      <c r="R25" s="93" t="e">
        <f>IF(ISBLANK(M25),0,Q25*ROUND(N25,2))</f>
        <v>#DIV/0!</v>
      </c>
      <c r="S25" s="24" t="e">
        <f>ROUND(P25,2)*Q25</f>
        <v>#DIV/0!</v>
      </c>
      <c r="T25" s="93" t="e">
        <f>Q25*dagenperjaar1</f>
        <v>#DIV/0!</v>
      </c>
      <c r="U25" s="25" t="e">
        <f>T25*ROUND(P25,2)</f>
        <v>#DIV/0!</v>
      </c>
    </row>
    <row r="26" spans="1:21" x14ac:dyDescent="0.2">
      <c r="A26" s="90" t="s">
        <v>251</v>
      </c>
      <c r="B26" s="91" t="s">
        <v>40</v>
      </c>
      <c r="C26" s="91" t="s">
        <v>218</v>
      </c>
      <c r="D26" s="91" t="s">
        <v>228</v>
      </c>
      <c r="E26" s="92" t="s">
        <v>255</v>
      </c>
      <c r="F26" s="91" t="s">
        <v>224</v>
      </c>
      <c r="G26" s="91" t="s">
        <v>175</v>
      </c>
      <c r="H26" s="91" t="s">
        <v>12</v>
      </c>
      <c r="I26" s="91" t="s">
        <v>171</v>
      </c>
      <c r="J26" s="91"/>
      <c r="K26" s="93">
        <v>14.3</v>
      </c>
      <c r="L26" s="93">
        <f>K26*VLOOKUP(H26,dagsoorttabel1,2,FALSE)</f>
        <v>11.215686274509805</v>
      </c>
      <c r="M26" s="94">
        <f>prodnorm6</f>
        <v>0</v>
      </c>
      <c r="N26" s="37">
        <f>dagwerk6</f>
        <v>0</v>
      </c>
      <c r="O26" s="91" t="s">
        <v>98</v>
      </c>
      <c r="P26" s="24">
        <f>uurtarief6</f>
        <v>0</v>
      </c>
      <c r="Q26" s="93" t="e">
        <f>IF(ISBLANK(M26),0,L26/ROUND(M26,4))</f>
        <v>#DIV/0!</v>
      </c>
      <c r="R26" s="93" t="e">
        <f>IF(ISBLANK(M26),0,Q26*ROUND(N26,2))</f>
        <v>#DIV/0!</v>
      </c>
      <c r="S26" s="24" t="e">
        <f>ROUND(P26,2)*Q26</f>
        <v>#DIV/0!</v>
      </c>
      <c r="T26" s="93" t="e">
        <f>Q26*dagenperjaar1</f>
        <v>#DIV/0!</v>
      </c>
      <c r="U26" s="25" t="e">
        <f>T26*ROUND(P26,2)</f>
        <v>#DIV/0!</v>
      </c>
    </row>
    <row r="27" spans="1:21" x14ac:dyDescent="0.2">
      <c r="A27" s="90" t="s">
        <v>251</v>
      </c>
      <c r="B27" s="91" t="s">
        <v>40</v>
      </c>
      <c r="C27" s="91" t="s">
        <v>218</v>
      </c>
      <c r="D27" s="91" t="s">
        <v>230</v>
      </c>
      <c r="E27" s="92" t="s">
        <v>239</v>
      </c>
      <c r="F27" s="91" t="s">
        <v>224</v>
      </c>
      <c r="G27" s="91" t="s">
        <v>195</v>
      </c>
      <c r="H27" s="91" t="s">
        <v>12</v>
      </c>
      <c r="I27" s="91" t="s">
        <v>171</v>
      </c>
      <c r="J27" s="91"/>
      <c r="K27" s="93">
        <v>1.5</v>
      </c>
      <c r="L27" s="93">
        <f>K27*VLOOKUP(H27,dagsoorttabel1,2,FALSE)</f>
        <v>1.1764705882352942</v>
      </c>
      <c r="M27" s="94">
        <f>prodnorm24</f>
        <v>0</v>
      </c>
      <c r="N27" s="37">
        <f>dagwerk24</f>
        <v>0</v>
      </c>
      <c r="O27" s="91" t="s">
        <v>98</v>
      </c>
      <c r="P27" s="24">
        <f>uurtarief24</f>
        <v>0</v>
      </c>
      <c r="Q27" s="93" t="e">
        <f>IF(ISBLANK(M27),0,L27/ROUND(M27,4))</f>
        <v>#DIV/0!</v>
      </c>
      <c r="R27" s="93" t="e">
        <f>IF(ISBLANK(M27),0,Q27*ROUND(N27,2))</f>
        <v>#DIV/0!</v>
      </c>
      <c r="S27" s="24" t="e">
        <f>ROUND(P27,2)*Q27</f>
        <v>#DIV/0!</v>
      </c>
      <c r="T27" s="93" t="e">
        <f>Q27*dagenperjaar1</f>
        <v>#DIV/0!</v>
      </c>
      <c r="U27" s="25" t="e">
        <f>T27*ROUND(P27,2)</f>
        <v>#DIV/0!</v>
      </c>
    </row>
    <row r="28" spans="1:21" x14ac:dyDescent="0.2">
      <c r="A28" s="90" t="s">
        <v>251</v>
      </c>
      <c r="B28" s="91" t="s">
        <v>40</v>
      </c>
      <c r="C28" s="91" t="s">
        <v>218</v>
      </c>
      <c r="D28" s="91" t="s">
        <v>256</v>
      </c>
      <c r="E28" s="92" t="s">
        <v>257</v>
      </c>
      <c r="F28" s="91" t="s">
        <v>224</v>
      </c>
      <c r="G28" s="91" t="s">
        <v>175</v>
      </c>
      <c r="H28" s="91" t="s">
        <v>12</v>
      </c>
      <c r="I28" s="91" t="s">
        <v>171</v>
      </c>
      <c r="J28" s="91"/>
      <c r="K28" s="93">
        <v>1.5</v>
      </c>
      <c r="L28" s="93">
        <f>K28*VLOOKUP(H28,dagsoorttabel1,2,FALSE)</f>
        <v>1.1764705882352942</v>
      </c>
      <c r="M28" s="94">
        <f>prodnorm6</f>
        <v>0</v>
      </c>
      <c r="N28" s="37">
        <f>dagwerk6</f>
        <v>0</v>
      </c>
      <c r="O28" s="91" t="s">
        <v>98</v>
      </c>
      <c r="P28" s="24">
        <f>uurtarief6</f>
        <v>0</v>
      </c>
      <c r="Q28" s="93" t="e">
        <f>IF(ISBLANK(M28),0,L28/ROUND(M28,4))</f>
        <v>#DIV/0!</v>
      </c>
      <c r="R28" s="93" t="e">
        <f>IF(ISBLANK(M28),0,Q28*ROUND(N28,2))</f>
        <v>#DIV/0!</v>
      </c>
      <c r="S28" s="24" t="e">
        <f>ROUND(P28,2)*Q28</f>
        <v>#DIV/0!</v>
      </c>
      <c r="T28" s="93" t="e">
        <f>Q28*dagenperjaar1</f>
        <v>#DIV/0!</v>
      </c>
      <c r="U28" s="25" t="e">
        <f>T28*ROUND(P28,2)</f>
        <v>#DIV/0!</v>
      </c>
    </row>
    <row r="29" spans="1:21" x14ac:dyDescent="0.2">
      <c r="A29" s="90" t="s">
        <v>251</v>
      </c>
      <c r="B29" s="91" t="s">
        <v>40</v>
      </c>
      <c r="C29" s="91" t="s">
        <v>218</v>
      </c>
      <c r="D29" s="91" t="s">
        <v>232</v>
      </c>
      <c r="E29" s="92" t="s">
        <v>257</v>
      </c>
      <c r="F29" s="91" t="s">
        <v>224</v>
      </c>
      <c r="G29" s="91" t="s">
        <v>175</v>
      </c>
      <c r="H29" s="91" t="s">
        <v>12</v>
      </c>
      <c r="I29" s="91" t="s">
        <v>171</v>
      </c>
      <c r="J29" s="91"/>
      <c r="K29" s="93">
        <v>1.5</v>
      </c>
      <c r="L29" s="93">
        <f>K29*VLOOKUP(H29,dagsoorttabel1,2,FALSE)</f>
        <v>1.1764705882352942</v>
      </c>
      <c r="M29" s="94">
        <f>prodnorm6</f>
        <v>0</v>
      </c>
      <c r="N29" s="37">
        <f>dagwerk6</f>
        <v>0</v>
      </c>
      <c r="O29" s="91" t="s">
        <v>98</v>
      </c>
      <c r="P29" s="24">
        <f>uurtarief6</f>
        <v>0</v>
      </c>
      <c r="Q29" s="93" t="e">
        <f>IF(ISBLANK(M29),0,L29/ROUND(M29,4))</f>
        <v>#DIV/0!</v>
      </c>
      <c r="R29" s="93" t="e">
        <f>IF(ISBLANK(M29),0,Q29*ROUND(N29,2))</f>
        <v>#DIV/0!</v>
      </c>
      <c r="S29" s="24" t="e">
        <f>ROUND(P29,2)*Q29</f>
        <v>#DIV/0!</v>
      </c>
      <c r="T29" s="93" t="e">
        <f>Q29*dagenperjaar1</f>
        <v>#DIV/0!</v>
      </c>
      <c r="U29" s="25" t="e">
        <f>T29*ROUND(P29,2)</f>
        <v>#DIV/0!</v>
      </c>
    </row>
    <row r="30" spans="1:21" x14ac:dyDescent="0.2">
      <c r="A30" s="90" t="s">
        <v>251</v>
      </c>
      <c r="B30" s="91" t="s">
        <v>40</v>
      </c>
      <c r="C30" s="91" t="s">
        <v>218</v>
      </c>
      <c r="D30" s="91" t="s">
        <v>234</v>
      </c>
      <c r="E30" s="92" t="s">
        <v>255</v>
      </c>
      <c r="F30" s="91" t="s">
        <v>224</v>
      </c>
      <c r="G30" s="91" t="s">
        <v>175</v>
      </c>
      <c r="H30" s="91" t="s">
        <v>12</v>
      </c>
      <c r="I30" s="91" t="s">
        <v>171</v>
      </c>
      <c r="J30" s="91"/>
      <c r="K30" s="93">
        <v>14.3</v>
      </c>
      <c r="L30" s="93">
        <f>K30*VLOOKUP(H30,dagsoorttabel1,2,FALSE)</f>
        <v>11.215686274509805</v>
      </c>
      <c r="M30" s="94">
        <f>prodnorm6</f>
        <v>0</v>
      </c>
      <c r="N30" s="37">
        <f>dagwerk6</f>
        <v>0</v>
      </c>
      <c r="O30" s="91" t="s">
        <v>98</v>
      </c>
      <c r="P30" s="24">
        <f>uurtarief6</f>
        <v>0</v>
      </c>
      <c r="Q30" s="93" t="e">
        <f>IF(ISBLANK(M30),0,L30/ROUND(M30,4))</f>
        <v>#DIV/0!</v>
      </c>
      <c r="R30" s="93" t="e">
        <f>IF(ISBLANK(M30),0,Q30*ROUND(N30,2))</f>
        <v>#DIV/0!</v>
      </c>
      <c r="S30" s="24" t="e">
        <f>ROUND(P30,2)*Q30</f>
        <v>#DIV/0!</v>
      </c>
      <c r="T30" s="93" t="e">
        <f>Q30*dagenperjaar1</f>
        <v>#DIV/0!</v>
      </c>
      <c r="U30" s="25" t="e">
        <f>T30*ROUND(P30,2)</f>
        <v>#DIV/0!</v>
      </c>
    </row>
    <row r="31" spans="1:21" x14ac:dyDescent="0.2">
      <c r="A31" s="90" t="s">
        <v>251</v>
      </c>
      <c r="B31" s="91" t="s">
        <v>40</v>
      </c>
      <c r="C31" s="91" t="s">
        <v>218</v>
      </c>
      <c r="D31" s="91" t="s">
        <v>236</v>
      </c>
      <c r="E31" s="92" t="s">
        <v>239</v>
      </c>
      <c r="F31" s="91" t="s">
        <v>224</v>
      </c>
      <c r="G31" s="91" t="s">
        <v>195</v>
      </c>
      <c r="H31" s="91" t="s">
        <v>12</v>
      </c>
      <c r="I31" s="91" t="s">
        <v>171</v>
      </c>
      <c r="J31" s="91"/>
      <c r="K31" s="93">
        <v>1.5</v>
      </c>
      <c r="L31" s="93">
        <f>K31*VLOOKUP(H31,dagsoorttabel1,2,FALSE)</f>
        <v>1.1764705882352942</v>
      </c>
      <c r="M31" s="94">
        <f>prodnorm24</f>
        <v>0</v>
      </c>
      <c r="N31" s="37">
        <f>dagwerk24</f>
        <v>0</v>
      </c>
      <c r="O31" s="91" t="s">
        <v>98</v>
      </c>
      <c r="P31" s="24">
        <f>uurtarief24</f>
        <v>0</v>
      </c>
      <c r="Q31" s="93" t="e">
        <f>IF(ISBLANK(M31),0,L31/ROUND(M31,4))</f>
        <v>#DIV/0!</v>
      </c>
      <c r="R31" s="93" t="e">
        <f>IF(ISBLANK(M31),0,Q31*ROUND(N31,2))</f>
        <v>#DIV/0!</v>
      </c>
      <c r="S31" s="24" t="e">
        <f>ROUND(P31,2)*Q31</f>
        <v>#DIV/0!</v>
      </c>
      <c r="T31" s="93" t="e">
        <f>Q31*dagenperjaar1</f>
        <v>#DIV/0!</v>
      </c>
      <c r="U31" s="25" t="e">
        <f>T31*ROUND(P31,2)</f>
        <v>#DIV/0!</v>
      </c>
    </row>
    <row r="32" spans="1:21" x14ac:dyDescent="0.2">
      <c r="A32" s="90" t="s">
        <v>251</v>
      </c>
      <c r="B32" s="91" t="s">
        <v>40</v>
      </c>
      <c r="C32" s="91" t="s">
        <v>218</v>
      </c>
      <c r="D32" s="91" t="s">
        <v>237</v>
      </c>
      <c r="E32" s="92" t="s">
        <v>233</v>
      </c>
      <c r="F32" s="91" t="s">
        <v>224</v>
      </c>
      <c r="G32" s="91" t="s">
        <v>187</v>
      </c>
      <c r="H32" s="91" t="s">
        <v>12</v>
      </c>
      <c r="I32" s="91" t="s">
        <v>171</v>
      </c>
      <c r="J32" s="91"/>
      <c r="K32" s="93">
        <v>36.1</v>
      </c>
      <c r="L32" s="93">
        <f>K32*VLOOKUP(H32,dagsoorttabel1,2,FALSE)</f>
        <v>28.313725490196081</v>
      </c>
      <c r="M32" s="94">
        <f>prodnorm19</f>
        <v>0</v>
      </c>
      <c r="N32" s="37">
        <f>dagwerk19</f>
        <v>0</v>
      </c>
      <c r="O32" s="91" t="s">
        <v>98</v>
      </c>
      <c r="P32" s="24">
        <f>uurtarief19</f>
        <v>0</v>
      </c>
      <c r="Q32" s="93" t="e">
        <f>IF(ISBLANK(M32),0,L32/ROUND(M32,4))</f>
        <v>#DIV/0!</v>
      </c>
      <c r="R32" s="93" t="e">
        <f>IF(ISBLANK(M32),0,Q32*ROUND(N32,2))</f>
        <v>#DIV/0!</v>
      </c>
      <c r="S32" s="24" t="e">
        <f>ROUND(P32,2)*Q32</f>
        <v>#DIV/0!</v>
      </c>
      <c r="T32" s="93" t="e">
        <f>Q32*dagenperjaar1</f>
        <v>#DIV/0!</v>
      </c>
      <c r="U32" s="25" t="e">
        <f>T32*ROUND(P32,2)</f>
        <v>#DIV/0!</v>
      </c>
    </row>
    <row r="33" spans="1:21" x14ac:dyDescent="0.2">
      <c r="A33" s="90" t="s">
        <v>251</v>
      </c>
      <c r="B33" s="91" t="s">
        <v>40</v>
      </c>
      <c r="C33" s="91" t="s">
        <v>218</v>
      </c>
      <c r="D33" s="91" t="s">
        <v>238</v>
      </c>
      <c r="E33" s="92" t="s">
        <v>258</v>
      </c>
      <c r="F33" s="91" t="s">
        <v>246</v>
      </c>
      <c r="G33" s="91" t="s">
        <v>183</v>
      </c>
      <c r="H33" s="91" t="s">
        <v>12</v>
      </c>
      <c r="I33" s="91" t="s">
        <v>171</v>
      </c>
      <c r="J33" s="91"/>
      <c r="K33" s="93">
        <v>246</v>
      </c>
      <c r="L33" s="93">
        <f>K33*VLOOKUP(H33,dagsoorttabel1,2,FALSE)</f>
        <v>192.94117647058823</v>
      </c>
      <c r="M33" s="94">
        <f>prodnorm15</f>
        <v>0</v>
      </c>
      <c r="N33" s="37">
        <f>dagwerk15</f>
        <v>0</v>
      </c>
      <c r="O33" s="91" t="s">
        <v>98</v>
      </c>
      <c r="P33" s="24">
        <f>uurtarief15</f>
        <v>0</v>
      </c>
      <c r="Q33" s="93" t="e">
        <f>IF(ISBLANK(M33),0,L33/ROUND(M33,4))</f>
        <v>#DIV/0!</v>
      </c>
      <c r="R33" s="93" t="e">
        <f>IF(ISBLANK(M33),0,Q33*ROUND(N33,2))</f>
        <v>#DIV/0!</v>
      </c>
      <c r="S33" s="24" t="e">
        <f>ROUND(P33,2)*Q33</f>
        <v>#DIV/0!</v>
      </c>
      <c r="T33" s="93" t="e">
        <f>Q33*dagenperjaar1</f>
        <v>#DIV/0!</v>
      </c>
      <c r="U33" s="25" t="e">
        <f>T33*ROUND(P33,2)</f>
        <v>#DIV/0!</v>
      </c>
    </row>
    <row r="34" spans="1:21" x14ac:dyDescent="0.2">
      <c r="A34" s="90" t="s">
        <v>251</v>
      </c>
      <c r="B34" s="91" t="s">
        <v>40</v>
      </c>
      <c r="C34" s="91" t="s">
        <v>218</v>
      </c>
      <c r="D34" s="91" t="s">
        <v>240</v>
      </c>
      <c r="E34" s="92" t="s">
        <v>248</v>
      </c>
      <c r="F34" s="91" t="s">
        <v>227</v>
      </c>
      <c r="G34" s="91" t="s">
        <v>183</v>
      </c>
      <c r="H34" s="91" t="s">
        <v>12</v>
      </c>
      <c r="I34" s="91" t="s">
        <v>171</v>
      </c>
      <c r="J34" s="91"/>
      <c r="K34" s="93">
        <v>32</v>
      </c>
      <c r="L34" s="93">
        <f>K34*VLOOKUP(H34,dagsoorttabel1,2,FALSE)</f>
        <v>25.098039215686274</v>
      </c>
      <c r="M34" s="94">
        <f>prodnorm15</f>
        <v>0</v>
      </c>
      <c r="N34" s="37">
        <f>dagwerk15</f>
        <v>0</v>
      </c>
      <c r="O34" s="91" t="s">
        <v>98</v>
      </c>
      <c r="P34" s="24">
        <f>uurtarief15</f>
        <v>0</v>
      </c>
      <c r="Q34" s="93" t="e">
        <f>IF(ISBLANK(M34),0,L34/ROUND(M34,4))</f>
        <v>#DIV/0!</v>
      </c>
      <c r="R34" s="93" t="e">
        <f>IF(ISBLANK(M34),0,Q34*ROUND(N34,2))</f>
        <v>#DIV/0!</v>
      </c>
      <c r="S34" s="24" t="e">
        <f>ROUND(P34,2)*Q34</f>
        <v>#DIV/0!</v>
      </c>
      <c r="T34" s="93" t="e">
        <f>Q34*dagenperjaar1</f>
        <v>#DIV/0!</v>
      </c>
      <c r="U34" s="25" t="e">
        <f>T34*ROUND(P34,2)</f>
        <v>#DIV/0!</v>
      </c>
    </row>
    <row r="35" spans="1:21" x14ac:dyDescent="0.2">
      <c r="A35" s="90" t="s">
        <v>251</v>
      </c>
      <c r="B35" s="91" t="s">
        <v>40</v>
      </c>
      <c r="C35" s="91" t="s">
        <v>218</v>
      </c>
      <c r="D35" s="91" t="s">
        <v>242</v>
      </c>
      <c r="E35" s="92" t="s">
        <v>226</v>
      </c>
      <c r="F35" s="91" t="s">
        <v>259</v>
      </c>
      <c r="G35" s="91" t="s">
        <v>173</v>
      </c>
      <c r="H35" s="91" t="s">
        <v>19</v>
      </c>
      <c r="I35" s="91" t="s">
        <v>171</v>
      </c>
      <c r="J35" s="91"/>
      <c r="K35" s="93">
        <v>6.3</v>
      </c>
      <c r="L35" s="93">
        <f>K35*VLOOKUP(H35,dagsoorttabel1,2,FALSE)</f>
        <v>0.24705882352941175</v>
      </c>
      <c r="M35" s="94">
        <f>prodnorm5</f>
        <v>0</v>
      </c>
      <c r="N35" s="37">
        <f>dagwerk5</f>
        <v>0</v>
      </c>
      <c r="O35" s="91" t="s">
        <v>98</v>
      </c>
      <c r="P35" s="24">
        <f>uurtarief5</f>
        <v>0</v>
      </c>
      <c r="Q35" s="93" t="e">
        <f>IF(ISBLANK(M35),0,L35/ROUND(M35,4))</f>
        <v>#DIV/0!</v>
      </c>
      <c r="R35" s="93" t="e">
        <f>IF(ISBLANK(M35),0,Q35*ROUND(N35,2))</f>
        <v>#DIV/0!</v>
      </c>
      <c r="S35" s="24" t="e">
        <f>ROUND(P35,2)*Q35</f>
        <v>#DIV/0!</v>
      </c>
      <c r="T35" s="93" t="e">
        <f>Q35*dagenperjaar1</f>
        <v>#DIV/0!</v>
      </c>
      <c r="U35" s="25" t="e">
        <f>T35*ROUND(P35,2)</f>
        <v>#DIV/0!</v>
      </c>
    </row>
    <row r="36" spans="1:21" x14ac:dyDescent="0.2">
      <c r="A36" s="90" t="s">
        <v>251</v>
      </c>
      <c r="B36" s="91" t="s">
        <v>40</v>
      </c>
      <c r="C36" s="91" t="s">
        <v>218</v>
      </c>
      <c r="D36" s="91" t="s">
        <v>244</v>
      </c>
      <c r="E36" s="92" t="s">
        <v>260</v>
      </c>
      <c r="F36" s="91" t="s">
        <v>224</v>
      </c>
      <c r="G36" s="91" t="s">
        <v>195</v>
      </c>
      <c r="H36" s="91" t="s">
        <v>12</v>
      </c>
      <c r="I36" s="91" t="s">
        <v>171</v>
      </c>
      <c r="J36" s="91"/>
      <c r="K36" s="93">
        <v>1</v>
      </c>
      <c r="L36" s="93">
        <f>K36*VLOOKUP(H36,dagsoorttabel1,2,FALSE)</f>
        <v>0.78431372549019607</v>
      </c>
      <c r="M36" s="94">
        <f>prodnorm24</f>
        <v>0</v>
      </c>
      <c r="N36" s="37">
        <f>dagwerk24</f>
        <v>0</v>
      </c>
      <c r="O36" s="91" t="s">
        <v>98</v>
      </c>
      <c r="P36" s="24">
        <f>uurtarief24</f>
        <v>0</v>
      </c>
      <c r="Q36" s="93" t="e">
        <f>IF(ISBLANK(M36),0,L36/ROUND(M36,4))</f>
        <v>#DIV/0!</v>
      </c>
      <c r="R36" s="93" t="e">
        <f>IF(ISBLANK(M36),0,Q36*ROUND(N36,2))</f>
        <v>#DIV/0!</v>
      </c>
      <c r="S36" s="24" t="e">
        <f>ROUND(P36,2)*Q36</f>
        <v>#DIV/0!</v>
      </c>
      <c r="T36" s="93" t="e">
        <f>Q36*dagenperjaar1</f>
        <v>#DIV/0!</v>
      </c>
      <c r="U36" s="25" t="e">
        <f>T36*ROUND(P36,2)</f>
        <v>#DIV/0!</v>
      </c>
    </row>
    <row r="37" spans="1:21" x14ac:dyDescent="0.2">
      <c r="A37" s="90" t="s">
        <v>251</v>
      </c>
      <c r="B37" s="91" t="s">
        <v>40</v>
      </c>
      <c r="C37" s="91" t="s">
        <v>218</v>
      </c>
      <c r="D37" s="91" t="s">
        <v>247</v>
      </c>
      <c r="E37" s="92" t="s">
        <v>254</v>
      </c>
      <c r="F37" s="91" t="s">
        <v>261</v>
      </c>
      <c r="G37" s="91" t="s">
        <v>199</v>
      </c>
      <c r="H37" s="91" t="s">
        <v>12</v>
      </c>
      <c r="I37" s="91" t="s">
        <v>171</v>
      </c>
      <c r="J37" s="91"/>
      <c r="K37" s="93">
        <v>6</v>
      </c>
      <c r="L37" s="93">
        <f>K37*VLOOKUP(H37,dagsoorttabel1,2,FALSE)</f>
        <v>4.7058823529411766</v>
      </c>
      <c r="M37" s="94">
        <f>prodnorm28</f>
        <v>0</v>
      </c>
      <c r="N37" s="37">
        <f>dagwerk28</f>
        <v>0</v>
      </c>
      <c r="O37" s="91" t="s">
        <v>98</v>
      </c>
      <c r="P37" s="24">
        <f>uurtarief28</f>
        <v>0</v>
      </c>
      <c r="Q37" s="93" t="e">
        <f>IF(ISBLANK(M37),0,L37/ROUND(M37,4))</f>
        <v>#DIV/0!</v>
      </c>
      <c r="R37" s="93" t="e">
        <f>IF(ISBLANK(M37),0,Q37*ROUND(N37,2))</f>
        <v>#DIV/0!</v>
      </c>
      <c r="S37" s="24" t="e">
        <f>ROUND(P37,2)*Q37</f>
        <v>#DIV/0!</v>
      </c>
      <c r="T37" s="93" t="e">
        <f>Q37*dagenperjaar1</f>
        <v>#DIV/0!</v>
      </c>
      <c r="U37" s="25" t="e">
        <f>T37*ROUND(P37,2)</f>
        <v>#DIV/0!</v>
      </c>
    </row>
    <row r="38" spans="1:21" x14ac:dyDescent="0.2">
      <c r="A38" s="90" t="s">
        <v>251</v>
      </c>
      <c r="B38" s="91" t="s">
        <v>40</v>
      </c>
      <c r="C38" s="91" t="s">
        <v>218</v>
      </c>
      <c r="D38" s="91" t="s">
        <v>262</v>
      </c>
      <c r="E38" s="92" t="s">
        <v>248</v>
      </c>
      <c r="F38" s="91" t="s">
        <v>227</v>
      </c>
      <c r="G38" s="91" t="s">
        <v>183</v>
      </c>
      <c r="H38" s="91" t="s">
        <v>19</v>
      </c>
      <c r="I38" s="91" t="s">
        <v>171</v>
      </c>
      <c r="J38" s="91"/>
      <c r="K38" s="93">
        <v>32</v>
      </c>
      <c r="L38" s="93">
        <f>K38*VLOOKUP(H38,dagsoorttabel1,2,FALSE)</f>
        <v>1.2549019607843137</v>
      </c>
      <c r="M38" s="94">
        <f>prodnorm14</f>
        <v>0</v>
      </c>
      <c r="N38" s="37">
        <f>dagwerk14</f>
        <v>0</v>
      </c>
      <c r="O38" s="91" t="s">
        <v>98</v>
      </c>
      <c r="P38" s="24">
        <f>uurtarief14</f>
        <v>0</v>
      </c>
      <c r="Q38" s="93" t="e">
        <f>IF(ISBLANK(M38),0,L38/ROUND(M38,4))</f>
        <v>#DIV/0!</v>
      </c>
      <c r="R38" s="93" t="e">
        <f>IF(ISBLANK(M38),0,Q38*ROUND(N38,2))</f>
        <v>#DIV/0!</v>
      </c>
      <c r="S38" s="24" t="e">
        <f>ROUND(P38,2)*Q38</f>
        <v>#DIV/0!</v>
      </c>
      <c r="T38" s="93" t="e">
        <f>Q38*dagenperjaar1</f>
        <v>#DIV/0!</v>
      </c>
      <c r="U38" s="25" t="e">
        <f>T38*ROUND(P38,2)</f>
        <v>#DIV/0!</v>
      </c>
    </row>
    <row r="39" spans="1:21" x14ac:dyDescent="0.2">
      <c r="A39" s="90" t="s">
        <v>251</v>
      </c>
      <c r="B39" s="91" t="s">
        <v>40</v>
      </c>
      <c r="C39" s="91" t="s">
        <v>218</v>
      </c>
      <c r="D39" s="91" t="s">
        <v>263</v>
      </c>
      <c r="E39" s="92" t="s">
        <v>264</v>
      </c>
      <c r="F39" s="91" t="s">
        <v>246</v>
      </c>
      <c r="G39" s="91" t="s">
        <v>183</v>
      </c>
      <c r="H39" s="91" t="s">
        <v>12</v>
      </c>
      <c r="I39" s="91" t="s">
        <v>171</v>
      </c>
      <c r="J39" s="91"/>
      <c r="K39" s="93">
        <v>246</v>
      </c>
      <c r="L39" s="93">
        <f>K39*VLOOKUP(H39,dagsoorttabel1,2,FALSE)</f>
        <v>192.94117647058823</v>
      </c>
      <c r="M39" s="94">
        <f>prodnorm15</f>
        <v>0</v>
      </c>
      <c r="N39" s="37">
        <f>dagwerk15</f>
        <v>0</v>
      </c>
      <c r="O39" s="91" t="s">
        <v>98</v>
      </c>
      <c r="P39" s="24">
        <f>uurtarief15</f>
        <v>0</v>
      </c>
      <c r="Q39" s="93" t="e">
        <f>IF(ISBLANK(M39),0,L39/ROUND(M39,4))</f>
        <v>#DIV/0!</v>
      </c>
      <c r="R39" s="93" t="e">
        <f>IF(ISBLANK(M39),0,Q39*ROUND(N39,2))</f>
        <v>#DIV/0!</v>
      </c>
      <c r="S39" s="24" t="e">
        <f>ROUND(P39,2)*Q39</f>
        <v>#DIV/0!</v>
      </c>
      <c r="T39" s="93" t="e">
        <f>Q39*dagenperjaar1</f>
        <v>#DIV/0!</v>
      </c>
      <c r="U39" s="25" t="e">
        <f>T39*ROUND(P39,2)</f>
        <v>#DIV/0!</v>
      </c>
    </row>
    <row r="40" spans="1:21" x14ac:dyDescent="0.2">
      <c r="A40" s="90" t="s">
        <v>251</v>
      </c>
      <c r="B40" s="91" t="s">
        <v>40</v>
      </c>
      <c r="C40" s="91" t="s">
        <v>218</v>
      </c>
      <c r="D40" s="91" t="s">
        <v>265</v>
      </c>
      <c r="E40" s="92" t="s">
        <v>233</v>
      </c>
      <c r="F40" s="91" t="s">
        <v>224</v>
      </c>
      <c r="G40" s="91" t="s">
        <v>187</v>
      </c>
      <c r="H40" s="91" t="s">
        <v>12</v>
      </c>
      <c r="I40" s="91" t="s">
        <v>171</v>
      </c>
      <c r="J40" s="91"/>
      <c r="K40" s="93">
        <v>36.1</v>
      </c>
      <c r="L40" s="93">
        <f>K40*VLOOKUP(H40,dagsoorttabel1,2,FALSE)</f>
        <v>28.313725490196081</v>
      </c>
      <c r="M40" s="94">
        <f>prodnorm19</f>
        <v>0</v>
      </c>
      <c r="N40" s="37">
        <f>dagwerk19</f>
        <v>0</v>
      </c>
      <c r="O40" s="91" t="s">
        <v>98</v>
      </c>
      <c r="P40" s="24">
        <f>uurtarief19</f>
        <v>0</v>
      </c>
      <c r="Q40" s="93" t="e">
        <f>IF(ISBLANK(M40),0,L40/ROUND(M40,4))</f>
        <v>#DIV/0!</v>
      </c>
      <c r="R40" s="93" t="e">
        <f>IF(ISBLANK(M40),0,Q40*ROUND(N40,2))</f>
        <v>#DIV/0!</v>
      </c>
      <c r="S40" s="24" t="e">
        <f>ROUND(P40,2)*Q40</f>
        <v>#DIV/0!</v>
      </c>
      <c r="T40" s="93" t="e">
        <f>Q40*dagenperjaar1</f>
        <v>#DIV/0!</v>
      </c>
      <c r="U40" s="25" t="e">
        <f>T40*ROUND(P40,2)</f>
        <v>#DIV/0!</v>
      </c>
    </row>
    <row r="41" spans="1:21" x14ac:dyDescent="0.2">
      <c r="A41" s="90" t="s">
        <v>251</v>
      </c>
      <c r="B41" s="91" t="s">
        <v>40</v>
      </c>
      <c r="C41" s="91" t="s">
        <v>218</v>
      </c>
      <c r="D41" s="91" t="s">
        <v>266</v>
      </c>
      <c r="E41" s="92" t="s">
        <v>239</v>
      </c>
      <c r="F41" s="91" t="s">
        <v>224</v>
      </c>
      <c r="G41" s="91" t="s">
        <v>195</v>
      </c>
      <c r="H41" s="91" t="s">
        <v>12</v>
      </c>
      <c r="I41" s="91" t="s">
        <v>171</v>
      </c>
      <c r="J41" s="91"/>
      <c r="K41" s="93">
        <v>1.5</v>
      </c>
      <c r="L41" s="93">
        <f>K41*VLOOKUP(H41,dagsoorttabel1,2,FALSE)</f>
        <v>1.1764705882352942</v>
      </c>
      <c r="M41" s="94">
        <f>prodnorm24</f>
        <v>0</v>
      </c>
      <c r="N41" s="37">
        <f>dagwerk24</f>
        <v>0</v>
      </c>
      <c r="O41" s="91" t="s">
        <v>98</v>
      </c>
      <c r="P41" s="24">
        <f>uurtarief24</f>
        <v>0</v>
      </c>
      <c r="Q41" s="93" t="e">
        <f>IF(ISBLANK(M41),0,L41/ROUND(M41,4))</f>
        <v>#DIV/0!</v>
      </c>
      <c r="R41" s="93" t="e">
        <f>IF(ISBLANK(M41),0,Q41*ROUND(N41,2))</f>
        <v>#DIV/0!</v>
      </c>
      <c r="S41" s="24" t="e">
        <f>ROUND(P41,2)*Q41</f>
        <v>#DIV/0!</v>
      </c>
      <c r="T41" s="93" t="e">
        <f>Q41*dagenperjaar1</f>
        <v>#DIV/0!</v>
      </c>
      <c r="U41" s="25" t="e">
        <f>T41*ROUND(P41,2)</f>
        <v>#DIV/0!</v>
      </c>
    </row>
    <row r="42" spans="1:21" x14ac:dyDescent="0.2">
      <c r="A42" s="90" t="s">
        <v>251</v>
      </c>
      <c r="B42" s="91" t="s">
        <v>40</v>
      </c>
      <c r="C42" s="91" t="s">
        <v>218</v>
      </c>
      <c r="D42" s="91" t="s">
        <v>267</v>
      </c>
      <c r="E42" s="92" t="s">
        <v>257</v>
      </c>
      <c r="F42" s="91" t="s">
        <v>224</v>
      </c>
      <c r="G42" s="91" t="s">
        <v>175</v>
      </c>
      <c r="H42" s="91" t="s">
        <v>12</v>
      </c>
      <c r="I42" s="91" t="s">
        <v>171</v>
      </c>
      <c r="J42" s="91"/>
      <c r="K42" s="93">
        <v>1.5</v>
      </c>
      <c r="L42" s="93">
        <f>K42*VLOOKUP(H42,dagsoorttabel1,2,FALSE)</f>
        <v>1.1764705882352942</v>
      </c>
      <c r="M42" s="94">
        <f>prodnorm6</f>
        <v>0</v>
      </c>
      <c r="N42" s="37">
        <f>dagwerk6</f>
        <v>0</v>
      </c>
      <c r="O42" s="91" t="s">
        <v>98</v>
      </c>
      <c r="P42" s="24">
        <f>uurtarief6</f>
        <v>0</v>
      </c>
      <c r="Q42" s="93" t="e">
        <f>IF(ISBLANK(M42),0,L42/ROUND(M42,4))</f>
        <v>#DIV/0!</v>
      </c>
      <c r="R42" s="93" t="e">
        <f>IF(ISBLANK(M42),0,Q42*ROUND(N42,2))</f>
        <v>#DIV/0!</v>
      </c>
      <c r="S42" s="24" t="e">
        <f>ROUND(P42,2)*Q42</f>
        <v>#DIV/0!</v>
      </c>
      <c r="T42" s="93" t="e">
        <f>Q42*dagenperjaar1</f>
        <v>#DIV/0!</v>
      </c>
      <c r="U42" s="25" t="e">
        <f>T42*ROUND(P42,2)</f>
        <v>#DIV/0!</v>
      </c>
    </row>
    <row r="43" spans="1:21" x14ac:dyDescent="0.2">
      <c r="A43" s="90" t="s">
        <v>251</v>
      </c>
      <c r="B43" s="91" t="s">
        <v>40</v>
      </c>
      <c r="C43" s="91" t="s">
        <v>218</v>
      </c>
      <c r="D43" s="91" t="s">
        <v>268</v>
      </c>
      <c r="E43" s="92" t="s">
        <v>255</v>
      </c>
      <c r="F43" s="91" t="s">
        <v>224</v>
      </c>
      <c r="G43" s="91" t="s">
        <v>175</v>
      </c>
      <c r="H43" s="91" t="s">
        <v>12</v>
      </c>
      <c r="I43" s="91" t="s">
        <v>171</v>
      </c>
      <c r="J43" s="91"/>
      <c r="K43" s="93">
        <v>15.8</v>
      </c>
      <c r="L43" s="93">
        <f>K43*VLOOKUP(H43,dagsoorttabel1,2,FALSE)</f>
        <v>12.392156862745098</v>
      </c>
      <c r="M43" s="94">
        <f>prodnorm6</f>
        <v>0</v>
      </c>
      <c r="N43" s="37">
        <f>dagwerk6</f>
        <v>0</v>
      </c>
      <c r="O43" s="91" t="s">
        <v>98</v>
      </c>
      <c r="P43" s="24">
        <f>uurtarief6</f>
        <v>0</v>
      </c>
      <c r="Q43" s="93" t="e">
        <f>IF(ISBLANK(M43),0,L43/ROUND(M43,4))</f>
        <v>#DIV/0!</v>
      </c>
      <c r="R43" s="93" t="e">
        <f>IF(ISBLANK(M43),0,Q43*ROUND(N43,2))</f>
        <v>#DIV/0!</v>
      </c>
      <c r="S43" s="24" t="e">
        <f>ROUND(P43,2)*Q43</f>
        <v>#DIV/0!</v>
      </c>
      <c r="T43" s="93" t="e">
        <f>Q43*dagenperjaar1</f>
        <v>#DIV/0!</v>
      </c>
      <c r="U43" s="25" t="e">
        <f>T43*ROUND(P43,2)</f>
        <v>#DIV/0!</v>
      </c>
    </row>
    <row r="44" spans="1:21" x14ac:dyDescent="0.2">
      <c r="A44" s="90" t="s">
        <v>251</v>
      </c>
      <c r="B44" s="91" t="s">
        <v>40</v>
      </c>
      <c r="C44" s="91" t="s">
        <v>218</v>
      </c>
      <c r="D44" s="91" t="s">
        <v>269</v>
      </c>
      <c r="E44" s="92" t="s">
        <v>255</v>
      </c>
      <c r="F44" s="91" t="s">
        <v>224</v>
      </c>
      <c r="G44" s="91" t="s">
        <v>175</v>
      </c>
      <c r="H44" s="91" t="s">
        <v>12</v>
      </c>
      <c r="I44" s="91" t="s">
        <v>171</v>
      </c>
      <c r="J44" s="91"/>
      <c r="K44" s="93">
        <v>15.8</v>
      </c>
      <c r="L44" s="93">
        <f>K44*VLOOKUP(H44,dagsoorttabel1,2,FALSE)</f>
        <v>12.392156862745098</v>
      </c>
      <c r="M44" s="94">
        <f>prodnorm6</f>
        <v>0</v>
      </c>
      <c r="N44" s="37">
        <f>dagwerk6</f>
        <v>0</v>
      </c>
      <c r="O44" s="91" t="s">
        <v>98</v>
      </c>
      <c r="P44" s="24">
        <f>uurtarief6</f>
        <v>0</v>
      </c>
      <c r="Q44" s="93" t="e">
        <f>IF(ISBLANK(M44),0,L44/ROUND(M44,4))</f>
        <v>#DIV/0!</v>
      </c>
      <c r="R44" s="93" t="e">
        <f>IF(ISBLANK(M44),0,Q44*ROUND(N44,2))</f>
        <v>#DIV/0!</v>
      </c>
      <c r="S44" s="24" t="e">
        <f>ROUND(P44,2)*Q44</f>
        <v>#DIV/0!</v>
      </c>
      <c r="T44" s="93" t="e">
        <f>Q44*dagenperjaar1</f>
        <v>#DIV/0!</v>
      </c>
      <c r="U44" s="25" t="e">
        <f>T44*ROUND(P44,2)</f>
        <v>#DIV/0!</v>
      </c>
    </row>
    <row r="45" spans="1:21" x14ac:dyDescent="0.2">
      <c r="A45" s="90" t="s">
        <v>251</v>
      </c>
      <c r="B45" s="91" t="s">
        <v>40</v>
      </c>
      <c r="C45" s="91" t="s">
        <v>218</v>
      </c>
      <c r="D45" s="91" t="s">
        <v>270</v>
      </c>
      <c r="E45" s="92" t="s">
        <v>257</v>
      </c>
      <c r="F45" s="91" t="s">
        <v>224</v>
      </c>
      <c r="G45" s="91" t="s">
        <v>175</v>
      </c>
      <c r="H45" s="91" t="s">
        <v>12</v>
      </c>
      <c r="I45" s="91" t="s">
        <v>171</v>
      </c>
      <c r="J45" s="91"/>
      <c r="K45" s="93">
        <v>1.2</v>
      </c>
      <c r="L45" s="93">
        <f>K45*VLOOKUP(H45,dagsoorttabel1,2,FALSE)</f>
        <v>0.94117647058823528</v>
      </c>
      <c r="M45" s="94">
        <f>prodnorm6</f>
        <v>0</v>
      </c>
      <c r="N45" s="37">
        <f>dagwerk6</f>
        <v>0</v>
      </c>
      <c r="O45" s="91" t="s">
        <v>98</v>
      </c>
      <c r="P45" s="24">
        <f>uurtarief6</f>
        <v>0</v>
      </c>
      <c r="Q45" s="93" t="e">
        <f>IF(ISBLANK(M45),0,L45/ROUND(M45,4))</f>
        <v>#DIV/0!</v>
      </c>
      <c r="R45" s="93" t="e">
        <f>IF(ISBLANK(M45),0,Q45*ROUND(N45,2))</f>
        <v>#DIV/0!</v>
      </c>
      <c r="S45" s="24" t="e">
        <f>ROUND(P45,2)*Q45</f>
        <v>#DIV/0!</v>
      </c>
      <c r="T45" s="93" t="e">
        <f>Q45*dagenperjaar1</f>
        <v>#DIV/0!</v>
      </c>
      <c r="U45" s="25" t="e">
        <f>T45*ROUND(P45,2)</f>
        <v>#DIV/0!</v>
      </c>
    </row>
    <row r="46" spans="1:21" x14ac:dyDescent="0.2">
      <c r="A46" s="90" t="s">
        <v>251</v>
      </c>
      <c r="B46" s="91" t="s">
        <v>40</v>
      </c>
      <c r="C46" s="91" t="s">
        <v>218</v>
      </c>
      <c r="D46" s="91" t="s">
        <v>271</v>
      </c>
      <c r="E46" s="92" t="s">
        <v>239</v>
      </c>
      <c r="F46" s="91" t="s">
        <v>224</v>
      </c>
      <c r="G46" s="91" t="s">
        <v>195</v>
      </c>
      <c r="H46" s="91" t="s">
        <v>12</v>
      </c>
      <c r="I46" s="91" t="s">
        <v>171</v>
      </c>
      <c r="J46" s="91"/>
      <c r="K46" s="93">
        <v>1.5</v>
      </c>
      <c r="L46" s="93">
        <f>K46*VLOOKUP(H46,dagsoorttabel1,2,FALSE)</f>
        <v>1.1764705882352942</v>
      </c>
      <c r="M46" s="94">
        <f>prodnorm24</f>
        <v>0</v>
      </c>
      <c r="N46" s="37">
        <f>dagwerk24</f>
        <v>0</v>
      </c>
      <c r="O46" s="91" t="s">
        <v>98</v>
      </c>
      <c r="P46" s="24">
        <f>uurtarief24</f>
        <v>0</v>
      </c>
      <c r="Q46" s="93" t="e">
        <f>IF(ISBLANK(M46),0,L46/ROUND(M46,4))</f>
        <v>#DIV/0!</v>
      </c>
      <c r="R46" s="93" t="e">
        <f>IF(ISBLANK(M46),0,Q46*ROUND(N46,2))</f>
        <v>#DIV/0!</v>
      </c>
      <c r="S46" s="24" t="e">
        <f>ROUND(P46,2)*Q46</f>
        <v>#DIV/0!</v>
      </c>
      <c r="T46" s="93" t="e">
        <f>Q46*dagenperjaar1</f>
        <v>#DIV/0!</v>
      </c>
      <c r="U46" s="25" t="e">
        <f>T46*ROUND(P46,2)</f>
        <v>#DIV/0!</v>
      </c>
    </row>
    <row r="47" spans="1:21" x14ac:dyDescent="0.2">
      <c r="A47" s="90" t="s">
        <v>251</v>
      </c>
      <c r="B47" s="91" t="s">
        <v>40</v>
      </c>
      <c r="C47" s="91" t="s">
        <v>218</v>
      </c>
      <c r="D47" s="91" t="s">
        <v>272</v>
      </c>
      <c r="E47" s="92" t="s">
        <v>233</v>
      </c>
      <c r="F47" s="91" t="s">
        <v>224</v>
      </c>
      <c r="G47" s="91" t="s">
        <v>187</v>
      </c>
      <c r="H47" s="91" t="s">
        <v>12</v>
      </c>
      <c r="I47" s="91" t="s">
        <v>171</v>
      </c>
      <c r="J47" s="91"/>
      <c r="K47" s="93">
        <v>33.5</v>
      </c>
      <c r="L47" s="93">
        <f>K47*VLOOKUP(H47,dagsoorttabel1,2,FALSE)</f>
        <v>26.274509803921568</v>
      </c>
      <c r="M47" s="94">
        <f>prodnorm19</f>
        <v>0</v>
      </c>
      <c r="N47" s="37">
        <f>dagwerk19</f>
        <v>0</v>
      </c>
      <c r="O47" s="91" t="s">
        <v>98</v>
      </c>
      <c r="P47" s="24">
        <f>uurtarief19</f>
        <v>0</v>
      </c>
      <c r="Q47" s="93" t="e">
        <f>IF(ISBLANK(M47),0,L47/ROUND(M47,4))</f>
        <v>#DIV/0!</v>
      </c>
      <c r="R47" s="93" t="e">
        <f>IF(ISBLANK(M47),0,Q47*ROUND(N47,2))</f>
        <v>#DIV/0!</v>
      </c>
      <c r="S47" s="24" t="e">
        <f>ROUND(P47,2)*Q47</f>
        <v>#DIV/0!</v>
      </c>
      <c r="T47" s="93" t="e">
        <f>Q47*dagenperjaar1</f>
        <v>#DIV/0!</v>
      </c>
      <c r="U47" s="25" t="e">
        <f>T47*ROUND(P47,2)</f>
        <v>#DIV/0!</v>
      </c>
    </row>
    <row r="48" spans="1:21" x14ac:dyDescent="0.2">
      <c r="A48" s="95" t="s">
        <v>251</v>
      </c>
      <c r="B48" s="96" t="s">
        <v>40</v>
      </c>
      <c r="C48" s="96" t="s">
        <v>218</v>
      </c>
      <c r="D48" s="96" t="s">
        <v>273</v>
      </c>
      <c r="E48" s="97" t="s">
        <v>274</v>
      </c>
      <c r="F48" s="96" t="s">
        <v>227</v>
      </c>
      <c r="G48" s="96" t="s">
        <v>170</v>
      </c>
      <c r="H48" s="96" t="s">
        <v>12</v>
      </c>
      <c r="I48" s="96" t="s">
        <v>171</v>
      </c>
      <c r="J48" s="96"/>
      <c r="K48" s="98">
        <v>22.5</v>
      </c>
      <c r="L48" s="98">
        <f>K48*VLOOKUP(H48,dagsoorttabel1,2,FALSE)</f>
        <v>17.647058823529413</v>
      </c>
      <c r="M48" s="99">
        <f>prodnorm4</f>
        <v>0</v>
      </c>
      <c r="N48" s="100">
        <f>dagwerk4</f>
        <v>0</v>
      </c>
      <c r="O48" s="96" t="s">
        <v>98</v>
      </c>
      <c r="P48" s="34">
        <f>uurtarief4</f>
        <v>0</v>
      </c>
      <c r="Q48" s="98" t="e">
        <f>IF(ISBLANK(M48),0,L48/ROUND(M48,4))</f>
        <v>#DIV/0!</v>
      </c>
      <c r="R48" s="98" t="e">
        <f>IF(ISBLANK(M48),0,Q48*ROUND(N48,2))</f>
        <v>#DIV/0!</v>
      </c>
      <c r="S48" s="34" t="e">
        <f>ROUND(P48,2)*Q48</f>
        <v>#DIV/0!</v>
      </c>
      <c r="T48" s="98" t="e">
        <f>Q48*dagenperjaar1</f>
        <v>#DIV/0!</v>
      </c>
      <c r="U48" s="35" t="e">
        <f>T48*ROUND(P48,2)</f>
        <v>#DIV/0!</v>
      </c>
    </row>
    <row r="49" spans="1:21" x14ac:dyDescent="0.2">
      <c r="A49" s="101" t="s">
        <v>249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5" t="e">
        <f>IF(_xlfn.SINGLE(object2_urenjaar1)&gt;0,_xlfn.SINGLE(object2_prijsjaar1)/_xlfn.SINGLE(object2_urenjaar1),0)</f>
        <v>#DIV/0!</v>
      </c>
      <c r="Q49" s="74" t="e">
        <f>SUM(Q22:Q48)</f>
        <v>#DIV/0!</v>
      </c>
      <c r="R49" s="74" t="e">
        <f>SUM(R22:R48)</f>
        <v>#DIV/0!</v>
      </c>
      <c r="S49" s="75" t="e">
        <f>SUM(S22:S48)</f>
        <v>#DIV/0!</v>
      </c>
      <c r="T49" s="74" t="e">
        <f>SUM(T22:T48)</f>
        <v>#DIV/0!</v>
      </c>
      <c r="U49" s="76" t="e">
        <f>SUM(U22:U48)</f>
        <v>#DIV/0!</v>
      </c>
    </row>
    <row r="50" spans="1:21" x14ac:dyDescent="0.2">
      <c r="A50" s="81" t="s">
        <v>275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71"/>
    </row>
    <row r="51" spans="1:21" x14ac:dyDescent="0.2">
      <c r="A51" s="82" t="s">
        <v>276</v>
      </c>
      <c r="B51" s="83" t="s">
        <v>40</v>
      </c>
      <c r="C51" s="83" t="s">
        <v>218</v>
      </c>
      <c r="D51" s="83" t="s">
        <v>228</v>
      </c>
      <c r="E51" s="84" t="s">
        <v>277</v>
      </c>
      <c r="F51" s="83" t="s">
        <v>278</v>
      </c>
      <c r="G51" s="83" t="s">
        <v>179</v>
      </c>
      <c r="H51" s="83" t="s">
        <v>12</v>
      </c>
      <c r="I51" s="83" t="s">
        <v>171</v>
      </c>
      <c r="J51" s="83"/>
      <c r="K51" s="85">
        <v>30.5</v>
      </c>
      <c r="L51" s="85">
        <f>K51*VLOOKUP(H51,dagsoorttabel1,2,FALSE)</f>
        <v>23.921568627450981</v>
      </c>
      <c r="M51" s="86">
        <f>prodnorm10</f>
        <v>0</v>
      </c>
      <c r="N51" s="87">
        <f>dagwerk10</f>
        <v>0</v>
      </c>
      <c r="O51" s="83" t="s">
        <v>98</v>
      </c>
      <c r="P51" s="88">
        <f>uurtarief10</f>
        <v>0</v>
      </c>
      <c r="Q51" s="85" t="e">
        <f>IF(ISBLANK(M51),0,L51/ROUND(M51,4))</f>
        <v>#DIV/0!</v>
      </c>
      <c r="R51" s="85" t="e">
        <f>IF(ISBLANK(M51),0,Q51*ROUND(N51,2))</f>
        <v>#DIV/0!</v>
      </c>
      <c r="S51" s="88" t="e">
        <f>ROUND(P51,2)*Q51</f>
        <v>#DIV/0!</v>
      </c>
      <c r="T51" s="85" t="e">
        <f>Q51*dagenperjaar1</f>
        <v>#DIV/0!</v>
      </c>
      <c r="U51" s="89" t="e">
        <f>T51*ROUND(P51,2)</f>
        <v>#DIV/0!</v>
      </c>
    </row>
    <row r="52" spans="1:21" x14ac:dyDescent="0.2">
      <c r="A52" s="90" t="s">
        <v>276</v>
      </c>
      <c r="B52" s="91" t="s">
        <v>40</v>
      </c>
      <c r="C52" s="91" t="s">
        <v>218</v>
      </c>
      <c r="D52" s="91" t="s">
        <v>230</v>
      </c>
      <c r="E52" s="92" t="s">
        <v>279</v>
      </c>
      <c r="F52" s="91" t="s">
        <v>224</v>
      </c>
      <c r="G52" s="91" t="s">
        <v>195</v>
      </c>
      <c r="H52" s="91" t="s">
        <v>12</v>
      </c>
      <c r="I52" s="91" t="s">
        <v>171</v>
      </c>
      <c r="J52" s="91"/>
      <c r="K52" s="93">
        <v>4.8</v>
      </c>
      <c r="L52" s="93">
        <f>K52*VLOOKUP(H52,dagsoorttabel1,2,FALSE)</f>
        <v>3.7647058823529411</v>
      </c>
      <c r="M52" s="94">
        <f>prodnorm24</f>
        <v>0</v>
      </c>
      <c r="N52" s="37">
        <f>dagwerk24</f>
        <v>0</v>
      </c>
      <c r="O52" s="91" t="s">
        <v>98</v>
      </c>
      <c r="P52" s="24">
        <f>uurtarief24</f>
        <v>0</v>
      </c>
      <c r="Q52" s="93" t="e">
        <f>IF(ISBLANK(M52),0,L52/ROUND(M52,4))</f>
        <v>#DIV/0!</v>
      </c>
      <c r="R52" s="93" t="e">
        <f>IF(ISBLANK(M52),0,Q52*ROUND(N52,2))</f>
        <v>#DIV/0!</v>
      </c>
      <c r="S52" s="24" t="e">
        <f>ROUND(P52,2)*Q52</f>
        <v>#DIV/0!</v>
      </c>
      <c r="T52" s="93" t="e">
        <f>Q52*dagenperjaar1</f>
        <v>#DIV/0!</v>
      </c>
      <c r="U52" s="25" t="e">
        <f>T52*ROUND(P52,2)</f>
        <v>#DIV/0!</v>
      </c>
    </row>
    <row r="53" spans="1:21" x14ac:dyDescent="0.2">
      <c r="A53" s="90" t="s">
        <v>276</v>
      </c>
      <c r="B53" s="91" t="s">
        <v>40</v>
      </c>
      <c r="C53" s="91" t="s">
        <v>218</v>
      </c>
      <c r="D53" s="91" t="s">
        <v>256</v>
      </c>
      <c r="E53" s="92" t="s">
        <v>226</v>
      </c>
      <c r="F53" s="91" t="s">
        <v>227</v>
      </c>
      <c r="G53" s="91" t="s">
        <v>170</v>
      </c>
      <c r="H53" s="91" t="s">
        <v>12</v>
      </c>
      <c r="I53" s="91" t="s">
        <v>171</v>
      </c>
      <c r="J53" s="91"/>
      <c r="K53" s="93">
        <v>5.5</v>
      </c>
      <c r="L53" s="93">
        <f>K53*VLOOKUP(H53,dagsoorttabel1,2,FALSE)</f>
        <v>4.3137254901960782</v>
      </c>
      <c r="M53" s="94">
        <f>prodnorm4</f>
        <v>0</v>
      </c>
      <c r="N53" s="37">
        <f>dagwerk4</f>
        <v>0</v>
      </c>
      <c r="O53" s="91" t="s">
        <v>98</v>
      </c>
      <c r="P53" s="24">
        <f>uurtarief4</f>
        <v>0</v>
      </c>
      <c r="Q53" s="93" t="e">
        <f>IF(ISBLANK(M53),0,L53/ROUND(M53,4))</f>
        <v>#DIV/0!</v>
      </c>
      <c r="R53" s="93" t="e">
        <f>IF(ISBLANK(M53),0,Q53*ROUND(N53,2))</f>
        <v>#DIV/0!</v>
      </c>
      <c r="S53" s="24" t="e">
        <f>ROUND(P53,2)*Q53</f>
        <v>#DIV/0!</v>
      </c>
      <c r="T53" s="93" t="e">
        <f>Q53*dagenperjaar1</f>
        <v>#DIV/0!</v>
      </c>
      <c r="U53" s="25" t="e">
        <f>T53*ROUND(P53,2)</f>
        <v>#DIV/0!</v>
      </c>
    </row>
    <row r="54" spans="1:21" x14ac:dyDescent="0.2">
      <c r="A54" s="90" t="s">
        <v>276</v>
      </c>
      <c r="B54" s="91" t="s">
        <v>40</v>
      </c>
      <c r="C54" s="91" t="s">
        <v>218</v>
      </c>
      <c r="D54" s="91" t="s">
        <v>232</v>
      </c>
      <c r="E54" s="92" t="s">
        <v>245</v>
      </c>
      <c r="F54" s="91" t="s">
        <v>246</v>
      </c>
      <c r="G54" s="91" t="s">
        <v>183</v>
      </c>
      <c r="H54" s="91" t="s">
        <v>12</v>
      </c>
      <c r="I54" s="91" t="s">
        <v>171</v>
      </c>
      <c r="J54" s="91"/>
      <c r="K54" s="93">
        <v>252</v>
      </c>
      <c r="L54" s="93">
        <f>K54*VLOOKUP(H54,dagsoorttabel1,2,FALSE)</f>
        <v>197.64705882352942</v>
      </c>
      <c r="M54" s="94">
        <f>prodnorm15</f>
        <v>0</v>
      </c>
      <c r="N54" s="37">
        <f>dagwerk15</f>
        <v>0</v>
      </c>
      <c r="O54" s="91" t="s">
        <v>98</v>
      </c>
      <c r="P54" s="24">
        <f>uurtarief15</f>
        <v>0</v>
      </c>
      <c r="Q54" s="93" t="e">
        <f>IF(ISBLANK(M54),0,L54/ROUND(M54,4))</f>
        <v>#DIV/0!</v>
      </c>
      <c r="R54" s="93" t="e">
        <f>IF(ISBLANK(M54),0,Q54*ROUND(N54,2))</f>
        <v>#DIV/0!</v>
      </c>
      <c r="S54" s="24" t="e">
        <f>ROUND(P54,2)*Q54</f>
        <v>#DIV/0!</v>
      </c>
      <c r="T54" s="93" t="e">
        <f>Q54*dagenperjaar1</f>
        <v>#DIV/0!</v>
      </c>
      <c r="U54" s="25" t="e">
        <f>T54*ROUND(P54,2)</f>
        <v>#DIV/0!</v>
      </c>
    </row>
    <row r="55" spans="1:21" x14ac:dyDescent="0.2">
      <c r="A55" s="90" t="s">
        <v>276</v>
      </c>
      <c r="B55" s="91" t="s">
        <v>40</v>
      </c>
      <c r="C55" s="91" t="s">
        <v>218</v>
      </c>
      <c r="D55" s="91" t="s">
        <v>234</v>
      </c>
      <c r="E55" s="92" t="s">
        <v>248</v>
      </c>
      <c r="F55" s="91" t="s">
        <v>246</v>
      </c>
      <c r="G55" s="91" t="s">
        <v>183</v>
      </c>
      <c r="H55" s="91" t="s">
        <v>19</v>
      </c>
      <c r="I55" s="91" t="s">
        <v>171</v>
      </c>
      <c r="J55" s="91"/>
      <c r="K55" s="93">
        <v>44.5</v>
      </c>
      <c r="L55" s="93">
        <f>K55*VLOOKUP(H55,dagsoorttabel1,2,FALSE)</f>
        <v>1.7450980392156863</v>
      </c>
      <c r="M55" s="94">
        <f>prodnorm14</f>
        <v>0</v>
      </c>
      <c r="N55" s="37">
        <f>dagwerk14</f>
        <v>0</v>
      </c>
      <c r="O55" s="91" t="s">
        <v>98</v>
      </c>
      <c r="P55" s="24">
        <f>uurtarief14</f>
        <v>0</v>
      </c>
      <c r="Q55" s="93" t="e">
        <f>IF(ISBLANK(M55),0,L55/ROUND(M55,4))</f>
        <v>#DIV/0!</v>
      </c>
      <c r="R55" s="93" t="e">
        <f>IF(ISBLANK(M55),0,Q55*ROUND(N55,2))</f>
        <v>#DIV/0!</v>
      </c>
      <c r="S55" s="24" t="e">
        <f>ROUND(P55,2)*Q55</f>
        <v>#DIV/0!</v>
      </c>
      <c r="T55" s="93" t="e">
        <f>Q55*dagenperjaar1</f>
        <v>#DIV/0!</v>
      </c>
      <c r="U55" s="25" t="e">
        <f>T55*ROUND(P55,2)</f>
        <v>#DIV/0!</v>
      </c>
    </row>
    <row r="56" spans="1:21" x14ac:dyDescent="0.2">
      <c r="A56" s="90" t="s">
        <v>276</v>
      </c>
      <c r="B56" s="91" t="s">
        <v>40</v>
      </c>
      <c r="C56" s="91" t="s">
        <v>218</v>
      </c>
      <c r="D56" s="91" t="s">
        <v>236</v>
      </c>
      <c r="E56" s="92" t="s">
        <v>233</v>
      </c>
      <c r="F56" s="91" t="s">
        <v>224</v>
      </c>
      <c r="G56" s="91" t="s">
        <v>187</v>
      </c>
      <c r="H56" s="91" t="s">
        <v>12</v>
      </c>
      <c r="I56" s="91" t="s">
        <v>171</v>
      </c>
      <c r="J56" s="91"/>
      <c r="K56" s="93">
        <v>20.5</v>
      </c>
      <c r="L56" s="93">
        <f>K56*VLOOKUP(H56,dagsoorttabel1,2,FALSE)</f>
        <v>16.078431372549019</v>
      </c>
      <c r="M56" s="94">
        <f>prodnorm19</f>
        <v>0</v>
      </c>
      <c r="N56" s="37">
        <f>dagwerk19</f>
        <v>0</v>
      </c>
      <c r="O56" s="91" t="s">
        <v>98</v>
      </c>
      <c r="P56" s="24">
        <f>uurtarief19</f>
        <v>0</v>
      </c>
      <c r="Q56" s="93" t="e">
        <f>IF(ISBLANK(M56),0,L56/ROUND(M56,4))</f>
        <v>#DIV/0!</v>
      </c>
      <c r="R56" s="93" t="e">
        <f>IF(ISBLANK(M56),0,Q56*ROUND(N56,2))</f>
        <v>#DIV/0!</v>
      </c>
      <c r="S56" s="24" t="e">
        <f>ROUND(P56,2)*Q56</f>
        <v>#DIV/0!</v>
      </c>
      <c r="T56" s="93" t="e">
        <f>Q56*dagenperjaar1</f>
        <v>#DIV/0!</v>
      </c>
      <c r="U56" s="25" t="e">
        <f>T56*ROUND(P56,2)</f>
        <v>#DIV/0!</v>
      </c>
    </row>
    <row r="57" spans="1:21" x14ac:dyDescent="0.2">
      <c r="A57" s="90" t="s">
        <v>276</v>
      </c>
      <c r="B57" s="91" t="s">
        <v>40</v>
      </c>
      <c r="C57" s="91" t="s">
        <v>218</v>
      </c>
      <c r="D57" s="91" t="s">
        <v>237</v>
      </c>
      <c r="E57" s="92" t="s">
        <v>239</v>
      </c>
      <c r="F57" s="91" t="s">
        <v>224</v>
      </c>
      <c r="G57" s="91" t="s">
        <v>195</v>
      </c>
      <c r="H57" s="91" t="s">
        <v>12</v>
      </c>
      <c r="I57" s="91" t="s">
        <v>171</v>
      </c>
      <c r="J57" s="91"/>
      <c r="K57" s="93">
        <v>1</v>
      </c>
      <c r="L57" s="93">
        <f>K57*VLOOKUP(H57,dagsoorttabel1,2,FALSE)</f>
        <v>0.78431372549019607</v>
      </c>
      <c r="M57" s="94">
        <f>prodnorm24</f>
        <v>0</v>
      </c>
      <c r="N57" s="37">
        <f>dagwerk24</f>
        <v>0</v>
      </c>
      <c r="O57" s="91" t="s">
        <v>98</v>
      </c>
      <c r="P57" s="24">
        <f>uurtarief24</f>
        <v>0</v>
      </c>
      <c r="Q57" s="93" t="e">
        <f>IF(ISBLANK(M57),0,L57/ROUND(M57,4))</f>
        <v>#DIV/0!</v>
      </c>
      <c r="R57" s="93" t="e">
        <f>IF(ISBLANK(M57),0,Q57*ROUND(N57,2))</f>
        <v>#DIV/0!</v>
      </c>
      <c r="S57" s="24" t="e">
        <f>ROUND(P57,2)*Q57</f>
        <v>#DIV/0!</v>
      </c>
      <c r="T57" s="93" t="e">
        <f>Q57*dagenperjaar1</f>
        <v>#DIV/0!</v>
      </c>
      <c r="U57" s="25" t="e">
        <f>T57*ROUND(P57,2)</f>
        <v>#DIV/0!</v>
      </c>
    </row>
    <row r="58" spans="1:21" x14ac:dyDescent="0.2">
      <c r="A58" s="90" t="s">
        <v>276</v>
      </c>
      <c r="B58" s="91" t="s">
        <v>40</v>
      </c>
      <c r="C58" s="91" t="s">
        <v>218</v>
      </c>
      <c r="D58" s="91" t="s">
        <v>238</v>
      </c>
      <c r="E58" s="92" t="s">
        <v>257</v>
      </c>
      <c r="F58" s="91" t="s">
        <v>224</v>
      </c>
      <c r="G58" s="91" t="s">
        <v>175</v>
      </c>
      <c r="H58" s="91" t="s">
        <v>12</v>
      </c>
      <c r="I58" s="91" t="s">
        <v>171</v>
      </c>
      <c r="J58" s="91"/>
      <c r="K58" s="93">
        <v>7.4</v>
      </c>
      <c r="L58" s="93">
        <f>K58*VLOOKUP(H58,dagsoorttabel1,2,FALSE)</f>
        <v>5.8039215686274508</v>
      </c>
      <c r="M58" s="94">
        <f>prodnorm6</f>
        <v>0</v>
      </c>
      <c r="N58" s="37">
        <f>dagwerk6</f>
        <v>0</v>
      </c>
      <c r="O58" s="91" t="s">
        <v>98</v>
      </c>
      <c r="P58" s="24">
        <f>uurtarief6</f>
        <v>0</v>
      </c>
      <c r="Q58" s="93" t="e">
        <f>IF(ISBLANK(M58),0,L58/ROUND(M58,4))</f>
        <v>#DIV/0!</v>
      </c>
      <c r="R58" s="93" t="e">
        <f>IF(ISBLANK(M58),0,Q58*ROUND(N58,2))</f>
        <v>#DIV/0!</v>
      </c>
      <c r="S58" s="24" t="e">
        <f>ROUND(P58,2)*Q58</f>
        <v>#DIV/0!</v>
      </c>
      <c r="T58" s="93" t="e">
        <f>Q58*dagenperjaar1</f>
        <v>#DIV/0!</v>
      </c>
      <c r="U58" s="25" t="e">
        <f>T58*ROUND(P58,2)</f>
        <v>#DIV/0!</v>
      </c>
    </row>
    <row r="59" spans="1:21" x14ac:dyDescent="0.2">
      <c r="A59" s="90" t="s">
        <v>276</v>
      </c>
      <c r="B59" s="91" t="s">
        <v>40</v>
      </c>
      <c r="C59" s="91" t="s">
        <v>218</v>
      </c>
      <c r="D59" s="91" t="s">
        <v>240</v>
      </c>
      <c r="E59" s="92" t="s">
        <v>233</v>
      </c>
      <c r="F59" s="91" t="s">
        <v>227</v>
      </c>
      <c r="G59" s="91" t="s">
        <v>187</v>
      </c>
      <c r="H59" s="91" t="s">
        <v>12</v>
      </c>
      <c r="I59" s="91" t="s">
        <v>171</v>
      </c>
      <c r="J59" s="91"/>
      <c r="K59" s="93">
        <v>20.5</v>
      </c>
      <c r="L59" s="93">
        <f>K59*VLOOKUP(H59,dagsoorttabel1,2,FALSE)</f>
        <v>16.078431372549019</v>
      </c>
      <c r="M59" s="94">
        <f>prodnorm19</f>
        <v>0</v>
      </c>
      <c r="N59" s="37">
        <f>dagwerk19</f>
        <v>0</v>
      </c>
      <c r="O59" s="91" t="s">
        <v>98</v>
      </c>
      <c r="P59" s="24">
        <f>uurtarief19</f>
        <v>0</v>
      </c>
      <c r="Q59" s="93" t="e">
        <f>IF(ISBLANK(M59),0,L59/ROUND(M59,4))</f>
        <v>#DIV/0!</v>
      </c>
      <c r="R59" s="93" t="e">
        <f>IF(ISBLANK(M59),0,Q59*ROUND(N59,2))</f>
        <v>#DIV/0!</v>
      </c>
      <c r="S59" s="24" t="e">
        <f>ROUND(P59,2)*Q59</f>
        <v>#DIV/0!</v>
      </c>
      <c r="T59" s="93" t="e">
        <f>Q59*dagenperjaar1</f>
        <v>#DIV/0!</v>
      </c>
      <c r="U59" s="25" t="e">
        <f>T59*ROUND(P59,2)</f>
        <v>#DIV/0!</v>
      </c>
    </row>
    <row r="60" spans="1:21" x14ac:dyDescent="0.2">
      <c r="A60" s="90" t="s">
        <v>276</v>
      </c>
      <c r="B60" s="91" t="s">
        <v>40</v>
      </c>
      <c r="C60" s="91" t="s">
        <v>218</v>
      </c>
      <c r="D60" s="91" t="s">
        <v>242</v>
      </c>
      <c r="E60" s="92" t="s">
        <v>239</v>
      </c>
      <c r="F60" s="91" t="s">
        <v>224</v>
      </c>
      <c r="G60" s="91" t="s">
        <v>195</v>
      </c>
      <c r="H60" s="91" t="s">
        <v>12</v>
      </c>
      <c r="I60" s="91" t="s">
        <v>171</v>
      </c>
      <c r="J60" s="91"/>
      <c r="K60" s="93">
        <v>1</v>
      </c>
      <c r="L60" s="93">
        <f>K60*VLOOKUP(H60,dagsoorttabel1,2,FALSE)</f>
        <v>0.78431372549019607</v>
      </c>
      <c r="M60" s="94">
        <f>prodnorm24</f>
        <v>0</v>
      </c>
      <c r="N60" s="37">
        <f>dagwerk24</f>
        <v>0</v>
      </c>
      <c r="O60" s="91" t="s">
        <v>98</v>
      </c>
      <c r="P60" s="24">
        <f>uurtarief24</f>
        <v>0</v>
      </c>
      <c r="Q60" s="93" t="e">
        <f>IF(ISBLANK(M60),0,L60/ROUND(M60,4))</f>
        <v>#DIV/0!</v>
      </c>
      <c r="R60" s="93" t="e">
        <f>IF(ISBLANK(M60),0,Q60*ROUND(N60,2))</f>
        <v>#DIV/0!</v>
      </c>
      <c r="S60" s="24" t="e">
        <f>ROUND(P60,2)*Q60</f>
        <v>#DIV/0!</v>
      </c>
      <c r="T60" s="93" t="e">
        <f>Q60*dagenperjaar1</f>
        <v>#DIV/0!</v>
      </c>
      <c r="U60" s="25" t="e">
        <f>T60*ROUND(P60,2)</f>
        <v>#DIV/0!</v>
      </c>
    </row>
    <row r="61" spans="1:21" x14ac:dyDescent="0.2">
      <c r="A61" s="90" t="s">
        <v>276</v>
      </c>
      <c r="B61" s="91" t="s">
        <v>40</v>
      </c>
      <c r="C61" s="91" t="s">
        <v>218</v>
      </c>
      <c r="D61" s="91" t="s">
        <v>243</v>
      </c>
      <c r="E61" s="92" t="s">
        <v>257</v>
      </c>
      <c r="F61" s="91" t="s">
        <v>224</v>
      </c>
      <c r="G61" s="91" t="s">
        <v>175</v>
      </c>
      <c r="H61" s="91" t="s">
        <v>12</v>
      </c>
      <c r="I61" s="91" t="s">
        <v>171</v>
      </c>
      <c r="J61" s="91"/>
      <c r="K61" s="93">
        <v>7.4</v>
      </c>
      <c r="L61" s="93">
        <f>K61*VLOOKUP(H61,dagsoorttabel1,2,FALSE)</f>
        <v>5.8039215686274508</v>
      </c>
      <c r="M61" s="94">
        <f>prodnorm6</f>
        <v>0</v>
      </c>
      <c r="N61" s="37">
        <f>dagwerk6</f>
        <v>0</v>
      </c>
      <c r="O61" s="91" t="s">
        <v>98</v>
      </c>
      <c r="P61" s="24">
        <f>uurtarief6</f>
        <v>0</v>
      </c>
      <c r="Q61" s="93" t="e">
        <f>IF(ISBLANK(M61),0,L61/ROUND(M61,4))</f>
        <v>#DIV/0!</v>
      </c>
      <c r="R61" s="93" t="e">
        <f>IF(ISBLANK(M61),0,Q61*ROUND(N61,2))</f>
        <v>#DIV/0!</v>
      </c>
      <c r="S61" s="24" t="e">
        <f>ROUND(P61,2)*Q61</f>
        <v>#DIV/0!</v>
      </c>
      <c r="T61" s="93" t="e">
        <f>Q61*dagenperjaar1</f>
        <v>#DIV/0!</v>
      </c>
      <c r="U61" s="25" t="e">
        <f>T61*ROUND(P61,2)</f>
        <v>#DIV/0!</v>
      </c>
    </row>
    <row r="62" spans="1:21" x14ac:dyDescent="0.2">
      <c r="A62" s="95" t="s">
        <v>276</v>
      </c>
      <c r="B62" s="96" t="s">
        <v>40</v>
      </c>
      <c r="C62" s="96" t="s">
        <v>218</v>
      </c>
      <c r="D62" s="96" t="s">
        <v>280</v>
      </c>
      <c r="E62" s="97" t="s">
        <v>254</v>
      </c>
      <c r="F62" s="96" t="s">
        <v>259</v>
      </c>
      <c r="G62" s="96" t="s">
        <v>199</v>
      </c>
      <c r="H62" s="96" t="s">
        <v>12</v>
      </c>
      <c r="I62" s="96" t="s">
        <v>171</v>
      </c>
      <c r="J62" s="96"/>
      <c r="K62" s="98">
        <v>6</v>
      </c>
      <c r="L62" s="98">
        <f>K62*VLOOKUP(H62,dagsoorttabel1,2,FALSE)</f>
        <v>4.7058823529411766</v>
      </c>
      <c r="M62" s="99">
        <f>prodnorm28</f>
        <v>0</v>
      </c>
      <c r="N62" s="100">
        <f>dagwerk28</f>
        <v>0</v>
      </c>
      <c r="O62" s="96" t="s">
        <v>98</v>
      </c>
      <c r="P62" s="34">
        <f>uurtarief28</f>
        <v>0</v>
      </c>
      <c r="Q62" s="98" t="e">
        <f>IF(ISBLANK(M62),0,L62/ROUND(M62,4))</f>
        <v>#DIV/0!</v>
      </c>
      <c r="R62" s="98" t="e">
        <f>IF(ISBLANK(M62),0,Q62*ROUND(N62,2))</f>
        <v>#DIV/0!</v>
      </c>
      <c r="S62" s="34" t="e">
        <f>ROUND(P62,2)*Q62</f>
        <v>#DIV/0!</v>
      </c>
      <c r="T62" s="98" t="e">
        <f>Q62*dagenperjaar1</f>
        <v>#DIV/0!</v>
      </c>
      <c r="U62" s="35" t="e">
        <f>T62*ROUND(P62,2)</f>
        <v>#DIV/0!</v>
      </c>
    </row>
    <row r="63" spans="1:21" x14ac:dyDescent="0.2">
      <c r="A63" s="101" t="s">
        <v>249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5" t="e">
        <f>IF(_xlfn.SINGLE(object3_urenjaar1)&gt;0,_xlfn.SINGLE(object3_prijsjaar1)/_xlfn.SINGLE(object3_urenjaar1),0)</f>
        <v>#DIV/0!</v>
      </c>
      <c r="Q63" s="74" t="e">
        <f>SUM(Q51:Q62)</f>
        <v>#DIV/0!</v>
      </c>
      <c r="R63" s="74" t="e">
        <f>SUM(R51:R62)</f>
        <v>#DIV/0!</v>
      </c>
      <c r="S63" s="75" t="e">
        <f>SUM(S51:S62)</f>
        <v>#DIV/0!</v>
      </c>
      <c r="T63" s="74" t="e">
        <f>SUM(T51:T62)</f>
        <v>#DIV/0!</v>
      </c>
      <c r="U63" s="76" t="e">
        <f>SUM(U51:U62)</f>
        <v>#DIV/0!</v>
      </c>
    </row>
    <row r="64" spans="1:21" x14ac:dyDescent="0.2">
      <c r="A64" s="81" t="s">
        <v>281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71"/>
    </row>
    <row r="65" spans="1:21" x14ac:dyDescent="0.2">
      <c r="A65" s="82" t="s">
        <v>282</v>
      </c>
      <c r="B65" s="83" t="s">
        <v>40</v>
      </c>
      <c r="C65" s="83" t="s">
        <v>218</v>
      </c>
      <c r="D65" s="83" t="s">
        <v>219</v>
      </c>
      <c r="E65" s="84" t="s">
        <v>283</v>
      </c>
      <c r="F65" s="83" t="s">
        <v>221</v>
      </c>
      <c r="G65" s="83" t="s">
        <v>179</v>
      </c>
      <c r="H65" s="83" t="s">
        <v>12</v>
      </c>
      <c r="I65" s="83" t="s">
        <v>171</v>
      </c>
      <c r="J65" s="83"/>
      <c r="K65" s="85">
        <v>25</v>
      </c>
      <c r="L65" s="85">
        <f>K65*VLOOKUP(H65,dagsoorttabel1,2,FALSE)</f>
        <v>19.607843137254903</v>
      </c>
      <c r="M65" s="86">
        <f>prodnorm10</f>
        <v>0</v>
      </c>
      <c r="N65" s="87">
        <f>dagwerk10</f>
        <v>0</v>
      </c>
      <c r="O65" s="83" t="s">
        <v>98</v>
      </c>
      <c r="P65" s="88">
        <f>uurtarief10</f>
        <v>0</v>
      </c>
      <c r="Q65" s="85" t="e">
        <f>IF(ISBLANK(M65),0,L65/ROUND(M65,4))</f>
        <v>#DIV/0!</v>
      </c>
      <c r="R65" s="85" t="e">
        <f>IF(ISBLANK(M65),0,Q65*ROUND(N65,2))</f>
        <v>#DIV/0!</v>
      </c>
      <c r="S65" s="88" t="e">
        <f>ROUND(P65,2)*Q65</f>
        <v>#DIV/0!</v>
      </c>
      <c r="T65" s="85" t="e">
        <f>Q65*dagenperjaar1</f>
        <v>#DIV/0!</v>
      </c>
      <c r="U65" s="89" t="e">
        <f>T65*ROUND(P65,2)</f>
        <v>#DIV/0!</v>
      </c>
    </row>
    <row r="66" spans="1:21" x14ac:dyDescent="0.2">
      <c r="A66" s="90" t="s">
        <v>282</v>
      </c>
      <c r="B66" s="91" t="s">
        <v>40</v>
      </c>
      <c r="C66" s="91" t="s">
        <v>218</v>
      </c>
      <c r="D66" s="91" t="s">
        <v>222</v>
      </c>
      <c r="E66" s="92" t="s">
        <v>226</v>
      </c>
      <c r="F66" s="91" t="s">
        <v>259</v>
      </c>
      <c r="G66" s="91" t="s">
        <v>170</v>
      </c>
      <c r="H66" s="91" t="s">
        <v>12</v>
      </c>
      <c r="I66" s="91" t="s">
        <v>171</v>
      </c>
      <c r="J66" s="91"/>
      <c r="K66" s="93">
        <v>4</v>
      </c>
      <c r="L66" s="93">
        <f>K66*VLOOKUP(H66,dagsoorttabel1,2,FALSE)</f>
        <v>3.1372549019607843</v>
      </c>
      <c r="M66" s="94">
        <f>prodnorm4</f>
        <v>0</v>
      </c>
      <c r="N66" s="37">
        <f>dagwerk4</f>
        <v>0</v>
      </c>
      <c r="O66" s="91" t="s">
        <v>98</v>
      </c>
      <c r="P66" s="24">
        <f>uurtarief4</f>
        <v>0</v>
      </c>
      <c r="Q66" s="93" t="e">
        <f>IF(ISBLANK(M66),0,L66/ROUND(M66,4))</f>
        <v>#DIV/0!</v>
      </c>
      <c r="R66" s="93" t="e">
        <f>IF(ISBLANK(M66),0,Q66*ROUND(N66,2))</f>
        <v>#DIV/0!</v>
      </c>
      <c r="S66" s="24" t="e">
        <f>ROUND(P66,2)*Q66</f>
        <v>#DIV/0!</v>
      </c>
      <c r="T66" s="93" t="e">
        <f>Q66*dagenperjaar1</f>
        <v>#DIV/0!</v>
      </c>
      <c r="U66" s="25" t="e">
        <f>T66*ROUND(P66,2)</f>
        <v>#DIV/0!</v>
      </c>
    </row>
    <row r="67" spans="1:21" x14ac:dyDescent="0.2">
      <c r="A67" s="90" t="s">
        <v>282</v>
      </c>
      <c r="B67" s="91" t="s">
        <v>40</v>
      </c>
      <c r="C67" s="91" t="s">
        <v>218</v>
      </c>
      <c r="D67" s="91" t="s">
        <v>225</v>
      </c>
      <c r="E67" s="92" t="s">
        <v>284</v>
      </c>
      <c r="F67" s="91" t="s">
        <v>224</v>
      </c>
      <c r="G67" s="91" t="s">
        <v>195</v>
      </c>
      <c r="H67" s="91" t="s">
        <v>12</v>
      </c>
      <c r="I67" s="91" t="s">
        <v>171</v>
      </c>
      <c r="J67" s="91"/>
      <c r="K67" s="93">
        <v>2</v>
      </c>
      <c r="L67" s="93">
        <f>K67*VLOOKUP(H67,dagsoorttabel1,2,FALSE)</f>
        <v>1.5686274509803921</v>
      </c>
      <c r="M67" s="94">
        <f>prodnorm24</f>
        <v>0</v>
      </c>
      <c r="N67" s="37">
        <f>dagwerk24</f>
        <v>0</v>
      </c>
      <c r="O67" s="91" t="s">
        <v>98</v>
      </c>
      <c r="P67" s="24">
        <f>uurtarief24</f>
        <v>0</v>
      </c>
      <c r="Q67" s="93" t="e">
        <f>IF(ISBLANK(M67),0,L67/ROUND(M67,4))</f>
        <v>#DIV/0!</v>
      </c>
      <c r="R67" s="93" t="e">
        <f>IF(ISBLANK(M67),0,Q67*ROUND(N67,2))</f>
        <v>#DIV/0!</v>
      </c>
      <c r="S67" s="24" t="e">
        <f>ROUND(P67,2)*Q67</f>
        <v>#DIV/0!</v>
      </c>
      <c r="T67" s="93" t="e">
        <f>Q67*dagenperjaar1</f>
        <v>#DIV/0!</v>
      </c>
      <c r="U67" s="25" t="e">
        <f>T67*ROUND(P67,2)</f>
        <v>#DIV/0!</v>
      </c>
    </row>
    <row r="68" spans="1:21" x14ac:dyDescent="0.2">
      <c r="A68" s="90" t="s">
        <v>282</v>
      </c>
      <c r="B68" s="91" t="s">
        <v>40</v>
      </c>
      <c r="C68" s="91" t="s">
        <v>218</v>
      </c>
      <c r="D68" s="91" t="s">
        <v>228</v>
      </c>
      <c r="E68" s="92" t="s">
        <v>233</v>
      </c>
      <c r="F68" s="91" t="s">
        <v>224</v>
      </c>
      <c r="G68" s="91" t="s">
        <v>187</v>
      </c>
      <c r="H68" s="91" t="s">
        <v>12</v>
      </c>
      <c r="I68" s="91" t="s">
        <v>171</v>
      </c>
      <c r="J68" s="91"/>
      <c r="K68" s="93">
        <v>30</v>
      </c>
      <c r="L68" s="93">
        <f>K68*VLOOKUP(H68,dagsoorttabel1,2,FALSE)</f>
        <v>23.52941176470588</v>
      </c>
      <c r="M68" s="94">
        <f>prodnorm19</f>
        <v>0</v>
      </c>
      <c r="N68" s="37">
        <f>dagwerk19</f>
        <v>0</v>
      </c>
      <c r="O68" s="91" t="s">
        <v>98</v>
      </c>
      <c r="P68" s="24">
        <f>uurtarief19</f>
        <v>0</v>
      </c>
      <c r="Q68" s="93" t="e">
        <f>IF(ISBLANK(M68),0,L68/ROUND(M68,4))</f>
        <v>#DIV/0!</v>
      </c>
      <c r="R68" s="93" t="e">
        <f>IF(ISBLANK(M68),0,Q68*ROUND(N68,2))</f>
        <v>#DIV/0!</v>
      </c>
      <c r="S68" s="24" t="e">
        <f>ROUND(P68,2)*Q68</f>
        <v>#DIV/0!</v>
      </c>
      <c r="T68" s="93" t="e">
        <f>Q68*dagenperjaar1</f>
        <v>#DIV/0!</v>
      </c>
      <c r="U68" s="25" t="e">
        <f>T68*ROUND(P68,2)</f>
        <v>#DIV/0!</v>
      </c>
    </row>
    <row r="69" spans="1:21" x14ac:dyDescent="0.2">
      <c r="A69" s="90" t="s">
        <v>282</v>
      </c>
      <c r="B69" s="91" t="s">
        <v>40</v>
      </c>
      <c r="C69" s="91" t="s">
        <v>218</v>
      </c>
      <c r="D69" s="91" t="s">
        <v>230</v>
      </c>
      <c r="E69" s="92" t="s">
        <v>239</v>
      </c>
      <c r="F69" s="91" t="s">
        <v>224</v>
      </c>
      <c r="G69" s="91" t="s">
        <v>195</v>
      </c>
      <c r="H69" s="91" t="s">
        <v>12</v>
      </c>
      <c r="I69" s="91" t="s">
        <v>171</v>
      </c>
      <c r="J69" s="91"/>
      <c r="K69" s="93">
        <v>1.5</v>
      </c>
      <c r="L69" s="93">
        <f>K69*VLOOKUP(H69,dagsoorttabel1,2,FALSE)</f>
        <v>1.1764705882352942</v>
      </c>
      <c r="M69" s="94">
        <f>prodnorm24</f>
        <v>0</v>
      </c>
      <c r="N69" s="37">
        <f>dagwerk24</f>
        <v>0</v>
      </c>
      <c r="O69" s="91" t="s">
        <v>98</v>
      </c>
      <c r="P69" s="24">
        <f>uurtarief24</f>
        <v>0</v>
      </c>
      <c r="Q69" s="93" t="e">
        <f>IF(ISBLANK(M69),0,L69/ROUND(M69,4))</f>
        <v>#DIV/0!</v>
      </c>
      <c r="R69" s="93" t="e">
        <f>IF(ISBLANK(M69),0,Q69*ROUND(N69,2))</f>
        <v>#DIV/0!</v>
      </c>
      <c r="S69" s="24" t="e">
        <f>ROUND(P69,2)*Q69</f>
        <v>#DIV/0!</v>
      </c>
      <c r="T69" s="93" t="e">
        <f>Q69*dagenperjaar1</f>
        <v>#DIV/0!</v>
      </c>
      <c r="U69" s="25" t="e">
        <f>T69*ROUND(P69,2)</f>
        <v>#DIV/0!</v>
      </c>
    </row>
    <row r="70" spans="1:21" x14ac:dyDescent="0.2">
      <c r="A70" s="90" t="s">
        <v>282</v>
      </c>
      <c r="B70" s="91" t="s">
        <v>40</v>
      </c>
      <c r="C70" s="91" t="s">
        <v>218</v>
      </c>
      <c r="D70" s="91" t="s">
        <v>256</v>
      </c>
      <c r="E70" s="92" t="s">
        <v>241</v>
      </c>
      <c r="F70" s="91" t="s">
        <v>224</v>
      </c>
      <c r="G70" s="91" t="s">
        <v>175</v>
      </c>
      <c r="H70" s="91" t="s">
        <v>12</v>
      </c>
      <c r="I70" s="91" t="s">
        <v>171</v>
      </c>
      <c r="J70" s="91"/>
      <c r="K70" s="93">
        <v>1.4</v>
      </c>
      <c r="L70" s="93">
        <f>K70*VLOOKUP(H70,dagsoorttabel1,2,FALSE)</f>
        <v>1.0980392156862744</v>
      </c>
      <c r="M70" s="94">
        <f>prodnorm6</f>
        <v>0</v>
      </c>
      <c r="N70" s="37">
        <f>dagwerk6</f>
        <v>0</v>
      </c>
      <c r="O70" s="91" t="s">
        <v>98</v>
      </c>
      <c r="P70" s="24">
        <f>uurtarief6</f>
        <v>0</v>
      </c>
      <c r="Q70" s="93" t="e">
        <f>IF(ISBLANK(M70),0,L70/ROUND(M70,4))</f>
        <v>#DIV/0!</v>
      </c>
      <c r="R70" s="93" t="e">
        <f>IF(ISBLANK(M70),0,Q70*ROUND(N70,2))</f>
        <v>#DIV/0!</v>
      </c>
      <c r="S70" s="24" t="e">
        <f>ROUND(P70,2)*Q70</f>
        <v>#DIV/0!</v>
      </c>
      <c r="T70" s="93" t="e">
        <f>Q70*dagenperjaar1</f>
        <v>#DIV/0!</v>
      </c>
      <c r="U70" s="25" t="e">
        <f>T70*ROUND(P70,2)</f>
        <v>#DIV/0!</v>
      </c>
    </row>
    <row r="71" spans="1:21" x14ac:dyDescent="0.2">
      <c r="A71" s="90" t="s">
        <v>282</v>
      </c>
      <c r="B71" s="91" t="s">
        <v>40</v>
      </c>
      <c r="C71" s="91" t="s">
        <v>218</v>
      </c>
      <c r="D71" s="91" t="s">
        <v>232</v>
      </c>
      <c r="E71" s="92" t="s">
        <v>285</v>
      </c>
      <c r="F71" s="91" t="s">
        <v>224</v>
      </c>
      <c r="G71" s="91" t="s">
        <v>187</v>
      </c>
      <c r="H71" s="91" t="s">
        <v>12</v>
      </c>
      <c r="I71" s="91" t="s">
        <v>171</v>
      </c>
      <c r="J71" s="91"/>
      <c r="K71" s="93">
        <v>8.5</v>
      </c>
      <c r="L71" s="93">
        <f>K71*VLOOKUP(H71,dagsoorttabel1,2,FALSE)</f>
        <v>6.666666666666667</v>
      </c>
      <c r="M71" s="94">
        <f>prodnorm19</f>
        <v>0</v>
      </c>
      <c r="N71" s="37">
        <f>dagwerk19</f>
        <v>0</v>
      </c>
      <c r="O71" s="91" t="s">
        <v>98</v>
      </c>
      <c r="P71" s="24">
        <f>uurtarief19</f>
        <v>0</v>
      </c>
      <c r="Q71" s="93" t="e">
        <f>IF(ISBLANK(M71),0,L71/ROUND(M71,4))</f>
        <v>#DIV/0!</v>
      </c>
      <c r="R71" s="93" t="e">
        <f>IF(ISBLANK(M71),0,Q71*ROUND(N71,2))</f>
        <v>#DIV/0!</v>
      </c>
      <c r="S71" s="24" t="e">
        <f>ROUND(P71,2)*Q71</f>
        <v>#DIV/0!</v>
      </c>
      <c r="T71" s="93" t="e">
        <f>Q71*dagenperjaar1</f>
        <v>#DIV/0!</v>
      </c>
      <c r="U71" s="25" t="e">
        <f>T71*ROUND(P71,2)</f>
        <v>#DIV/0!</v>
      </c>
    </row>
    <row r="72" spans="1:21" x14ac:dyDescent="0.2">
      <c r="A72" s="90" t="s">
        <v>282</v>
      </c>
      <c r="B72" s="91" t="s">
        <v>40</v>
      </c>
      <c r="C72" s="91" t="s">
        <v>218</v>
      </c>
      <c r="D72" s="91" t="s">
        <v>234</v>
      </c>
      <c r="E72" s="92" t="s">
        <v>241</v>
      </c>
      <c r="F72" s="91" t="s">
        <v>224</v>
      </c>
      <c r="G72" s="91" t="s">
        <v>175</v>
      </c>
      <c r="H72" s="91" t="s">
        <v>12</v>
      </c>
      <c r="I72" s="91" t="s">
        <v>171</v>
      </c>
      <c r="J72" s="91"/>
      <c r="K72" s="93">
        <v>6.4</v>
      </c>
      <c r="L72" s="93">
        <f>K72*VLOOKUP(H72,dagsoorttabel1,2,FALSE)</f>
        <v>5.0196078431372548</v>
      </c>
      <c r="M72" s="94">
        <f>prodnorm6</f>
        <v>0</v>
      </c>
      <c r="N72" s="37">
        <f>dagwerk6</f>
        <v>0</v>
      </c>
      <c r="O72" s="91" t="s">
        <v>98</v>
      </c>
      <c r="P72" s="24">
        <f>uurtarief6</f>
        <v>0</v>
      </c>
      <c r="Q72" s="93" t="e">
        <f>IF(ISBLANK(M72),0,L72/ROUND(M72,4))</f>
        <v>#DIV/0!</v>
      </c>
      <c r="R72" s="93" t="e">
        <f>IF(ISBLANK(M72),0,Q72*ROUND(N72,2))</f>
        <v>#DIV/0!</v>
      </c>
      <c r="S72" s="24" t="e">
        <f>ROUND(P72,2)*Q72</f>
        <v>#DIV/0!</v>
      </c>
      <c r="T72" s="93" t="e">
        <f>Q72*dagenperjaar1</f>
        <v>#DIV/0!</v>
      </c>
      <c r="U72" s="25" t="e">
        <f>T72*ROUND(P72,2)</f>
        <v>#DIV/0!</v>
      </c>
    </row>
    <row r="73" spans="1:21" x14ac:dyDescent="0.2">
      <c r="A73" s="90" t="s">
        <v>282</v>
      </c>
      <c r="B73" s="91" t="s">
        <v>40</v>
      </c>
      <c r="C73" s="91" t="s">
        <v>218</v>
      </c>
      <c r="D73" s="91" t="s">
        <v>236</v>
      </c>
      <c r="E73" s="92" t="s">
        <v>241</v>
      </c>
      <c r="F73" s="91" t="s">
        <v>224</v>
      </c>
      <c r="G73" s="91" t="s">
        <v>175</v>
      </c>
      <c r="H73" s="91" t="s">
        <v>12</v>
      </c>
      <c r="I73" s="91" t="s">
        <v>171</v>
      </c>
      <c r="J73" s="91"/>
      <c r="K73" s="93">
        <v>6.4</v>
      </c>
      <c r="L73" s="93">
        <f>K73*VLOOKUP(H73,dagsoorttabel1,2,FALSE)</f>
        <v>5.0196078431372548</v>
      </c>
      <c r="M73" s="94">
        <f>prodnorm6</f>
        <v>0</v>
      </c>
      <c r="N73" s="37">
        <f>dagwerk6</f>
        <v>0</v>
      </c>
      <c r="O73" s="91" t="s">
        <v>98</v>
      </c>
      <c r="P73" s="24">
        <f>uurtarief6</f>
        <v>0</v>
      </c>
      <c r="Q73" s="93" t="e">
        <f>IF(ISBLANK(M73),0,L73/ROUND(M73,4))</f>
        <v>#DIV/0!</v>
      </c>
      <c r="R73" s="93" t="e">
        <f>IF(ISBLANK(M73),0,Q73*ROUND(N73,2))</f>
        <v>#DIV/0!</v>
      </c>
      <c r="S73" s="24" t="e">
        <f>ROUND(P73,2)*Q73</f>
        <v>#DIV/0!</v>
      </c>
      <c r="T73" s="93" t="e">
        <f>Q73*dagenperjaar1</f>
        <v>#DIV/0!</v>
      </c>
      <c r="U73" s="25" t="e">
        <f>T73*ROUND(P73,2)</f>
        <v>#DIV/0!</v>
      </c>
    </row>
    <row r="74" spans="1:21" x14ac:dyDescent="0.2">
      <c r="A74" s="90" t="s">
        <v>282</v>
      </c>
      <c r="B74" s="91" t="s">
        <v>40</v>
      </c>
      <c r="C74" s="91" t="s">
        <v>218</v>
      </c>
      <c r="D74" s="91" t="s">
        <v>237</v>
      </c>
      <c r="E74" s="92" t="s">
        <v>241</v>
      </c>
      <c r="F74" s="91" t="s">
        <v>224</v>
      </c>
      <c r="G74" s="91" t="s">
        <v>175</v>
      </c>
      <c r="H74" s="91" t="s">
        <v>12</v>
      </c>
      <c r="I74" s="91" t="s">
        <v>171</v>
      </c>
      <c r="J74" s="91"/>
      <c r="K74" s="93">
        <v>1.4</v>
      </c>
      <c r="L74" s="93">
        <f>K74*VLOOKUP(H74,dagsoorttabel1,2,FALSE)</f>
        <v>1.0980392156862744</v>
      </c>
      <c r="M74" s="94">
        <f>prodnorm6</f>
        <v>0</v>
      </c>
      <c r="N74" s="37">
        <f>dagwerk6</f>
        <v>0</v>
      </c>
      <c r="O74" s="91" t="s">
        <v>98</v>
      </c>
      <c r="P74" s="24">
        <f>uurtarief6</f>
        <v>0</v>
      </c>
      <c r="Q74" s="93" t="e">
        <f>IF(ISBLANK(M74),0,L74/ROUND(M74,4))</f>
        <v>#DIV/0!</v>
      </c>
      <c r="R74" s="93" t="e">
        <f>IF(ISBLANK(M74),0,Q74*ROUND(N74,2))</f>
        <v>#DIV/0!</v>
      </c>
      <c r="S74" s="24" t="e">
        <f>ROUND(P74,2)*Q74</f>
        <v>#DIV/0!</v>
      </c>
      <c r="T74" s="93" t="e">
        <f>Q74*dagenperjaar1</f>
        <v>#DIV/0!</v>
      </c>
      <c r="U74" s="25" t="e">
        <f>T74*ROUND(P74,2)</f>
        <v>#DIV/0!</v>
      </c>
    </row>
    <row r="75" spans="1:21" x14ac:dyDescent="0.2">
      <c r="A75" s="90" t="s">
        <v>282</v>
      </c>
      <c r="B75" s="91" t="s">
        <v>40</v>
      </c>
      <c r="C75" s="91" t="s">
        <v>218</v>
      </c>
      <c r="D75" s="91" t="s">
        <v>238</v>
      </c>
      <c r="E75" s="92" t="s">
        <v>239</v>
      </c>
      <c r="F75" s="91" t="s">
        <v>224</v>
      </c>
      <c r="G75" s="91" t="s">
        <v>195</v>
      </c>
      <c r="H75" s="91" t="s">
        <v>12</v>
      </c>
      <c r="I75" s="91" t="s">
        <v>171</v>
      </c>
      <c r="J75" s="91"/>
      <c r="K75" s="93">
        <v>1.5</v>
      </c>
      <c r="L75" s="93">
        <f>K75*VLOOKUP(H75,dagsoorttabel1,2,FALSE)</f>
        <v>1.1764705882352942</v>
      </c>
      <c r="M75" s="94">
        <f>prodnorm24</f>
        <v>0</v>
      </c>
      <c r="N75" s="37">
        <f>dagwerk24</f>
        <v>0</v>
      </c>
      <c r="O75" s="91" t="s">
        <v>98</v>
      </c>
      <c r="P75" s="24">
        <f>uurtarief24</f>
        <v>0</v>
      </c>
      <c r="Q75" s="93" t="e">
        <f>IF(ISBLANK(M75),0,L75/ROUND(M75,4))</f>
        <v>#DIV/0!</v>
      </c>
      <c r="R75" s="93" t="e">
        <f>IF(ISBLANK(M75),0,Q75*ROUND(N75,2))</f>
        <v>#DIV/0!</v>
      </c>
      <c r="S75" s="24" t="e">
        <f>ROUND(P75,2)*Q75</f>
        <v>#DIV/0!</v>
      </c>
      <c r="T75" s="93" t="e">
        <f>Q75*dagenperjaar1</f>
        <v>#DIV/0!</v>
      </c>
      <c r="U75" s="25" t="e">
        <f>T75*ROUND(P75,2)</f>
        <v>#DIV/0!</v>
      </c>
    </row>
    <row r="76" spans="1:21" x14ac:dyDescent="0.2">
      <c r="A76" s="90" t="s">
        <v>282</v>
      </c>
      <c r="B76" s="91" t="s">
        <v>40</v>
      </c>
      <c r="C76" s="91" t="s">
        <v>218</v>
      </c>
      <c r="D76" s="91" t="s">
        <v>240</v>
      </c>
      <c r="E76" s="92" t="s">
        <v>285</v>
      </c>
      <c r="F76" s="91" t="s">
        <v>224</v>
      </c>
      <c r="G76" s="91" t="s">
        <v>187</v>
      </c>
      <c r="H76" s="91" t="s">
        <v>12</v>
      </c>
      <c r="I76" s="91" t="s">
        <v>171</v>
      </c>
      <c r="J76" s="91"/>
      <c r="K76" s="93">
        <v>8.5</v>
      </c>
      <c r="L76" s="93">
        <f>K76*VLOOKUP(H76,dagsoorttabel1,2,FALSE)</f>
        <v>6.666666666666667</v>
      </c>
      <c r="M76" s="94">
        <f>prodnorm19</f>
        <v>0</v>
      </c>
      <c r="N76" s="37">
        <f>dagwerk19</f>
        <v>0</v>
      </c>
      <c r="O76" s="91" t="s">
        <v>98</v>
      </c>
      <c r="P76" s="24">
        <f>uurtarief19</f>
        <v>0</v>
      </c>
      <c r="Q76" s="93" t="e">
        <f>IF(ISBLANK(M76),0,L76/ROUND(M76,4))</f>
        <v>#DIV/0!</v>
      </c>
      <c r="R76" s="93" t="e">
        <f>IF(ISBLANK(M76),0,Q76*ROUND(N76,2))</f>
        <v>#DIV/0!</v>
      </c>
      <c r="S76" s="24" t="e">
        <f>ROUND(P76,2)*Q76</f>
        <v>#DIV/0!</v>
      </c>
      <c r="T76" s="93" t="e">
        <f>Q76*dagenperjaar1</f>
        <v>#DIV/0!</v>
      </c>
      <c r="U76" s="25" t="e">
        <f>T76*ROUND(P76,2)</f>
        <v>#DIV/0!</v>
      </c>
    </row>
    <row r="77" spans="1:21" x14ac:dyDescent="0.2">
      <c r="A77" s="90" t="s">
        <v>282</v>
      </c>
      <c r="B77" s="91" t="s">
        <v>40</v>
      </c>
      <c r="C77" s="91" t="s">
        <v>218</v>
      </c>
      <c r="D77" s="91" t="s">
        <v>242</v>
      </c>
      <c r="E77" s="92" t="s">
        <v>233</v>
      </c>
      <c r="F77" s="91" t="s">
        <v>224</v>
      </c>
      <c r="G77" s="91" t="s">
        <v>187</v>
      </c>
      <c r="H77" s="91" t="s">
        <v>12</v>
      </c>
      <c r="I77" s="91" t="s">
        <v>171</v>
      </c>
      <c r="J77" s="91"/>
      <c r="K77" s="93">
        <v>31.3</v>
      </c>
      <c r="L77" s="93">
        <f>K77*VLOOKUP(H77,dagsoorttabel1,2,FALSE)</f>
        <v>24.549019607843139</v>
      </c>
      <c r="M77" s="94">
        <f>prodnorm19</f>
        <v>0</v>
      </c>
      <c r="N77" s="37">
        <f>dagwerk19</f>
        <v>0</v>
      </c>
      <c r="O77" s="91" t="s">
        <v>98</v>
      </c>
      <c r="P77" s="24">
        <f>uurtarief19</f>
        <v>0</v>
      </c>
      <c r="Q77" s="93" t="e">
        <f>IF(ISBLANK(M77),0,L77/ROUND(M77,4))</f>
        <v>#DIV/0!</v>
      </c>
      <c r="R77" s="93" t="e">
        <f>IF(ISBLANK(M77),0,Q77*ROUND(N77,2))</f>
        <v>#DIV/0!</v>
      </c>
      <c r="S77" s="24" t="e">
        <f>ROUND(P77,2)*Q77</f>
        <v>#DIV/0!</v>
      </c>
      <c r="T77" s="93" t="e">
        <f>Q77*dagenperjaar1</f>
        <v>#DIV/0!</v>
      </c>
      <c r="U77" s="25" t="e">
        <f>T77*ROUND(P77,2)</f>
        <v>#DIV/0!</v>
      </c>
    </row>
    <row r="78" spans="1:21" x14ac:dyDescent="0.2">
      <c r="A78" s="90" t="s">
        <v>282</v>
      </c>
      <c r="B78" s="91" t="s">
        <v>40</v>
      </c>
      <c r="C78" s="91" t="s">
        <v>218</v>
      </c>
      <c r="D78" s="91" t="s">
        <v>280</v>
      </c>
      <c r="E78" s="92" t="s">
        <v>239</v>
      </c>
      <c r="F78" s="91" t="s">
        <v>224</v>
      </c>
      <c r="G78" s="91" t="s">
        <v>195</v>
      </c>
      <c r="H78" s="91" t="s">
        <v>12</v>
      </c>
      <c r="I78" s="91" t="s">
        <v>171</v>
      </c>
      <c r="J78" s="91"/>
      <c r="K78" s="93">
        <v>1.5</v>
      </c>
      <c r="L78" s="93">
        <f>K78*VLOOKUP(H78,dagsoorttabel1,2,FALSE)</f>
        <v>1.1764705882352942</v>
      </c>
      <c r="M78" s="94">
        <f>prodnorm24</f>
        <v>0</v>
      </c>
      <c r="N78" s="37">
        <f>dagwerk24</f>
        <v>0</v>
      </c>
      <c r="O78" s="91" t="s">
        <v>98</v>
      </c>
      <c r="P78" s="24">
        <f>uurtarief24</f>
        <v>0</v>
      </c>
      <c r="Q78" s="93" t="e">
        <f>IF(ISBLANK(M78),0,L78/ROUND(M78,4))</f>
        <v>#DIV/0!</v>
      </c>
      <c r="R78" s="93" t="e">
        <f>IF(ISBLANK(M78),0,Q78*ROUND(N78,2))</f>
        <v>#DIV/0!</v>
      </c>
      <c r="S78" s="24" t="e">
        <f>ROUND(P78,2)*Q78</f>
        <v>#DIV/0!</v>
      </c>
      <c r="T78" s="93" t="e">
        <f>Q78*dagenperjaar1</f>
        <v>#DIV/0!</v>
      </c>
      <c r="U78" s="25" t="e">
        <f>T78*ROUND(P78,2)</f>
        <v>#DIV/0!</v>
      </c>
    </row>
    <row r="79" spans="1:21" x14ac:dyDescent="0.2">
      <c r="A79" s="90" t="s">
        <v>282</v>
      </c>
      <c r="B79" s="91" t="s">
        <v>40</v>
      </c>
      <c r="C79" s="91" t="s">
        <v>218</v>
      </c>
      <c r="D79" s="91" t="s">
        <v>244</v>
      </c>
      <c r="E79" s="92" t="s">
        <v>248</v>
      </c>
      <c r="F79" s="91" t="s">
        <v>246</v>
      </c>
      <c r="G79" s="91" t="s">
        <v>183</v>
      </c>
      <c r="H79" s="91" t="s">
        <v>12</v>
      </c>
      <c r="I79" s="91" t="s">
        <v>171</v>
      </c>
      <c r="J79" s="91"/>
      <c r="K79" s="93">
        <v>41</v>
      </c>
      <c r="L79" s="93">
        <f>K79*VLOOKUP(H79,dagsoorttabel1,2,FALSE)</f>
        <v>32.156862745098039</v>
      </c>
      <c r="M79" s="94">
        <f>prodnorm15</f>
        <v>0</v>
      </c>
      <c r="N79" s="37">
        <f>dagwerk15</f>
        <v>0</v>
      </c>
      <c r="O79" s="91" t="s">
        <v>98</v>
      </c>
      <c r="P79" s="24">
        <f>uurtarief15</f>
        <v>0</v>
      </c>
      <c r="Q79" s="93" t="e">
        <f>IF(ISBLANK(M79),0,L79/ROUND(M79,4))</f>
        <v>#DIV/0!</v>
      </c>
      <c r="R79" s="93" t="e">
        <f>IF(ISBLANK(M79),0,Q79*ROUND(N79,2))</f>
        <v>#DIV/0!</v>
      </c>
      <c r="S79" s="24" t="e">
        <f>ROUND(P79,2)*Q79</f>
        <v>#DIV/0!</v>
      </c>
      <c r="T79" s="93" t="e">
        <f>Q79*dagenperjaar1</f>
        <v>#DIV/0!</v>
      </c>
      <c r="U79" s="25" t="e">
        <f>T79*ROUND(P79,2)</f>
        <v>#DIV/0!</v>
      </c>
    </row>
    <row r="80" spans="1:21" x14ac:dyDescent="0.2">
      <c r="A80" s="95" t="s">
        <v>282</v>
      </c>
      <c r="B80" s="96" t="s">
        <v>40</v>
      </c>
      <c r="C80" s="96" t="s">
        <v>218</v>
      </c>
      <c r="D80" s="96" t="s">
        <v>247</v>
      </c>
      <c r="E80" s="97" t="s">
        <v>286</v>
      </c>
      <c r="F80" s="96" t="s">
        <v>246</v>
      </c>
      <c r="G80" s="96" t="s">
        <v>183</v>
      </c>
      <c r="H80" s="96" t="s">
        <v>12</v>
      </c>
      <c r="I80" s="96" t="s">
        <v>171</v>
      </c>
      <c r="J80" s="96"/>
      <c r="K80" s="98">
        <v>252</v>
      </c>
      <c r="L80" s="98">
        <f>K80*VLOOKUP(H80,dagsoorttabel1,2,FALSE)</f>
        <v>197.64705882352942</v>
      </c>
      <c r="M80" s="99">
        <f>prodnorm15</f>
        <v>0</v>
      </c>
      <c r="N80" s="100">
        <f>dagwerk15</f>
        <v>0</v>
      </c>
      <c r="O80" s="96" t="s">
        <v>98</v>
      </c>
      <c r="P80" s="34">
        <f>uurtarief15</f>
        <v>0</v>
      </c>
      <c r="Q80" s="98" t="e">
        <f>IF(ISBLANK(M80),0,L80/ROUND(M80,4))</f>
        <v>#DIV/0!</v>
      </c>
      <c r="R80" s="98" t="e">
        <f>IF(ISBLANK(M80),0,Q80*ROUND(N80,2))</f>
        <v>#DIV/0!</v>
      </c>
      <c r="S80" s="34" t="e">
        <f>ROUND(P80,2)*Q80</f>
        <v>#DIV/0!</v>
      </c>
      <c r="T80" s="98" t="e">
        <f>Q80*dagenperjaar1</f>
        <v>#DIV/0!</v>
      </c>
      <c r="U80" s="35" t="e">
        <f>T80*ROUND(P80,2)</f>
        <v>#DIV/0!</v>
      </c>
    </row>
    <row r="81" spans="1:21" x14ac:dyDescent="0.2">
      <c r="A81" s="101" t="s">
        <v>249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5" t="e">
        <f>IF(_xlfn.SINGLE(object4_urenjaar1)&gt;0,_xlfn.SINGLE(object4_prijsjaar1)/_xlfn.SINGLE(object4_urenjaar1),0)</f>
        <v>#DIV/0!</v>
      </c>
      <c r="Q81" s="74" t="e">
        <f>SUM(Q65:Q80)</f>
        <v>#DIV/0!</v>
      </c>
      <c r="R81" s="74" t="e">
        <f>SUM(R65:R80)</f>
        <v>#DIV/0!</v>
      </c>
      <c r="S81" s="75" t="e">
        <f>SUM(S65:S80)</f>
        <v>#DIV/0!</v>
      </c>
      <c r="T81" s="74" t="e">
        <f>SUM(T65:T80)</f>
        <v>#DIV/0!</v>
      </c>
      <c r="U81" s="76" t="e">
        <f>SUM(U65:U80)</f>
        <v>#DIV/0!</v>
      </c>
    </row>
    <row r="82" spans="1:21" x14ac:dyDescent="0.2">
      <c r="A82" s="81" t="s">
        <v>287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71"/>
    </row>
    <row r="83" spans="1:21" x14ac:dyDescent="0.2">
      <c r="A83" s="82" t="s">
        <v>288</v>
      </c>
      <c r="B83" s="83" t="s">
        <v>40</v>
      </c>
      <c r="C83" s="83" t="s">
        <v>218</v>
      </c>
      <c r="D83" s="83" t="s">
        <v>219</v>
      </c>
      <c r="E83" s="84" t="s">
        <v>277</v>
      </c>
      <c r="F83" s="83" t="s">
        <v>224</v>
      </c>
      <c r="G83" s="83" t="s">
        <v>199</v>
      </c>
      <c r="H83" s="83" t="s">
        <v>12</v>
      </c>
      <c r="I83" s="83" t="s">
        <v>171</v>
      </c>
      <c r="J83" s="83"/>
      <c r="K83" s="85">
        <v>32</v>
      </c>
      <c r="L83" s="85">
        <f>K83*VLOOKUP(H83,dagsoorttabel1,2,FALSE)</f>
        <v>25.098039215686274</v>
      </c>
      <c r="M83" s="86">
        <f>prodnorm28</f>
        <v>0</v>
      </c>
      <c r="N83" s="87">
        <f>dagwerk28</f>
        <v>0</v>
      </c>
      <c r="O83" s="83" t="s">
        <v>98</v>
      </c>
      <c r="P83" s="88">
        <f>uurtarief28</f>
        <v>0</v>
      </c>
      <c r="Q83" s="85" t="e">
        <f>IF(ISBLANK(M83),0,L83/ROUND(M83,4))</f>
        <v>#DIV/0!</v>
      </c>
      <c r="R83" s="85" t="e">
        <f>IF(ISBLANK(M83),0,Q83*ROUND(N83,2))</f>
        <v>#DIV/0!</v>
      </c>
      <c r="S83" s="88" t="e">
        <f>ROUND(P83,2)*Q83</f>
        <v>#DIV/0!</v>
      </c>
      <c r="T83" s="85" t="e">
        <f>Q83*dagenperjaar1</f>
        <v>#DIV/0!</v>
      </c>
      <c r="U83" s="89" t="e">
        <f>T83*ROUND(P83,2)</f>
        <v>#DIV/0!</v>
      </c>
    </row>
    <row r="84" spans="1:21" x14ac:dyDescent="0.2">
      <c r="A84" s="90" t="s">
        <v>288</v>
      </c>
      <c r="B84" s="91" t="s">
        <v>40</v>
      </c>
      <c r="C84" s="91" t="s">
        <v>218</v>
      </c>
      <c r="D84" s="91" t="s">
        <v>289</v>
      </c>
      <c r="E84" s="92" t="s">
        <v>277</v>
      </c>
      <c r="F84" s="91" t="s">
        <v>221</v>
      </c>
      <c r="G84" s="91" t="s">
        <v>201</v>
      </c>
      <c r="H84" s="91" t="s">
        <v>12</v>
      </c>
      <c r="I84" s="91" t="s">
        <v>171</v>
      </c>
      <c r="J84" s="91"/>
      <c r="K84" s="93">
        <v>4</v>
      </c>
      <c r="L84" s="93">
        <f>K84*VLOOKUP(H84,dagsoorttabel1,2,FALSE)</f>
        <v>3.1372549019607843</v>
      </c>
      <c r="M84" s="94">
        <f>prodnorm30</f>
        <v>0</v>
      </c>
      <c r="N84" s="37">
        <f>dagwerk30</f>
        <v>0</v>
      </c>
      <c r="O84" s="91" t="s">
        <v>98</v>
      </c>
      <c r="P84" s="24">
        <f>uurtarief30</f>
        <v>0</v>
      </c>
      <c r="Q84" s="93" t="e">
        <f>IF(ISBLANK(M84),0,L84/ROUND(M84,4))</f>
        <v>#DIV/0!</v>
      </c>
      <c r="R84" s="93" t="e">
        <f>IF(ISBLANK(M84),0,Q84*ROUND(N84,2))</f>
        <v>#DIV/0!</v>
      </c>
      <c r="S84" s="24" t="e">
        <f>ROUND(P84,2)*Q84</f>
        <v>#DIV/0!</v>
      </c>
      <c r="T84" s="93" t="e">
        <f>Q84*dagenperjaar1</f>
        <v>#DIV/0!</v>
      </c>
      <c r="U84" s="25" t="e">
        <f>T84*ROUND(P84,2)</f>
        <v>#DIV/0!</v>
      </c>
    </row>
    <row r="85" spans="1:21" x14ac:dyDescent="0.2">
      <c r="A85" s="90" t="s">
        <v>288</v>
      </c>
      <c r="B85" s="91" t="s">
        <v>40</v>
      </c>
      <c r="C85" s="91" t="s">
        <v>218</v>
      </c>
      <c r="D85" s="91" t="s">
        <v>222</v>
      </c>
      <c r="E85" s="92" t="s">
        <v>226</v>
      </c>
      <c r="F85" s="91" t="s">
        <v>227</v>
      </c>
      <c r="G85" s="91" t="s">
        <v>170</v>
      </c>
      <c r="H85" s="91" t="s">
        <v>12</v>
      </c>
      <c r="I85" s="91" t="s">
        <v>171</v>
      </c>
      <c r="J85" s="91"/>
      <c r="K85" s="93">
        <v>2</v>
      </c>
      <c r="L85" s="93">
        <f>K85*VLOOKUP(H85,dagsoorttabel1,2,FALSE)</f>
        <v>1.5686274509803921</v>
      </c>
      <c r="M85" s="94">
        <f>prodnorm4</f>
        <v>0</v>
      </c>
      <c r="N85" s="37">
        <f>dagwerk4</f>
        <v>0</v>
      </c>
      <c r="O85" s="91" t="s">
        <v>98</v>
      </c>
      <c r="P85" s="24">
        <f>uurtarief4</f>
        <v>0</v>
      </c>
      <c r="Q85" s="93" t="e">
        <f>IF(ISBLANK(M85),0,L85/ROUND(M85,4))</f>
        <v>#DIV/0!</v>
      </c>
      <c r="R85" s="93" t="e">
        <f>IF(ISBLANK(M85),0,Q85*ROUND(N85,2))</f>
        <v>#DIV/0!</v>
      </c>
      <c r="S85" s="24" t="e">
        <f>ROUND(P85,2)*Q85</f>
        <v>#DIV/0!</v>
      </c>
      <c r="T85" s="93" t="e">
        <f>Q85*dagenperjaar1</f>
        <v>#DIV/0!</v>
      </c>
      <c r="U85" s="25" t="e">
        <f>T85*ROUND(P85,2)</f>
        <v>#DIV/0!</v>
      </c>
    </row>
    <row r="86" spans="1:21" x14ac:dyDescent="0.2">
      <c r="A86" s="90" t="s">
        <v>288</v>
      </c>
      <c r="B86" s="91" t="s">
        <v>40</v>
      </c>
      <c r="C86" s="91" t="s">
        <v>218</v>
      </c>
      <c r="D86" s="91" t="s">
        <v>225</v>
      </c>
      <c r="E86" s="92" t="s">
        <v>231</v>
      </c>
      <c r="F86" s="91" t="s">
        <v>224</v>
      </c>
      <c r="G86" s="91" t="s">
        <v>195</v>
      </c>
      <c r="H86" s="91" t="s">
        <v>12</v>
      </c>
      <c r="I86" s="91" t="s">
        <v>171</v>
      </c>
      <c r="J86" s="91"/>
      <c r="K86" s="93">
        <v>1.9000000000000001</v>
      </c>
      <c r="L86" s="93">
        <f>K86*VLOOKUP(H86,dagsoorttabel1,2,FALSE)</f>
        <v>1.4901960784313726</v>
      </c>
      <c r="M86" s="94">
        <f>prodnorm24</f>
        <v>0</v>
      </c>
      <c r="N86" s="37">
        <f>dagwerk24</f>
        <v>0</v>
      </c>
      <c r="O86" s="91" t="s">
        <v>98</v>
      </c>
      <c r="P86" s="24">
        <f>uurtarief24</f>
        <v>0</v>
      </c>
      <c r="Q86" s="93" t="e">
        <f>IF(ISBLANK(M86),0,L86/ROUND(M86,4))</f>
        <v>#DIV/0!</v>
      </c>
      <c r="R86" s="93" t="e">
        <f>IF(ISBLANK(M86),0,Q86*ROUND(N86,2))</f>
        <v>#DIV/0!</v>
      </c>
      <c r="S86" s="24" t="e">
        <f>ROUND(P86,2)*Q86</f>
        <v>#DIV/0!</v>
      </c>
      <c r="T86" s="93" t="e">
        <f>Q86*dagenperjaar1</f>
        <v>#DIV/0!</v>
      </c>
      <c r="U86" s="25" t="e">
        <f>T86*ROUND(P86,2)</f>
        <v>#DIV/0!</v>
      </c>
    </row>
    <row r="87" spans="1:21" x14ac:dyDescent="0.2">
      <c r="A87" s="90" t="s">
        <v>288</v>
      </c>
      <c r="B87" s="91" t="s">
        <v>40</v>
      </c>
      <c r="C87" s="91" t="s">
        <v>218</v>
      </c>
      <c r="D87" s="91" t="s">
        <v>228</v>
      </c>
      <c r="E87" s="92" t="s">
        <v>290</v>
      </c>
      <c r="F87" s="91" t="s">
        <v>224</v>
      </c>
      <c r="G87" s="91" t="s">
        <v>195</v>
      </c>
      <c r="H87" s="91" t="s">
        <v>12</v>
      </c>
      <c r="I87" s="91" t="s">
        <v>171</v>
      </c>
      <c r="J87" s="91"/>
      <c r="K87" s="93">
        <v>0.60000000000000009</v>
      </c>
      <c r="L87" s="93">
        <f>K87*VLOOKUP(H87,dagsoorttabel1,2,FALSE)</f>
        <v>0.4705882352941177</v>
      </c>
      <c r="M87" s="94">
        <f>prodnorm24</f>
        <v>0</v>
      </c>
      <c r="N87" s="37">
        <f>dagwerk24</f>
        <v>0</v>
      </c>
      <c r="O87" s="91" t="s">
        <v>98</v>
      </c>
      <c r="P87" s="24">
        <f>uurtarief24</f>
        <v>0</v>
      </c>
      <c r="Q87" s="93" t="e">
        <f>IF(ISBLANK(M87),0,L87/ROUND(M87,4))</f>
        <v>#DIV/0!</v>
      </c>
      <c r="R87" s="93" t="e">
        <f>IF(ISBLANK(M87),0,Q87*ROUND(N87,2))</f>
        <v>#DIV/0!</v>
      </c>
      <c r="S87" s="24" t="e">
        <f>ROUND(P87,2)*Q87</f>
        <v>#DIV/0!</v>
      </c>
      <c r="T87" s="93" t="e">
        <f>Q87*dagenperjaar1</f>
        <v>#DIV/0!</v>
      </c>
      <c r="U87" s="25" t="e">
        <f>T87*ROUND(P87,2)</f>
        <v>#DIV/0!</v>
      </c>
    </row>
    <row r="88" spans="1:21" x14ac:dyDescent="0.2">
      <c r="A88" s="90" t="s">
        <v>288</v>
      </c>
      <c r="B88" s="91" t="s">
        <v>40</v>
      </c>
      <c r="C88" s="91" t="s">
        <v>218</v>
      </c>
      <c r="D88" s="91" t="s">
        <v>256</v>
      </c>
      <c r="E88" s="92" t="s">
        <v>233</v>
      </c>
      <c r="F88" s="91" t="s">
        <v>224</v>
      </c>
      <c r="G88" s="91" t="s">
        <v>187</v>
      </c>
      <c r="H88" s="91" t="s">
        <v>12</v>
      </c>
      <c r="I88" s="91" t="s">
        <v>171</v>
      </c>
      <c r="J88" s="91"/>
      <c r="K88" s="93">
        <v>29</v>
      </c>
      <c r="L88" s="93">
        <f>K88*VLOOKUP(H88,dagsoorttabel1,2,FALSE)</f>
        <v>22.745098039215687</v>
      </c>
      <c r="M88" s="94">
        <f>prodnorm19</f>
        <v>0</v>
      </c>
      <c r="N88" s="37">
        <f>dagwerk19</f>
        <v>0</v>
      </c>
      <c r="O88" s="91" t="s">
        <v>98</v>
      </c>
      <c r="P88" s="24">
        <f>uurtarief19</f>
        <v>0</v>
      </c>
      <c r="Q88" s="93" t="e">
        <f>IF(ISBLANK(M88),0,L88/ROUND(M88,4))</f>
        <v>#DIV/0!</v>
      </c>
      <c r="R88" s="93" t="e">
        <f>IF(ISBLANK(M88),0,Q88*ROUND(N88,2))</f>
        <v>#DIV/0!</v>
      </c>
      <c r="S88" s="24" t="e">
        <f>ROUND(P88,2)*Q88</f>
        <v>#DIV/0!</v>
      </c>
      <c r="T88" s="93" t="e">
        <f>Q88*dagenperjaar1</f>
        <v>#DIV/0!</v>
      </c>
      <c r="U88" s="25" t="e">
        <f>T88*ROUND(P88,2)</f>
        <v>#DIV/0!</v>
      </c>
    </row>
    <row r="89" spans="1:21" x14ac:dyDescent="0.2">
      <c r="A89" s="90" t="s">
        <v>288</v>
      </c>
      <c r="B89" s="91" t="s">
        <v>40</v>
      </c>
      <c r="C89" s="91" t="s">
        <v>218</v>
      </c>
      <c r="D89" s="91" t="s">
        <v>232</v>
      </c>
      <c r="E89" s="92" t="s">
        <v>239</v>
      </c>
      <c r="F89" s="91" t="s">
        <v>224</v>
      </c>
      <c r="G89" s="91" t="s">
        <v>195</v>
      </c>
      <c r="H89" s="91" t="s">
        <v>12</v>
      </c>
      <c r="I89" s="91" t="s">
        <v>171</v>
      </c>
      <c r="J89" s="91"/>
      <c r="K89" s="93">
        <v>1.5</v>
      </c>
      <c r="L89" s="93">
        <f>K89*VLOOKUP(H89,dagsoorttabel1,2,FALSE)</f>
        <v>1.1764705882352942</v>
      </c>
      <c r="M89" s="94">
        <f>prodnorm24</f>
        <v>0</v>
      </c>
      <c r="N89" s="37">
        <f>dagwerk24</f>
        <v>0</v>
      </c>
      <c r="O89" s="91" t="s">
        <v>98</v>
      </c>
      <c r="P89" s="24">
        <f>uurtarief24</f>
        <v>0</v>
      </c>
      <c r="Q89" s="93" t="e">
        <f>IF(ISBLANK(M89),0,L89/ROUND(M89,4))</f>
        <v>#DIV/0!</v>
      </c>
      <c r="R89" s="93" t="e">
        <f>IF(ISBLANK(M89),0,Q89*ROUND(N89,2))</f>
        <v>#DIV/0!</v>
      </c>
      <c r="S89" s="24" t="e">
        <f>ROUND(P89,2)*Q89</f>
        <v>#DIV/0!</v>
      </c>
      <c r="T89" s="93" t="e">
        <f>Q89*dagenperjaar1</f>
        <v>#DIV/0!</v>
      </c>
      <c r="U89" s="25" t="e">
        <f>T89*ROUND(P89,2)</f>
        <v>#DIV/0!</v>
      </c>
    </row>
    <row r="90" spans="1:21" x14ac:dyDescent="0.2">
      <c r="A90" s="90" t="s">
        <v>288</v>
      </c>
      <c r="B90" s="91" t="s">
        <v>40</v>
      </c>
      <c r="C90" s="91" t="s">
        <v>218</v>
      </c>
      <c r="D90" s="91" t="s">
        <v>234</v>
      </c>
      <c r="E90" s="92" t="s">
        <v>257</v>
      </c>
      <c r="F90" s="91" t="s">
        <v>224</v>
      </c>
      <c r="G90" s="91" t="s">
        <v>175</v>
      </c>
      <c r="H90" s="91" t="s">
        <v>12</v>
      </c>
      <c r="I90" s="91" t="s">
        <v>171</v>
      </c>
      <c r="J90" s="91"/>
      <c r="K90" s="93">
        <v>1.5</v>
      </c>
      <c r="L90" s="93">
        <f>K90*VLOOKUP(H90,dagsoorttabel1,2,FALSE)</f>
        <v>1.1764705882352942</v>
      </c>
      <c r="M90" s="94">
        <f>prodnorm6</f>
        <v>0</v>
      </c>
      <c r="N90" s="37">
        <f>dagwerk6</f>
        <v>0</v>
      </c>
      <c r="O90" s="91" t="s">
        <v>98</v>
      </c>
      <c r="P90" s="24">
        <f>uurtarief6</f>
        <v>0</v>
      </c>
      <c r="Q90" s="93" t="e">
        <f>IF(ISBLANK(M90),0,L90/ROUND(M90,4))</f>
        <v>#DIV/0!</v>
      </c>
      <c r="R90" s="93" t="e">
        <f>IF(ISBLANK(M90),0,Q90*ROUND(N90,2))</f>
        <v>#DIV/0!</v>
      </c>
      <c r="S90" s="24" t="e">
        <f>ROUND(P90,2)*Q90</f>
        <v>#DIV/0!</v>
      </c>
      <c r="T90" s="93" t="e">
        <f>Q90*dagenperjaar1</f>
        <v>#DIV/0!</v>
      </c>
      <c r="U90" s="25" t="e">
        <f>T90*ROUND(P90,2)</f>
        <v>#DIV/0!</v>
      </c>
    </row>
    <row r="91" spans="1:21" x14ac:dyDescent="0.2">
      <c r="A91" s="90" t="s">
        <v>288</v>
      </c>
      <c r="B91" s="91" t="s">
        <v>40</v>
      </c>
      <c r="C91" s="91" t="s">
        <v>218</v>
      </c>
      <c r="D91" s="91" t="s">
        <v>236</v>
      </c>
      <c r="E91" s="92" t="s">
        <v>257</v>
      </c>
      <c r="F91" s="91" t="s">
        <v>224</v>
      </c>
      <c r="G91" s="91" t="s">
        <v>175</v>
      </c>
      <c r="H91" s="91" t="s">
        <v>12</v>
      </c>
      <c r="I91" s="91" t="s">
        <v>171</v>
      </c>
      <c r="J91" s="91"/>
      <c r="K91" s="93">
        <v>1.5</v>
      </c>
      <c r="L91" s="93">
        <f>K91*VLOOKUP(H91,dagsoorttabel1,2,FALSE)</f>
        <v>1.1764705882352942</v>
      </c>
      <c r="M91" s="94">
        <f>prodnorm6</f>
        <v>0</v>
      </c>
      <c r="N91" s="37">
        <f>dagwerk6</f>
        <v>0</v>
      </c>
      <c r="O91" s="91" t="s">
        <v>98</v>
      </c>
      <c r="P91" s="24">
        <f>uurtarief6</f>
        <v>0</v>
      </c>
      <c r="Q91" s="93" t="e">
        <f>IF(ISBLANK(M91),0,L91/ROUND(M91,4))</f>
        <v>#DIV/0!</v>
      </c>
      <c r="R91" s="93" t="e">
        <f>IF(ISBLANK(M91),0,Q91*ROUND(N91,2))</f>
        <v>#DIV/0!</v>
      </c>
      <c r="S91" s="24" t="e">
        <f>ROUND(P91,2)*Q91</f>
        <v>#DIV/0!</v>
      </c>
      <c r="T91" s="93" t="e">
        <f>Q91*dagenperjaar1</f>
        <v>#DIV/0!</v>
      </c>
      <c r="U91" s="25" t="e">
        <f>T91*ROUND(P91,2)</f>
        <v>#DIV/0!</v>
      </c>
    </row>
    <row r="92" spans="1:21" x14ac:dyDescent="0.2">
      <c r="A92" s="90" t="s">
        <v>288</v>
      </c>
      <c r="B92" s="91" t="s">
        <v>40</v>
      </c>
      <c r="C92" s="91" t="s">
        <v>218</v>
      </c>
      <c r="D92" s="91" t="s">
        <v>237</v>
      </c>
      <c r="E92" s="92" t="s">
        <v>239</v>
      </c>
      <c r="F92" s="91" t="s">
        <v>224</v>
      </c>
      <c r="G92" s="91" t="s">
        <v>195</v>
      </c>
      <c r="H92" s="91" t="s">
        <v>12</v>
      </c>
      <c r="I92" s="91" t="s">
        <v>171</v>
      </c>
      <c r="J92" s="91"/>
      <c r="K92" s="93">
        <v>1.5</v>
      </c>
      <c r="L92" s="93">
        <f>K92*VLOOKUP(H92,dagsoorttabel1,2,FALSE)</f>
        <v>1.1764705882352942</v>
      </c>
      <c r="M92" s="94">
        <f>prodnorm24</f>
        <v>0</v>
      </c>
      <c r="N92" s="37">
        <f>dagwerk24</f>
        <v>0</v>
      </c>
      <c r="O92" s="91" t="s">
        <v>98</v>
      </c>
      <c r="P92" s="24">
        <f>uurtarief24</f>
        <v>0</v>
      </c>
      <c r="Q92" s="93" t="e">
        <f>IF(ISBLANK(M92),0,L92/ROUND(M92,4))</f>
        <v>#DIV/0!</v>
      </c>
      <c r="R92" s="93" t="e">
        <f>IF(ISBLANK(M92),0,Q92*ROUND(N92,2))</f>
        <v>#DIV/0!</v>
      </c>
      <c r="S92" s="24" t="e">
        <f>ROUND(P92,2)*Q92</f>
        <v>#DIV/0!</v>
      </c>
      <c r="T92" s="93" t="e">
        <f>Q92*dagenperjaar1</f>
        <v>#DIV/0!</v>
      </c>
      <c r="U92" s="25" t="e">
        <f>T92*ROUND(P92,2)</f>
        <v>#DIV/0!</v>
      </c>
    </row>
    <row r="93" spans="1:21" x14ac:dyDescent="0.2">
      <c r="A93" s="90" t="s">
        <v>288</v>
      </c>
      <c r="B93" s="91" t="s">
        <v>40</v>
      </c>
      <c r="C93" s="91" t="s">
        <v>218</v>
      </c>
      <c r="D93" s="91" t="s">
        <v>238</v>
      </c>
      <c r="E93" s="92" t="s">
        <v>291</v>
      </c>
      <c r="F93" s="91" t="s">
        <v>224</v>
      </c>
      <c r="G93" s="91" t="s">
        <v>187</v>
      </c>
      <c r="H93" s="91" t="s">
        <v>12</v>
      </c>
      <c r="I93" s="91" t="s">
        <v>171</v>
      </c>
      <c r="J93" s="91"/>
      <c r="K93" s="93">
        <v>30.5</v>
      </c>
      <c r="L93" s="93">
        <f>K93*VLOOKUP(H93,dagsoorttabel1,2,FALSE)</f>
        <v>23.921568627450981</v>
      </c>
      <c r="M93" s="94">
        <f>prodnorm19</f>
        <v>0</v>
      </c>
      <c r="N93" s="37">
        <f>dagwerk19</f>
        <v>0</v>
      </c>
      <c r="O93" s="91" t="s">
        <v>98</v>
      </c>
      <c r="P93" s="24">
        <f>uurtarief19</f>
        <v>0</v>
      </c>
      <c r="Q93" s="93" t="e">
        <f>IF(ISBLANK(M93),0,L93/ROUND(M93,4))</f>
        <v>#DIV/0!</v>
      </c>
      <c r="R93" s="93" t="e">
        <f>IF(ISBLANK(M93),0,Q93*ROUND(N93,2))</f>
        <v>#DIV/0!</v>
      </c>
      <c r="S93" s="24" t="e">
        <f>ROUND(P93,2)*Q93</f>
        <v>#DIV/0!</v>
      </c>
      <c r="T93" s="93" t="e">
        <f>Q93*dagenperjaar1</f>
        <v>#DIV/0!</v>
      </c>
      <c r="U93" s="25" t="e">
        <f>T93*ROUND(P93,2)</f>
        <v>#DIV/0!</v>
      </c>
    </row>
    <row r="94" spans="1:21" x14ac:dyDescent="0.2">
      <c r="A94" s="90" t="s">
        <v>288</v>
      </c>
      <c r="B94" s="91" t="s">
        <v>40</v>
      </c>
      <c r="C94" s="91" t="s">
        <v>218</v>
      </c>
      <c r="D94" s="91" t="s">
        <v>240</v>
      </c>
      <c r="E94" s="92" t="s">
        <v>233</v>
      </c>
      <c r="F94" s="91" t="s">
        <v>224</v>
      </c>
      <c r="G94" s="91" t="s">
        <v>187</v>
      </c>
      <c r="H94" s="91" t="s">
        <v>12</v>
      </c>
      <c r="I94" s="91" t="s">
        <v>171</v>
      </c>
      <c r="J94" s="91"/>
      <c r="K94" s="93">
        <v>29</v>
      </c>
      <c r="L94" s="93">
        <f>K94*VLOOKUP(H94,dagsoorttabel1,2,FALSE)</f>
        <v>22.745098039215687</v>
      </c>
      <c r="M94" s="94">
        <f>prodnorm19</f>
        <v>0</v>
      </c>
      <c r="N94" s="37">
        <f>dagwerk19</f>
        <v>0</v>
      </c>
      <c r="O94" s="91" t="s">
        <v>98</v>
      </c>
      <c r="P94" s="24">
        <f>uurtarief19</f>
        <v>0</v>
      </c>
      <c r="Q94" s="93" t="e">
        <f>IF(ISBLANK(M94),0,L94/ROUND(M94,4))</f>
        <v>#DIV/0!</v>
      </c>
      <c r="R94" s="93" t="e">
        <f>IF(ISBLANK(M94),0,Q94*ROUND(N94,2))</f>
        <v>#DIV/0!</v>
      </c>
      <c r="S94" s="24" t="e">
        <f>ROUND(P94,2)*Q94</f>
        <v>#DIV/0!</v>
      </c>
      <c r="T94" s="93" t="e">
        <f>Q94*dagenperjaar1</f>
        <v>#DIV/0!</v>
      </c>
      <c r="U94" s="25" t="e">
        <f>T94*ROUND(P94,2)</f>
        <v>#DIV/0!</v>
      </c>
    </row>
    <row r="95" spans="1:21" x14ac:dyDescent="0.2">
      <c r="A95" s="90" t="s">
        <v>288</v>
      </c>
      <c r="B95" s="91" t="s">
        <v>40</v>
      </c>
      <c r="C95" s="91" t="s">
        <v>218</v>
      </c>
      <c r="D95" s="91" t="s">
        <v>242</v>
      </c>
      <c r="E95" s="92" t="s">
        <v>245</v>
      </c>
      <c r="F95" s="91" t="s">
        <v>227</v>
      </c>
      <c r="G95" s="91" t="s">
        <v>183</v>
      </c>
      <c r="H95" s="91" t="s">
        <v>12</v>
      </c>
      <c r="I95" s="91" t="s">
        <v>171</v>
      </c>
      <c r="J95" s="91"/>
      <c r="K95" s="93">
        <v>253</v>
      </c>
      <c r="L95" s="93">
        <f>K95*VLOOKUP(H95,dagsoorttabel1,2,FALSE)</f>
        <v>198.43137254901961</v>
      </c>
      <c r="M95" s="94">
        <f>prodnorm15</f>
        <v>0</v>
      </c>
      <c r="N95" s="37">
        <f>dagwerk15</f>
        <v>0</v>
      </c>
      <c r="O95" s="91" t="s">
        <v>98</v>
      </c>
      <c r="P95" s="24">
        <f>uurtarief15</f>
        <v>0</v>
      </c>
      <c r="Q95" s="93" t="e">
        <f>IF(ISBLANK(M95),0,L95/ROUND(M95,4))</f>
        <v>#DIV/0!</v>
      </c>
      <c r="R95" s="93" t="e">
        <f>IF(ISBLANK(M95),0,Q95*ROUND(N95,2))</f>
        <v>#DIV/0!</v>
      </c>
      <c r="S95" s="24" t="e">
        <f>ROUND(P95,2)*Q95</f>
        <v>#DIV/0!</v>
      </c>
      <c r="T95" s="93" t="e">
        <f>Q95*dagenperjaar1</f>
        <v>#DIV/0!</v>
      </c>
      <c r="U95" s="25" t="e">
        <f>T95*ROUND(P95,2)</f>
        <v>#DIV/0!</v>
      </c>
    </row>
    <row r="96" spans="1:21" x14ac:dyDescent="0.2">
      <c r="A96" s="95" t="s">
        <v>288</v>
      </c>
      <c r="B96" s="96" t="s">
        <v>40</v>
      </c>
      <c r="C96" s="96" t="s">
        <v>218</v>
      </c>
      <c r="D96" s="96" t="s">
        <v>243</v>
      </c>
      <c r="E96" s="97" t="s">
        <v>248</v>
      </c>
      <c r="F96" s="96" t="s">
        <v>227</v>
      </c>
      <c r="G96" s="96" t="s">
        <v>183</v>
      </c>
      <c r="H96" s="96" t="s">
        <v>19</v>
      </c>
      <c r="I96" s="96" t="s">
        <v>203</v>
      </c>
      <c r="J96" s="96"/>
      <c r="K96" s="98">
        <v>38</v>
      </c>
      <c r="L96" s="98">
        <f>K96*VLOOKUP(H96,dagsoorttabel1,2,FALSE)</f>
        <v>1.4901960784313726</v>
      </c>
      <c r="M96" s="99">
        <f>prodnorm31</f>
        <v>0</v>
      </c>
      <c r="N96" s="100">
        <f>dagwerk31</f>
        <v>0</v>
      </c>
      <c r="O96" s="96" t="s">
        <v>98</v>
      </c>
      <c r="P96" s="34">
        <f>uurtarief31</f>
        <v>0</v>
      </c>
      <c r="Q96" s="98" t="e">
        <f>IF(ISBLANK(M96),0,L96/ROUND(M96,4))</f>
        <v>#DIV/0!</v>
      </c>
      <c r="R96" s="98" t="e">
        <f>IF(ISBLANK(M96),0,Q96*ROUND(N96,2))</f>
        <v>#DIV/0!</v>
      </c>
      <c r="S96" s="34" t="e">
        <f>ROUND(P96,2)*Q96</f>
        <v>#DIV/0!</v>
      </c>
      <c r="T96" s="98" t="e">
        <f>Q96*dagenperjaar1</f>
        <v>#DIV/0!</v>
      </c>
      <c r="U96" s="35" t="e">
        <f>T96*ROUND(P96,2)</f>
        <v>#DIV/0!</v>
      </c>
    </row>
    <row r="97" spans="1:21" x14ac:dyDescent="0.2">
      <c r="A97" s="101" t="s">
        <v>249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5" t="e">
        <f>IF(_xlfn.SINGLE(object5_urenjaar1)&gt;0,_xlfn.SINGLE(object5_prijsjaar1)/_xlfn.SINGLE(object5_urenjaar1),0)</f>
        <v>#DIV/0!</v>
      </c>
      <c r="Q97" s="74" t="e">
        <f>SUM(Q83:Q96)</f>
        <v>#DIV/0!</v>
      </c>
      <c r="R97" s="74" t="e">
        <f>SUM(R83:R96)</f>
        <v>#DIV/0!</v>
      </c>
      <c r="S97" s="75" t="e">
        <f>SUM(S83:S96)</f>
        <v>#DIV/0!</v>
      </c>
      <c r="T97" s="74" t="e">
        <f>SUM(T83:T96)</f>
        <v>#DIV/0!</v>
      </c>
      <c r="U97" s="76" t="e">
        <f>SUM(U83:U96)</f>
        <v>#DIV/0!</v>
      </c>
    </row>
    <row r="98" spans="1:21" x14ac:dyDescent="0.2">
      <c r="A98" s="81" t="s">
        <v>292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71"/>
    </row>
    <row r="99" spans="1:21" x14ac:dyDescent="0.2">
      <c r="A99" s="82" t="s">
        <v>293</v>
      </c>
      <c r="B99" s="83" t="s">
        <v>40</v>
      </c>
      <c r="C99" s="83" t="s">
        <v>294</v>
      </c>
      <c r="D99" s="83" t="s">
        <v>295</v>
      </c>
      <c r="E99" s="84" t="s">
        <v>296</v>
      </c>
      <c r="F99" s="83" t="s">
        <v>227</v>
      </c>
      <c r="G99" s="83" t="s">
        <v>199</v>
      </c>
      <c r="H99" s="83" t="s">
        <v>12</v>
      </c>
      <c r="I99" s="83" t="s">
        <v>171</v>
      </c>
      <c r="J99" s="83"/>
      <c r="K99" s="85">
        <v>18.75</v>
      </c>
      <c r="L99" s="85">
        <f>K99*VLOOKUP(H99,dagsoorttabel1,2,FALSE)</f>
        <v>14.705882352941176</v>
      </c>
      <c r="M99" s="86">
        <f>prodnorm28</f>
        <v>0</v>
      </c>
      <c r="N99" s="87">
        <f>dagwerk28</f>
        <v>0</v>
      </c>
      <c r="O99" s="83" t="s">
        <v>98</v>
      </c>
      <c r="P99" s="88">
        <f>uurtarief28</f>
        <v>0</v>
      </c>
      <c r="Q99" s="85" t="e">
        <f>IF(ISBLANK(M99),0,L99/ROUND(M99,4))</f>
        <v>#DIV/0!</v>
      </c>
      <c r="R99" s="85" t="e">
        <f>IF(ISBLANK(M99),0,Q99*ROUND(N99,2))</f>
        <v>#DIV/0!</v>
      </c>
      <c r="S99" s="88" t="e">
        <f>ROUND(P99,2)*Q99</f>
        <v>#DIV/0!</v>
      </c>
      <c r="T99" s="85" t="e">
        <f>Q99*dagenperjaar1</f>
        <v>#DIV/0!</v>
      </c>
      <c r="U99" s="89" t="e">
        <f>T99*ROUND(P99,2)</f>
        <v>#DIV/0!</v>
      </c>
    </row>
    <row r="100" spans="1:21" x14ac:dyDescent="0.2">
      <c r="A100" s="90" t="s">
        <v>293</v>
      </c>
      <c r="B100" s="91" t="s">
        <v>40</v>
      </c>
      <c r="C100" s="91" t="s">
        <v>294</v>
      </c>
      <c r="D100" s="91" t="s">
        <v>297</v>
      </c>
      <c r="E100" s="92" t="s">
        <v>248</v>
      </c>
      <c r="F100" s="91" t="s">
        <v>246</v>
      </c>
      <c r="G100" s="91" t="s">
        <v>183</v>
      </c>
      <c r="H100" s="91" t="s">
        <v>12</v>
      </c>
      <c r="I100" s="91" t="s">
        <v>171</v>
      </c>
      <c r="J100" s="91"/>
      <c r="K100" s="93">
        <v>29.06</v>
      </c>
      <c r="L100" s="93">
        <f>K100*VLOOKUP(H100,dagsoorttabel1,2,FALSE)</f>
        <v>22.792156862745095</v>
      </c>
      <c r="M100" s="94">
        <f>prodnorm15</f>
        <v>0</v>
      </c>
      <c r="N100" s="37">
        <f>dagwerk15</f>
        <v>0</v>
      </c>
      <c r="O100" s="91" t="s">
        <v>98</v>
      </c>
      <c r="P100" s="24">
        <f>uurtarief15</f>
        <v>0</v>
      </c>
      <c r="Q100" s="93" t="e">
        <f>IF(ISBLANK(M100),0,L100/ROUND(M100,4))</f>
        <v>#DIV/0!</v>
      </c>
      <c r="R100" s="93" t="e">
        <f>IF(ISBLANK(M100),0,Q100*ROUND(N100,2))</f>
        <v>#DIV/0!</v>
      </c>
      <c r="S100" s="24" t="e">
        <f>ROUND(P100,2)*Q100</f>
        <v>#DIV/0!</v>
      </c>
      <c r="T100" s="93" t="e">
        <f>Q100*dagenperjaar1</f>
        <v>#DIV/0!</v>
      </c>
      <c r="U100" s="25" t="e">
        <f>T100*ROUND(P100,2)</f>
        <v>#DIV/0!</v>
      </c>
    </row>
    <row r="101" spans="1:21" x14ac:dyDescent="0.2">
      <c r="A101" s="90" t="s">
        <v>293</v>
      </c>
      <c r="B101" s="91" t="s">
        <v>40</v>
      </c>
      <c r="C101" s="91" t="s">
        <v>294</v>
      </c>
      <c r="D101" s="91" t="s">
        <v>298</v>
      </c>
      <c r="E101" s="92" t="s">
        <v>299</v>
      </c>
      <c r="F101" s="91" t="s">
        <v>246</v>
      </c>
      <c r="G101" s="91" t="s">
        <v>183</v>
      </c>
      <c r="H101" s="91" t="s">
        <v>12</v>
      </c>
      <c r="I101" s="91" t="s">
        <v>171</v>
      </c>
      <c r="J101" s="91"/>
      <c r="K101" s="93">
        <v>284.08</v>
      </c>
      <c r="L101" s="93">
        <f>K101*VLOOKUP(H101,dagsoorttabel1,2,FALSE)</f>
        <v>222.80784313725488</v>
      </c>
      <c r="M101" s="94">
        <f>prodnorm15</f>
        <v>0</v>
      </c>
      <c r="N101" s="37">
        <f>dagwerk15</f>
        <v>0</v>
      </c>
      <c r="O101" s="91" t="s">
        <v>98</v>
      </c>
      <c r="P101" s="24">
        <f>uurtarief15</f>
        <v>0</v>
      </c>
      <c r="Q101" s="93" t="e">
        <f>IF(ISBLANK(M101),0,L101/ROUND(M101,4))</f>
        <v>#DIV/0!</v>
      </c>
      <c r="R101" s="93" t="e">
        <f>IF(ISBLANK(M101),0,Q101*ROUND(N101,2))</f>
        <v>#DIV/0!</v>
      </c>
      <c r="S101" s="24" t="e">
        <f>ROUND(P101,2)*Q101</f>
        <v>#DIV/0!</v>
      </c>
      <c r="T101" s="93" t="e">
        <f>Q101*dagenperjaar1</f>
        <v>#DIV/0!</v>
      </c>
      <c r="U101" s="25" t="e">
        <f>T101*ROUND(P101,2)</f>
        <v>#DIV/0!</v>
      </c>
    </row>
    <row r="102" spans="1:21" x14ac:dyDescent="0.2">
      <c r="A102" s="90" t="s">
        <v>293</v>
      </c>
      <c r="B102" s="91" t="s">
        <v>40</v>
      </c>
      <c r="C102" s="91" t="s">
        <v>294</v>
      </c>
      <c r="D102" s="91" t="s">
        <v>300</v>
      </c>
      <c r="E102" s="92" t="s">
        <v>296</v>
      </c>
      <c r="F102" s="91" t="s">
        <v>227</v>
      </c>
      <c r="G102" s="91" t="s">
        <v>199</v>
      </c>
      <c r="H102" s="91" t="s">
        <v>12</v>
      </c>
      <c r="I102" s="91" t="s">
        <v>171</v>
      </c>
      <c r="J102" s="91"/>
      <c r="K102" s="93">
        <v>12.44</v>
      </c>
      <c r="L102" s="93">
        <f>K102*VLOOKUP(H102,dagsoorttabel1,2,FALSE)</f>
        <v>9.7568627450980383</v>
      </c>
      <c r="M102" s="94">
        <f>prodnorm28</f>
        <v>0</v>
      </c>
      <c r="N102" s="37">
        <f>dagwerk28</f>
        <v>0</v>
      </c>
      <c r="O102" s="91" t="s">
        <v>98</v>
      </c>
      <c r="P102" s="24">
        <f>uurtarief28</f>
        <v>0</v>
      </c>
      <c r="Q102" s="93" t="e">
        <f>IF(ISBLANK(M102),0,L102/ROUND(M102,4))</f>
        <v>#DIV/0!</v>
      </c>
      <c r="R102" s="93" t="e">
        <f>IF(ISBLANK(M102),0,Q102*ROUND(N102,2))</f>
        <v>#DIV/0!</v>
      </c>
      <c r="S102" s="24" t="e">
        <f>ROUND(P102,2)*Q102</f>
        <v>#DIV/0!</v>
      </c>
      <c r="T102" s="93" t="e">
        <f>Q102*dagenperjaar1</f>
        <v>#DIV/0!</v>
      </c>
      <c r="U102" s="25" t="e">
        <f>T102*ROUND(P102,2)</f>
        <v>#DIV/0!</v>
      </c>
    </row>
    <row r="103" spans="1:21" x14ac:dyDescent="0.2">
      <c r="A103" s="90" t="s">
        <v>293</v>
      </c>
      <c r="B103" s="91" t="s">
        <v>40</v>
      </c>
      <c r="C103" s="91" t="s">
        <v>294</v>
      </c>
      <c r="D103" s="91" t="s">
        <v>301</v>
      </c>
      <c r="E103" s="92" t="s">
        <v>302</v>
      </c>
      <c r="F103" s="91" t="s">
        <v>303</v>
      </c>
      <c r="G103" s="91" t="s">
        <v>195</v>
      </c>
      <c r="H103" s="91" t="s">
        <v>12</v>
      </c>
      <c r="I103" s="91" t="s">
        <v>171</v>
      </c>
      <c r="J103" s="91"/>
      <c r="K103" s="93">
        <v>3.36</v>
      </c>
      <c r="L103" s="93">
        <f>K103*VLOOKUP(H103,dagsoorttabel1,2,FALSE)</f>
        <v>2.6352941176470588</v>
      </c>
      <c r="M103" s="94">
        <f>prodnorm24</f>
        <v>0</v>
      </c>
      <c r="N103" s="37">
        <f>dagwerk24</f>
        <v>0</v>
      </c>
      <c r="O103" s="91" t="s">
        <v>98</v>
      </c>
      <c r="P103" s="24">
        <f>uurtarief24</f>
        <v>0</v>
      </c>
      <c r="Q103" s="93" t="e">
        <f>IF(ISBLANK(M103),0,L103/ROUND(M103,4))</f>
        <v>#DIV/0!</v>
      </c>
      <c r="R103" s="93" t="e">
        <f>IF(ISBLANK(M103),0,Q103*ROUND(N103,2))</f>
        <v>#DIV/0!</v>
      </c>
      <c r="S103" s="24" t="e">
        <f>ROUND(P103,2)*Q103</f>
        <v>#DIV/0!</v>
      </c>
      <c r="T103" s="93" t="e">
        <f>Q103*dagenperjaar1</f>
        <v>#DIV/0!</v>
      </c>
      <c r="U103" s="25" t="e">
        <f>T103*ROUND(P103,2)</f>
        <v>#DIV/0!</v>
      </c>
    </row>
    <row r="104" spans="1:21" x14ac:dyDescent="0.2">
      <c r="A104" s="90" t="s">
        <v>293</v>
      </c>
      <c r="B104" s="91" t="s">
        <v>40</v>
      </c>
      <c r="C104" s="91" t="s">
        <v>294</v>
      </c>
      <c r="D104" s="91" t="s">
        <v>304</v>
      </c>
      <c r="E104" s="92" t="s">
        <v>305</v>
      </c>
      <c r="F104" s="91" t="s">
        <v>227</v>
      </c>
      <c r="G104" s="91" t="s">
        <v>187</v>
      </c>
      <c r="H104" s="91" t="s">
        <v>12</v>
      </c>
      <c r="I104" s="91" t="s">
        <v>171</v>
      </c>
      <c r="J104" s="91"/>
      <c r="K104" s="93">
        <v>5.6099999999999994</v>
      </c>
      <c r="L104" s="93">
        <f>K104*VLOOKUP(H104,dagsoorttabel1,2,FALSE)</f>
        <v>4.3999999999999995</v>
      </c>
      <c r="M104" s="94">
        <f>prodnorm19</f>
        <v>0</v>
      </c>
      <c r="N104" s="37">
        <f>dagwerk19</f>
        <v>0</v>
      </c>
      <c r="O104" s="91" t="s">
        <v>98</v>
      </c>
      <c r="P104" s="24">
        <f>uurtarief19</f>
        <v>0</v>
      </c>
      <c r="Q104" s="93" t="e">
        <f>IF(ISBLANK(M104),0,L104/ROUND(M104,4))</f>
        <v>#DIV/0!</v>
      </c>
      <c r="R104" s="93" t="e">
        <f>IF(ISBLANK(M104),0,Q104*ROUND(N104,2))</f>
        <v>#DIV/0!</v>
      </c>
      <c r="S104" s="24" t="e">
        <f>ROUND(P104,2)*Q104</f>
        <v>#DIV/0!</v>
      </c>
      <c r="T104" s="93" t="e">
        <f>Q104*dagenperjaar1</f>
        <v>#DIV/0!</v>
      </c>
      <c r="U104" s="25" t="e">
        <f>T104*ROUND(P104,2)</f>
        <v>#DIV/0!</v>
      </c>
    </row>
    <row r="105" spans="1:21" x14ac:dyDescent="0.2">
      <c r="A105" s="90" t="s">
        <v>293</v>
      </c>
      <c r="B105" s="91" t="s">
        <v>40</v>
      </c>
      <c r="C105" s="91" t="s">
        <v>294</v>
      </c>
      <c r="D105" s="91" t="s">
        <v>306</v>
      </c>
      <c r="E105" s="92" t="s">
        <v>307</v>
      </c>
      <c r="F105" s="91" t="s">
        <v>303</v>
      </c>
      <c r="G105" s="91" t="s">
        <v>195</v>
      </c>
      <c r="H105" s="91" t="s">
        <v>12</v>
      </c>
      <c r="I105" s="91" t="s">
        <v>171</v>
      </c>
      <c r="J105" s="91"/>
      <c r="K105" s="93">
        <v>3.38</v>
      </c>
      <c r="L105" s="93">
        <f>K105*VLOOKUP(H105,dagsoorttabel1,2,FALSE)</f>
        <v>2.6509803921568627</v>
      </c>
      <c r="M105" s="94">
        <f>prodnorm24</f>
        <v>0</v>
      </c>
      <c r="N105" s="37">
        <f>dagwerk24</f>
        <v>0</v>
      </c>
      <c r="O105" s="91" t="s">
        <v>98</v>
      </c>
      <c r="P105" s="24">
        <f>uurtarief24</f>
        <v>0</v>
      </c>
      <c r="Q105" s="93" t="e">
        <f>IF(ISBLANK(M105),0,L105/ROUND(M105,4))</f>
        <v>#DIV/0!</v>
      </c>
      <c r="R105" s="93" t="e">
        <f>IF(ISBLANK(M105),0,Q105*ROUND(N105,2))</f>
        <v>#DIV/0!</v>
      </c>
      <c r="S105" s="24" t="e">
        <f>ROUND(P105,2)*Q105</f>
        <v>#DIV/0!</v>
      </c>
      <c r="T105" s="93" t="e">
        <f>Q105*dagenperjaar1</f>
        <v>#DIV/0!</v>
      </c>
      <c r="U105" s="25" t="e">
        <f>T105*ROUND(P105,2)</f>
        <v>#DIV/0!</v>
      </c>
    </row>
    <row r="106" spans="1:21" x14ac:dyDescent="0.2">
      <c r="A106" s="90" t="s">
        <v>293</v>
      </c>
      <c r="B106" s="91" t="s">
        <v>40</v>
      </c>
      <c r="C106" s="91" t="s">
        <v>294</v>
      </c>
      <c r="D106" s="91" t="s">
        <v>308</v>
      </c>
      <c r="E106" s="92" t="s">
        <v>309</v>
      </c>
      <c r="F106" s="91" t="s">
        <v>303</v>
      </c>
      <c r="G106" s="91" t="s">
        <v>187</v>
      </c>
      <c r="H106" s="91" t="s">
        <v>12</v>
      </c>
      <c r="I106" s="91" t="s">
        <v>171</v>
      </c>
      <c r="J106" s="91"/>
      <c r="K106" s="93">
        <v>15.3</v>
      </c>
      <c r="L106" s="93">
        <f>K106*VLOOKUP(H106,dagsoorttabel1,2,FALSE)</f>
        <v>12</v>
      </c>
      <c r="M106" s="94">
        <f>prodnorm19</f>
        <v>0</v>
      </c>
      <c r="N106" s="37">
        <f>dagwerk19</f>
        <v>0</v>
      </c>
      <c r="O106" s="91" t="s">
        <v>98</v>
      </c>
      <c r="P106" s="24">
        <f>uurtarief19</f>
        <v>0</v>
      </c>
      <c r="Q106" s="93" t="e">
        <f>IF(ISBLANK(M106),0,L106/ROUND(M106,4))</f>
        <v>#DIV/0!</v>
      </c>
      <c r="R106" s="93" t="e">
        <f>IF(ISBLANK(M106),0,Q106*ROUND(N106,2))</f>
        <v>#DIV/0!</v>
      </c>
      <c r="S106" s="24" t="e">
        <f>ROUND(P106,2)*Q106</f>
        <v>#DIV/0!</v>
      </c>
      <c r="T106" s="93" t="e">
        <f>Q106*dagenperjaar1</f>
        <v>#DIV/0!</v>
      </c>
      <c r="U106" s="25" t="e">
        <f>T106*ROUND(P106,2)</f>
        <v>#DIV/0!</v>
      </c>
    </row>
    <row r="107" spans="1:21" x14ac:dyDescent="0.2">
      <c r="A107" s="90" t="s">
        <v>293</v>
      </c>
      <c r="B107" s="91" t="s">
        <v>40</v>
      </c>
      <c r="C107" s="91" t="s">
        <v>294</v>
      </c>
      <c r="D107" s="91" t="s">
        <v>310</v>
      </c>
      <c r="E107" s="92" t="s">
        <v>311</v>
      </c>
      <c r="F107" s="91" t="s">
        <v>303</v>
      </c>
      <c r="G107" s="91" t="s">
        <v>175</v>
      </c>
      <c r="H107" s="91" t="s">
        <v>12</v>
      </c>
      <c r="I107" s="91" t="s">
        <v>171</v>
      </c>
      <c r="J107" s="91"/>
      <c r="K107" s="93">
        <v>14.92</v>
      </c>
      <c r="L107" s="93">
        <f>K107*VLOOKUP(H107,dagsoorttabel1,2,FALSE)</f>
        <v>11.701960784313725</v>
      </c>
      <c r="M107" s="94">
        <f>prodnorm6</f>
        <v>0</v>
      </c>
      <c r="N107" s="37">
        <f>dagwerk6</f>
        <v>0</v>
      </c>
      <c r="O107" s="91" t="s">
        <v>98</v>
      </c>
      <c r="P107" s="24">
        <f>uurtarief6</f>
        <v>0</v>
      </c>
      <c r="Q107" s="93" t="e">
        <f>IF(ISBLANK(M107),0,L107/ROUND(M107,4))</f>
        <v>#DIV/0!</v>
      </c>
      <c r="R107" s="93" t="e">
        <f>IF(ISBLANK(M107),0,Q107*ROUND(N107,2))</f>
        <v>#DIV/0!</v>
      </c>
      <c r="S107" s="24" t="e">
        <f>ROUND(P107,2)*Q107</f>
        <v>#DIV/0!</v>
      </c>
      <c r="T107" s="93" t="e">
        <f>Q107*dagenperjaar1</f>
        <v>#DIV/0!</v>
      </c>
      <c r="U107" s="25" t="e">
        <f>T107*ROUND(P107,2)</f>
        <v>#DIV/0!</v>
      </c>
    </row>
    <row r="108" spans="1:21" x14ac:dyDescent="0.2">
      <c r="A108" s="90" t="s">
        <v>293</v>
      </c>
      <c r="B108" s="91" t="s">
        <v>40</v>
      </c>
      <c r="C108" s="91" t="s">
        <v>294</v>
      </c>
      <c r="D108" s="91" t="s">
        <v>312</v>
      </c>
      <c r="E108" s="92" t="s">
        <v>313</v>
      </c>
      <c r="F108" s="91" t="s">
        <v>303</v>
      </c>
      <c r="G108" s="91" t="s">
        <v>195</v>
      </c>
      <c r="H108" s="91" t="s">
        <v>12</v>
      </c>
      <c r="I108" s="91" t="s">
        <v>171</v>
      </c>
      <c r="J108" s="91"/>
      <c r="K108" s="93">
        <v>1.3</v>
      </c>
      <c r="L108" s="93">
        <f>K108*VLOOKUP(H108,dagsoorttabel1,2,FALSE)</f>
        <v>1.0196078431372548</v>
      </c>
      <c r="M108" s="94">
        <f>prodnorm24</f>
        <v>0</v>
      </c>
      <c r="N108" s="37">
        <f>dagwerk24</f>
        <v>0</v>
      </c>
      <c r="O108" s="91" t="s">
        <v>98</v>
      </c>
      <c r="P108" s="24">
        <f>uurtarief24</f>
        <v>0</v>
      </c>
      <c r="Q108" s="93" t="e">
        <f>IF(ISBLANK(M108),0,L108/ROUND(M108,4))</f>
        <v>#DIV/0!</v>
      </c>
      <c r="R108" s="93" t="e">
        <f>IF(ISBLANK(M108),0,Q108*ROUND(N108,2))</f>
        <v>#DIV/0!</v>
      </c>
      <c r="S108" s="24" t="e">
        <f>ROUND(P108,2)*Q108</f>
        <v>#DIV/0!</v>
      </c>
      <c r="T108" s="93" t="e">
        <f>Q108*dagenperjaar1</f>
        <v>#DIV/0!</v>
      </c>
      <c r="U108" s="25" t="e">
        <f>T108*ROUND(P108,2)</f>
        <v>#DIV/0!</v>
      </c>
    </row>
    <row r="109" spans="1:21" x14ac:dyDescent="0.2">
      <c r="A109" s="90" t="s">
        <v>293</v>
      </c>
      <c r="B109" s="91" t="s">
        <v>40</v>
      </c>
      <c r="C109" s="91" t="s">
        <v>294</v>
      </c>
      <c r="D109" s="91" t="s">
        <v>314</v>
      </c>
      <c r="E109" s="92" t="s">
        <v>315</v>
      </c>
      <c r="F109" s="91" t="s">
        <v>303</v>
      </c>
      <c r="G109" s="91" t="s">
        <v>187</v>
      </c>
      <c r="H109" s="91" t="s">
        <v>12</v>
      </c>
      <c r="I109" s="91" t="s">
        <v>171</v>
      </c>
      <c r="J109" s="91"/>
      <c r="K109" s="93">
        <v>14.88</v>
      </c>
      <c r="L109" s="93">
        <f>K109*VLOOKUP(H109,dagsoorttabel1,2,FALSE)</f>
        <v>11.670588235294119</v>
      </c>
      <c r="M109" s="94">
        <f>prodnorm19</f>
        <v>0</v>
      </c>
      <c r="N109" s="37">
        <f>dagwerk19</f>
        <v>0</v>
      </c>
      <c r="O109" s="91" t="s">
        <v>98</v>
      </c>
      <c r="P109" s="24">
        <f>uurtarief19</f>
        <v>0</v>
      </c>
      <c r="Q109" s="93" t="e">
        <f>IF(ISBLANK(M109),0,L109/ROUND(M109,4))</f>
        <v>#DIV/0!</v>
      </c>
      <c r="R109" s="93" t="e">
        <f>IF(ISBLANK(M109),0,Q109*ROUND(N109,2))</f>
        <v>#DIV/0!</v>
      </c>
      <c r="S109" s="24" t="e">
        <f>ROUND(P109,2)*Q109</f>
        <v>#DIV/0!</v>
      </c>
      <c r="T109" s="93" t="e">
        <f>Q109*dagenperjaar1</f>
        <v>#DIV/0!</v>
      </c>
      <c r="U109" s="25" t="e">
        <f>T109*ROUND(P109,2)</f>
        <v>#DIV/0!</v>
      </c>
    </row>
    <row r="110" spans="1:21" x14ac:dyDescent="0.2">
      <c r="A110" s="90" t="s">
        <v>293</v>
      </c>
      <c r="B110" s="91" t="s">
        <v>40</v>
      </c>
      <c r="C110" s="91" t="s">
        <v>294</v>
      </c>
      <c r="D110" s="91" t="s">
        <v>316</v>
      </c>
      <c r="E110" s="92" t="s">
        <v>317</v>
      </c>
      <c r="F110" s="91" t="s">
        <v>303</v>
      </c>
      <c r="G110" s="91" t="s">
        <v>195</v>
      </c>
      <c r="H110" s="91" t="s">
        <v>12</v>
      </c>
      <c r="I110" s="91" t="s">
        <v>171</v>
      </c>
      <c r="J110" s="91"/>
      <c r="K110" s="93">
        <v>13.38</v>
      </c>
      <c r="L110" s="93">
        <f>K110*VLOOKUP(H110,dagsoorttabel1,2,FALSE)</f>
        <v>10.494117647058824</v>
      </c>
      <c r="M110" s="94">
        <f>prodnorm24</f>
        <v>0</v>
      </c>
      <c r="N110" s="37">
        <f>dagwerk24</f>
        <v>0</v>
      </c>
      <c r="O110" s="91" t="s">
        <v>98</v>
      </c>
      <c r="P110" s="24">
        <f>uurtarief24</f>
        <v>0</v>
      </c>
      <c r="Q110" s="93" t="e">
        <f>IF(ISBLANK(M110),0,L110/ROUND(M110,4))</f>
        <v>#DIV/0!</v>
      </c>
      <c r="R110" s="93" t="e">
        <f>IF(ISBLANK(M110),0,Q110*ROUND(N110,2))</f>
        <v>#DIV/0!</v>
      </c>
      <c r="S110" s="24" t="e">
        <f>ROUND(P110,2)*Q110</f>
        <v>#DIV/0!</v>
      </c>
      <c r="T110" s="93" t="e">
        <f>Q110*dagenperjaar1</f>
        <v>#DIV/0!</v>
      </c>
      <c r="U110" s="25" t="e">
        <f>T110*ROUND(P110,2)</f>
        <v>#DIV/0!</v>
      </c>
    </row>
    <row r="111" spans="1:21" x14ac:dyDescent="0.2">
      <c r="A111" s="90" t="s">
        <v>293</v>
      </c>
      <c r="B111" s="91" t="s">
        <v>40</v>
      </c>
      <c r="C111" s="91" t="s">
        <v>294</v>
      </c>
      <c r="D111" s="91" t="s">
        <v>318</v>
      </c>
      <c r="E111" s="92" t="s">
        <v>319</v>
      </c>
      <c r="F111" s="91" t="s">
        <v>303</v>
      </c>
      <c r="G111" s="91" t="s">
        <v>195</v>
      </c>
      <c r="H111" s="91" t="s">
        <v>12</v>
      </c>
      <c r="I111" s="91" t="s">
        <v>171</v>
      </c>
      <c r="J111" s="91"/>
      <c r="K111" s="93">
        <v>1.4</v>
      </c>
      <c r="L111" s="93">
        <f>K111*VLOOKUP(H111,dagsoorttabel1,2,FALSE)</f>
        <v>1.0980392156862744</v>
      </c>
      <c r="M111" s="94">
        <f>prodnorm24</f>
        <v>0</v>
      </c>
      <c r="N111" s="37">
        <f>dagwerk24</f>
        <v>0</v>
      </c>
      <c r="O111" s="91" t="s">
        <v>98</v>
      </c>
      <c r="P111" s="24">
        <f>uurtarief24</f>
        <v>0</v>
      </c>
      <c r="Q111" s="93" t="e">
        <f>IF(ISBLANK(M111),0,L111/ROUND(M111,4))</f>
        <v>#DIV/0!</v>
      </c>
      <c r="R111" s="93" t="e">
        <f>IF(ISBLANK(M111),0,Q111*ROUND(N111,2))</f>
        <v>#DIV/0!</v>
      </c>
      <c r="S111" s="24" t="e">
        <f>ROUND(P111,2)*Q111</f>
        <v>#DIV/0!</v>
      </c>
      <c r="T111" s="93" t="e">
        <f>Q111*dagenperjaar1</f>
        <v>#DIV/0!</v>
      </c>
      <c r="U111" s="25" t="e">
        <f>T111*ROUND(P111,2)</f>
        <v>#DIV/0!</v>
      </c>
    </row>
    <row r="112" spans="1:21" x14ac:dyDescent="0.2">
      <c r="A112" s="90" t="s">
        <v>293</v>
      </c>
      <c r="B112" s="91" t="s">
        <v>40</v>
      </c>
      <c r="C112" s="91" t="s">
        <v>294</v>
      </c>
      <c r="D112" s="91" t="s">
        <v>320</v>
      </c>
      <c r="E112" s="92" t="s">
        <v>296</v>
      </c>
      <c r="F112" s="91" t="s">
        <v>227</v>
      </c>
      <c r="G112" s="91" t="s">
        <v>199</v>
      </c>
      <c r="H112" s="91" t="s">
        <v>12</v>
      </c>
      <c r="I112" s="91" t="s">
        <v>171</v>
      </c>
      <c r="J112" s="91"/>
      <c r="K112" s="93">
        <v>37.44</v>
      </c>
      <c r="L112" s="93">
        <f>K112*VLOOKUP(H112,dagsoorttabel1,2,FALSE)</f>
        <v>29.36470588235294</v>
      </c>
      <c r="M112" s="94">
        <f>prodnorm28</f>
        <v>0</v>
      </c>
      <c r="N112" s="37">
        <f>dagwerk28</f>
        <v>0</v>
      </c>
      <c r="O112" s="91" t="s">
        <v>98</v>
      </c>
      <c r="P112" s="24">
        <f>uurtarief28</f>
        <v>0</v>
      </c>
      <c r="Q112" s="93" t="e">
        <f>IF(ISBLANK(M112),0,L112/ROUND(M112,4))</f>
        <v>#DIV/0!</v>
      </c>
      <c r="R112" s="93" t="e">
        <f>IF(ISBLANK(M112),0,Q112*ROUND(N112,2))</f>
        <v>#DIV/0!</v>
      </c>
      <c r="S112" s="24" t="e">
        <f>ROUND(P112,2)*Q112</f>
        <v>#DIV/0!</v>
      </c>
      <c r="T112" s="93" t="e">
        <f>Q112*dagenperjaar1</f>
        <v>#DIV/0!</v>
      </c>
      <c r="U112" s="25" t="e">
        <f>T112*ROUND(P112,2)</f>
        <v>#DIV/0!</v>
      </c>
    </row>
    <row r="113" spans="1:21" x14ac:dyDescent="0.2">
      <c r="A113" s="90" t="s">
        <v>293</v>
      </c>
      <c r="B113" s="91" t="s">
        <v>40</v>
      </c>
      <c r="C113" s="91" t="s">
        <v>218</v>
      </c>
      <c r="D113" s="91" t="s">
        <v>219</v>
      </c>
      <c r="E113" s="92" t="s">
        <v>321</v>
      </c>
      <c r="F113" s="91" t="s">
        <v>322</v>
      </c>
      <c r="G113" s="91" t="s">
        <v>177</v>
      </c>
      <c r="H113" s="91" t="s">
        <v>12</v>
      </c>
      <c r="I113" s="91" t="s">
        <v>171</v>
      </c>
      <c r="J113" s="91"/>
      <c r="K113" s="93">
        <v>11.2</v>
      </c>
      <c r="L113" s="93">
        <f>K113*VLOOKUP(H113,dagsoorttabel1,2,FALSE)</f>
        <v>8.7843137254901951</v>
      </c>
      <c r="M113" s="94">
        <f>prodnorm8</f>
        <v>0</v>
      </c>
      <c r="N113" s="37">
        <f>dagwerk8</f>
        <v>0</v>
      </c>
      <c r="O113" s="91" t="s">
        <v>98</v>
      </c>
      <c r="P113" s="24">
        <f>uurtarief8</f>
        <v>0</v>
      </c>
      <c r="Q113" s="93" t="e">
        <f>IF(ISBLANK(M113),0,L113/ROUND(M113,4))</f>
        <v>#DIV/0!</v>
      </c>
      <c r="R113" s="93" t="e">
        <f>IF(ISBLANK(M113),0,Q113*ROUND(N113,2))</f>
        <v>#DIV/0!</v>
      </c>
      <c r="S113" s="24" t="e">
        <f>ROUND(P113,2)*Q113</f>
        <v>#DIV/0!</v>
      </c>
      <c r="T113" s="93" t="e">
        <f>Q113*dagenperjaar1</f>
        <v>#DIV/0!</v>
      </c>
      <c r="U113" s="25" t="e">
        <f>T113*ROUND(P113,2)</f>
        <v>#DIV/0!</v>
      </c>
    </row>
    <row r="114" spans="1:21" x14ac:dyDescent="0.2">
      <c r="A114" s="90" t="s">
        <v>293</v>
      </c>
      <c r="B114" s="91" t="s">
        <v>40</v>
      </c>
      <c r="C114" s="91" t="s">
        <v>218</v>
      </c>
      <c r="D114" s="91" t="s">
        <v>222</v>
      </c>
      <c r="E114" s="92" t="s">
        <v>323</v>
      </c>
      <c r="F114" s="91" t="s">
        <v>324</v>
      </c>
      <c r="G114" s="91" t="s">
        <v>181</v>
      </c>
      <c r="H114" s="91" t="s">
        <v>12</v>
      </c>
      <c r="I114" s="91" t="s">
        <v>171</v>
      </c>
      <c r="J114" s="91"/>
      <c r="K114" s="93">
        <v>2.56</v>
      </c>
      <c r="L114" s="93">
        <f>K114*VLOOKUP(H114,dagsoorttabel1,2,FALSE)</f>
        <v>2.0078431372549019</v>
      </c>
      <c r="M114" s="94">
        <f>prodnorm12</f>
        <v>0</v>
      </c>
      <c r="N114" s="37">
        <f>dagwerk12</f>
        <v>0</v>
      </c>
      <c r="O114" s="91" t="s">
        <v>98</v>
      </c>
      <c r="P114" s="24">
        <f>uurtarief12</f>
        <v>0</v>
      </c>
      <c r="Q114" s="93" t="e">
        <f>IF(ISBLANK(M114),0,L114/ROUND(M114,4))</f>
        <v>#DIV/0!</v>
      </c>
      <c r="R114" s="93" t="e">
        <f>IF(ISBLANK(M114),0,Q114*ROUND(N114,2))</f>
        <v>#DIV/0!</v>
      </c>
      <c r="S114" s="24" t="e">
        <f>ROUND(P114,2)*Q114</f>
        <v>#DIV/0!</v>
      </c>
      <c r="T114" s="93" t="e">
        <f>Q114*dagenperjaar1</f>
        <v>#DIV/0!</v>
      </c>
      <c r="U114" s="25" t="e">
        <f>T114*ROUND(P114,2)</f>
        <v>#DIV/0!</v>
      </c>
    </row>
    <row r="115" spans="1:21" x14ac:dyDescent="0.2">
      <c r="A115" s="95" t="s">
        <v>293</v>
      </c>
      <c r="B115" s="96" t="s">
        <v>40</v>
      </c>
      <c r="C115" s="96" t="s">
        <v>218</v>
      </c>
      <c r="D115" s="96" t="s">
        <v>243</v>
      </c>
      <c r="E115" s="97" t="s">
        <v>325</v>
      </c>
      <c r="F115" s="96" t="s">
        <v>322</v>
      </c>
      <c r="G115" s="96" t="s">
        <v>197</v>
      </c>
      <c r="H115" s="96" t="s">
        <v>12</v>
      </c>
      <c r="I115" s="96" t="s">
        <v>171</v>
      </c>
      <c r="J115" s="96"/>
      <c r="K115" s="98">
        <v>8.0399999999999991</v>
      </c>
      <c r="L115" s="98">
        <f>K115*VLOOKUP(H115,dagsoorttabel1,2,FALSE)</f>
        <v>6.3058823529411754</v>
      </c>
      <c r="M115" s="99">
        <f>prodnorm26</f>
        <v>0</v>
      </c>
      <c r="N115" s="100">
        <f>dagwerk26</f>
        <v>0</v>
      </c>
      <c r="O115" s="96" t="s">
        <v>98</v>
      </c>
      <c r="P115" s="34">
        <f>uurtarief26</f>
        <v>0</v>
      </c>
      <c r="Q115" s="98" t="e">
        <f>IF(ISBLANK(M115),0,L115/ROUND(M115,4))</f>
        <v>#DIV/0!</v>
      </c>
      <c r="R115" s="98" t="e">
        <f>IF(ISBLANK(M115),0,Q115*ROUND(N115,2))</f>
        <v>#DIV/0!</v>
      </c>
      <c r="S115" s="34" t="e">
        <f>ROUND(P115,2)*Q115</f>
        <v>#DIV/0!</v>
      </c>
      <c r="T115" s="98" t="e">
        <f>Q115*dagenperjaar1</f>
        <v>#DIV/0!</v>
      </c>
      <c r="U115" s="35" t="e">
        <f>T115*ROUND(P115,2)</f>
        <v>#DIV/0!</v>
      </c>
    </row>
    <row r="116" spans="1:21" x14ac:dyDescent="0.2">
      <c r="A116" s="101" t="s">
        <v>249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5" t="e">
        <f>IF(_xlfn.SINGLE(object6_urenjaar1)&gt;0,_xlfn.SINGLE(object6_prijsjaar1)/_xlfn.SINGLE(object6_urenjaar1),0)</f>
        <v>#DIV/0!</v>
      </c>
      <c r="Q116" s="74" t="e">
        <f>SUM(Q99:Q115)</f>
        <v>#DIV/0!</v>
      </c>
      <c r="R116" s="74" t="e">
        <f>SUM(R99:R115)</f>
        <v>#DIV/0!</v>
      </c>
      <c r="S116" s="75" t="e">
        <f>SUM(S99:S115)</f>
        <v>#DIV/0!</v>
      </c>
      <c r="T116" s="74" t="e">
        <f>SUM(T99:T115)</f>
        <v>#DIV/0!</v>
      </c>
      <c r="U116" s="76" t="e">
        <f>SUM(U99:U115)</f>
        <v>#DIV/0!</v>
      </c>
    </row>
    <row r="117" spans="1:21" x14ac:dyDescent="0.2">
      <c r="A117" s="81" t="s">
        <v>326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71"/>
    </row>
    <row r="118" spans="1:21" x14ac:dyDescent="0.2">
      <c r="A118" s="82" t="s">
        <v>327</v>
      </c>
      <c r="B118" s="83" t="s">
        <v>40</v>
      </c>
      <c r="C118" s="83" t="s">
        <v>218</v>
      </c>
      <c r="D118" s="83" t="s">
        <v>219</v>
      </c>
      <c r="E118" s="84" t="s">
        <v>328</v>
      </c>
      <c r="F118" s="83" t="s">
        <v>329</v>
      </c>
      <c r="G118" s="83" t="s">
        <v>179</v>
      </c>
      <c r="H118" s="83" t="s">
        <v>10</v>
      </c>
      <c r="I118" s="83" t="s">
        <v>171</v>
      </c>
      <c r="J118" s="83"/>
      <c r="K118" s="85">
        <v>5</v>
      </c>
      <c r="L118" s="85">
        <f>K118*VLOOKUP(H118,dagsoorttabel1,2,FALSE)</f>
        <v>5</v>
      </c>
      <c r="M118" s="86">
        <f>prodnorm11</f>
        <v>0</v>
      </c>
      <c r="N118" s="87">
        <f>dagwerk11</f>
        <v>0</v>
      </c>
      <c r="O118" s="83" t="s">
        <v>98</v>
      </c>
      <c r="P118" s="88">
        <f>uurtarief11</f>
        <v>0</v>
      </c>
      <c r="Q118" s="85" t="e">
        <f>IF(ISBLANK(M118),0,L118/ROUND(M118,4))</f>
        <v>#DIV/0!</v>
      </c>
      <c r="R118" s="85" t="e">
        <f>IF(ISBLANK(M118),0,Q118*ROUND(N118,2))</f>
        <v>#DIV/0!</v>
      </c>
      <c r="S118" s="88" t="e">
        <f>ROUND(P118,2)*Q118</f>
        <v>#DIV/0!</v>
      </c>
      <c r="T118" s="85" t="e">
        <f>Q118*dagenperjaar1</f>
        <v>#DIV/0!</v>
      </c>
      <c r="U118" s="89" t="e">
        <f>T118*ROUND(P118,2)</f>
        <v>#DIV/0!</v>
      </c>
    </row>
    <row r="119" spans="1:21" x14ac:dyDescent="0.2">
      <c r="A119" s="90" t="s">
        <v>327</v>
      </c>
      <c r="B119" s="91" t="s">
        <v>40</v>
      </c>
      <c r="C119" s="91" t="s">
        <v>218</v>
      </c>
      <c r="D119" s="91" t="s">
        <v>253</v>
      </c>
      <c r="E119" s="92" t="s">
        <v>328</v>
      </c>
      <c r="F119" s="91" t="s">
        <v>227</v>
      </c>
      <c r="G119" s="91" t="s">
        <v>177</v>
      </c>
      <c r="H119" s="91" t="s">
        <v>10</v>
      </c>
      <c r="I119" s="91" t="s">
        <v>171</v>
      </c>
      <c r="J119" s="91"/>
      <c r="K119" s="93">
        <v>45.839999999999996</v>
      </c>
      <c r="L119" s="93">
        <f>K119*VLOOKUP(H119,dagsoorttabel1,2,FALSE)</f>
        <v>45.839999999999996</v>
      </c>
      <c r="M119" s="94">
        <f>prodnorm9</f>
        <v>0</v>
      </c>
      <c r="N119" s="37">
        <f>dagwerk9</f>
        <v>0</v>
      </c>
      <c r="O119" s="91" t="s">
        <v>98</v>
      </c>
      <c r="P119" s="24">
        <f>uurtarief9</f>
        <v>0</v>
      </c>
      <c r="Q119" s="93" t="e">
        <f>IF(ISBLANK(M119),0,L119/ROUND(M119,4))</f>
        <v>#DIV/0!</v>
      </c>
      <c r="R119" s="93" t="e">
        <f>IF(ISBLANK(M119),0,Q119*ROUND(N119,2))</f>
        <v>#DIV/0!</v>
      </c>
      <c r="S119" s="24" t="e">
        <f>ROUND(P119,2)*Q119</f>
        <v>#DIV/0!</v>
      </c>
      <c r="T119" s="93" t="e">
        <f>Q119*dagenperjaar1</f>
        <v>#DIV/0!</v>
      </c>
      <c r="U119" s="25" t="e">
        <f>T119*ROUND(P119,2)</f>
        <v>#DIV/0!</v>
      </c>
    </row>
    <row r="120" spans="1:21" x14ac:dyDescent="0.2">
      <c r="A120" s="90" t="s">
        <v>327</v>
      </c>
      <c r="B120" s="91" t="s">
        <v>40</v>
      </c>
      <c r="C120" s="91" t="s">
        <v>218</v>
      </c>
      <c r="D120" s="91" t="s">
        <v>330</v>
      </c>
      <c r="E120" s="92" t="s">
        <v>331</v>
      </c>
      <c r="F120" s="91" t="s">
        <v>332</v>
      </c>
      <c r="G120" s="91" t="s">
        <v>197</v>
      </c>
      <c r="H120" s="91" t="s">
        <v>10</v>
      </c>
      <c r="I120" s="91" t="s">
        <v>171</v>
      </c>
      <c r="J120" s="91"/>
      <c r="K120" s="93">
        <v>10</v>
      </c>
      <c r="L120" s="93">
        <f>K120*VLOOKUP(H120,dagsoorttabel1,2,FALSE)</f>
        <v>10</v>
      </c>
      <c r="M120" s="94">
        <f>prodnorm27</f>
        <v>0</v>
      </c>
      <c r="N120" s="37">
        <f>dagwerk27</f>
        <v>0</v>
      </c>
      <c r="O120" s="91" t="s">
        <v>98</v>
      </c>
      <c r="P120" s="24">
        <f>uurtarief27</f>
        <v>0</v>
      </c>
      <c r="Q120" s="93" t="e">
        <f>IF(ISBLANK(M120),0,L120/ROUND(M120,4))</f>
        <v>#DIV/0!</v>
      </c>
      <c r="R120" s="93" t="e">
        <f>IF(ISBLANK(M120),0,Q120*ROUND(N120,2))</f>
        <v>#DIV/0!</v>
      </c>
      <c r="S120" s="24" t="e">
        <f>ROUND(P120,2)*Q120</f>
        <v>#DIV/0!</v>
      </c>
      <c r="T120" s="93" t="e">
        <f>Q120*dagenperjaar1</f>
        <v>#DIV/0!</v>
      </c>
      <c r="U120" s="25" t="e">
        <f>T120*ROUND(P120,2)</f>
        <v>#DIV/0!</v>
      </c>
    </row>
    <row r="121" spans="1:21" x14ac:dyDescent="0.2">
      <c r="A121" s="90" t="s">
        <v>327</v>
      </c>
      <c r="B121" s="91" t="s">
        <v>40</v>
      </c>
      <c r="C121" s="91" t="s">
        <v>218</v>
      </c>
      <c r="D121" s="91" t="s">
        <v>333</v>
      </c>
      <c r="E121" s="92" t="s">
        <v>245</v>
      </c>
      <c r="F121" s="91" t="s">
        <v>246</v>
      </c>
      <c r="G121" s="91" t="s">
        <v>183</v>
      </c>
      <c r="H121" s="91" t="s">
        <v>10</v>
      </c>
      <c r="I121" s="91" t="s">
        <v>171</v>
      </c>
      <c r="J121" s="91"/>
      <c r="K121" s="93">
        <v>253.29</v>
      </c>
      <c r="L121" s="93">
        <f>K121*VLOOKUP(H121,dagsoorttabel1,2,FALSE)</f>
        <v>253.29</v>
      </c>
      <c r="M121" s="94">
        <f>prodnorm16</f>
        <v>0</v>
      </c>
      <c r="N121" s="37">
        <f>dagwerk16</f>
        <v>0</v>
      </c>
      <c r="O121" s="91" t="s">
        <v>98</v>
      </c>
      <c r="P121" s="24">
        <f>uurtarief16</f>
        <v>0</v>
      </c>
      <c r="Q121" s="93" t="e">
        <f>IF(ISBLANK(M121),0,L121/ROUND(M121,4))</f>
        <v>#DIV/0!</v>
      </c>
      <c r="R121" s="93" t="e">
        <f>IF(ISBLANK(M121),0,Q121*ROUND(N121,2))</f>
        <v>#DIV/0!</v>
      </c>
      <c r="S121" s="24" t="e">
        <f>ROUND(P121,2)*Q121</f>
        <v>#DIV/0!</v>
      </c>
      <c r="T121" s="93" t="e">
        <f>Q121*dagenperjaar1</f>
        <v>#DIV/0!</v>
      </c>
      <c r="U121" s="25" t="e">
        <f>T121*ROUND(P121,2)</f>
        <v>#DIV/0!</v>
      </c>
    </row>
    <row r="122" spans="1:21" x14ac:dyDescent="0.2">
      <c r="A122" s="90" t="s">
        <v>327</v>
      </c>
      <c r="B122" s="91" t="s">
        <v>40</v>
      </c>
      <c r="C122" s="91" t="s">
        <v>218</v>
      </c>
      <c r="D122" s="91" t="s">
        <v>225</v>
      </c>
      <c r="E122" s="92" t="s">
        <v>334</v>
      </c>
      <c r="F122" s="91" t="s">
        <v>303</v>
      </c>
      <c r="G122" s="91" t="s">
        <v>195</v>
      </c>
      <c r="H122" s="91" t="s">
        <v>10</v>
      </c>
      <c r="I122" s="91" t="s">
        <v>171</v>
      </c>
      <c r="J122" s="91"/>
      <c r="K122" s="93">
        <v>4.41</v>
      </c>
      <c r="L122" s="93">
        <f>K122*VLOOKUP(H122,dagsoorttabel1,2,FALSE)</f>
        <v>4.41</v>
      </c>
      <c r="M122" s="94">
        <f>prodnorm25</f>
        <v>0</v>
      </c>
      <c r="N122" s="37">
        <f>dagwerk25</f>
        <v>0</v>
      </c>
      <c r="O122" s="91" t="s">
        <v>98</v>
      </c>
      <c r="P122" s="24">
        <f>uurtarief25</f>
        <v>0</v>
      </c>
      <c r="Q122" s="93" t="e">
        <f>IF(ISBLANK(M122),0,L122/ROUND(M122,4))</f>
        <v>#DIV/0!</v>
      </c>
      <c r="R122" s="93" t="e">
        <f>IF(ISBLANK(M122),0,Q122*ROUND(N122,2))</f>
        <v>#DIV/0!</v>
      </c>
      <c r="S122" s="24" t="e">
        <f>ROUND(P122,2)*Q122</f>
        <v>#DIV/0!</v>
      </c>
      <c r="T122" s="93" t="e">
        <f>Q122*dagenperjaar1</f>
        <v>#DIV/0!</v>
      </c>
      <c r="U122" s="25" t="e">
        <f>T122*ROUND(P122,2)</f>
        <v>#DIV/0!</v>
      </c>
    </row>
    <row r="123" spans="1:21" x14ac:dyDescent="0.2">
      <c r="A123" s="90" t="s">
        <v>327</v>
      </c>
      <c r="B123" s="91" t="s">
        <v>40</v>
      </c>
      <c r="C123" s="91" t="s">
        <v>218</v>
      </c>
      <c r="D123" s="91" t="s">
        <v>225</v>
      </c>
      <c r="E123" s="92" t="s">
        <v>335</v>
      </c>
      <c r="F123" s="91" t="s">
        <v>246</v>
      </c>
      <c r="G123" s="91" t="s">
        <v>183</v>
      </c>
      <c r="H123" s="91" t="s">
        <v>16</v>
      </c>
      <c r="I123" s="91" t="s">
        <v>171</v>
      </c>
      <c r="J123" s="91"/>
      <c r="K123" s="93">
        <v>27.84</v>
      </c>
      <c r="L123" s="93">
        <f>K123*VLOOKUP(H123,dagsoorttabel1,2,FALSE)</f>
        <v>4.3670588235294119</v>
      </c>
      <c r="M123" s="94">
        <f>prodnorm17</f>
        <v>0</v>
      </c>
      <c r="N123" s="37">
        <f>dagwerk17</f>
        <v>0</v>
      </c>
      <c r="O123" s="91" t="s">
        <v>98</v>
      </c>
      <c r="P123" s="24">
        <f>uurtarief17</f>
        <v>0</v>
      </c>
      <c r="Q123" s="93" t="e">
        <f>IF(ISBLANK(M123),0,L123/ROUND(M123,4))</f>
        <v>#DIV/0!</v>
      </c>
      <c r="R123" s="93" t="e">
        <f>IF(ISBLANK(M123),0,Q123*ROUND(N123,2))</f>
        <v>#DIV/0!</v>
      </c>
      <c r="S123" s="24" t="e">
        <f>ROUND(P123,2)*Q123</f>
        <v>#DIV/0!</v>
      </c>
      <c r="T123" s="93" t="e">
        <f>Q123*dagenperjaar1</f>
        <v>#DIV/0!</v>
      </c>
      <c r="U123" s="25" t="e">
        <f>T123*ROUND(P123,2)</f>
        <v>#DIV/0!</v>
      </c>
    </row>
    <row r="124" spans="1:21" x14ac:dyDescent="0.2">
      <c r="A124" s="90" t="s">
        <v>327</v>
      </c>
      <c r="B124" s="91" t="s">
        <v>40</v>
      </c>
      <c r="C124" s="91" t="s">
        <v>218</v>
      </c>
      <c r="D124" s="91" t="s">
        <v>228</v>
      </c>
      <c r="E124" s="92" t="s">
        <v>336</v>
      </c>
      <c r="F124" s="91" t="s">
        <v>227</v>
      </c>
      <c r="G124" s="91" t="s">
        <v>181</v>
      </c>
      <c r="H124" s="91" t="s">
        <v>10</v>
      </c>
      <c r="I124" s="91" t="s">
        <v>171</v>
      </c>
      <c r="J124" s="91"/>
      <c r="K124" s="93">
        <v>4</v>
      </c>
      <c r="L124" s="93">
        <f>K124*VLOOKUP(H124,dagsoorttabel1,2,FALSE)</f>
        <v>4</v>
      </c>
      <c r="M124" s="94">
        <f>prodnorm13</f>
        <v>0</v>
      </c>
      <c r="N124" s="37">
        <f>dagwerk13</f>
        <v>0</v>
      </c>
      <c r="O124" s="91" t="s">
        <v>98</v>
      </c>
      <c r="P124" s="24">
        <f>uurtarief13</f>
        <v>0</v>
      </c>
      <c r="Q124" s="93" t="e">
        <f>IF(ISBLANK(M124),0,L124/ROUND(M124,4))</f>
        <v>#DIV/0!</v>
      </c>
      <c r="R124" s="93" t="e">
        <f>IF(ISBLANK(M124),0,Q124*ROUND(N124,2))</f>
        <v>#DIV/0!</v>
      </c>
      <c r="S124" s="24" t="e">
        <f>ROUND(P124,2)*Q124</f>
        <v>#DIV/0!</v>
      </c>
      <c r="T124" s="93" t="e">
        <f>Q124*dagenperjaar1</f>
        <v>#DIV/0!</v>
      </c>
      <c r="U124" s="25" t="e">
        <f>T124*ROUND(P124,2)</f>
        <v>#DIV/0!</v>
      </c>
    </row>
    <row r="125" spans="1:21" x14ac:dyDescent="0.2">
      <c r="A125" s="90" t="s">
        <v>327</v>
      </c>
      <c r="B125" s="91" t="s">
        <v>40</v>
      </c>
      <c r="C125" s="91" t="s">
        <v>218</v>
      </c>
      <c r="D125" s="91" t="s">
        <v>256</v>
      </c>
      <c r="E125" s="92" t="s">
        <v>337</v>
      </c>
      <c r="F125" s="91" t="s">
        <v>338</v>
      </c>
      <c r="G125" s="91" t="s">
        <v>189</v>
      </c>
      <c r="H125" s="91" t="s">
        <v>10</v>
      </c>
      <c r="I125" s="91" t="s">
        <v>171</v>
      </c>
      <c r="J125" s="91"/>
      <c r="K125" s="93">
        <v>24.35</v>
      </c>
      <c r="L125" s="93">
        <f>K125*VLOOKUP(H125,dagsoorttabel1,2,FALSE)</f>
        <v>24.35</v>
      </c>
      <c r="M125" s="94">
        <f>prodnorm21</f>
        <v>0</v>
      </c>
      <c r="N125" s="37">
        <f>dagwerk21</f>
        <v>0</v>
      </c>
      <c r="O125" s="91" t="s">
        <v>98</v>
      </c>
      <c r="P125" s="24">
        <f>uurtarief21</f>
        <v>0</v>
      </c>
      <c r="Q125" s="93" t="e">
        <f>IF(ISBLANK(M125),0,L125/ROUND(M125,4))</f>
        <v>#DIV/0!</v>
      </c>
      <c r="R125" s="93" t="e">
        <f>IF(ISBLANK(M125),0,Q125*ROUND(N125,2))</f>
        <v>#DIV/0!</v>
      </c>
      <c r="S125" s="24" t="e">
        <f>ROUND(P125,2)*Q125</f>
        <v>#DIV/0!</v>
      </c>
      <c r="T125" s="93" t="e">
        <f>Q125*dagenperjaar1</f>
        <v>#DIV/0!</v>
      </c>
      <c r="U125" s="25" t="e">
        <f>T125*ROUND(P125,2)</f>
        <v>#DIV/0!</v>
      </c>
    </row>
    <row r="126" spans="1:21" x14ac:dyDescent="0.2">
      <c r="A126" s="90" t="s">
        <v>327</v>
      </c>
      <c r="B126" s="91" t="s">
        <v>40</v>
      </c>
      <c r="C126" s="91" t="s">
        <v>218</v>
      </c>
      <c r="D126" s="91" t="s">
        <v>234</v>
      </c>
      <c r="E126" s="92" t="s">
        <v>339</v>
      </c>
      <c r="F126" s="91" t="s">
        <v>227</v>
      </c>
      <c r="G126" s="91" t="s">
        <v>191</v>
      </c>
      <c r="H126" s="91" t="s">
        <v>10</v>
      </c>
      <c r="I126" s="91" t="s">
        <v>171</v>
      </c>
      <c r="J126" s="91"/>
      <c r="K126" s="93">
        <v>14.04</v>
      </c>
      <c r="L126" s="93">
        <f>K126*VLOOKUP(H126,dagsoorttabel1,2,FALSE)</f>
        <v>14.04</v>
      </c>
      <c r="M126" s="94">
        <f>prodnorm22</f>
        <v>0</v>
      </c>
      <c r="N126" s="37">
        <f>dagwerk22</f>
        <v>0</v>
      </c>
      <c r="O126" s="91" t="s">
        <v>98</v>
      </c>
      <c r="P126" s="24">
        <f>uurtarief22</f>
        <v>0</v>
      </c>
      <c r="Q126" s="93" t="e">
        <f>IF(ISBLANK(M126),0,L126/ROUND(M126,4))</f>
        <v>#DIV/0!</v>
      </c>
      <c r="R126" s="93" t="e">
        <f>IF(ISBLANK(M126),0,Q126*ROUND(N126,2))</f>
        <v>#DIV/0!</v>
      </c>
      <c r="S126" s="24" t="e">
        <f>ROUND(P126,2)*Q126</f>
        <v>#DIV/0!</v>
      </c>
      <c r="T126" s="93" t="e">
        <f>Q126*dagenperjaar1</f>
        <v>#DIV/0!</v>
      </c>
      <c r="U126" s="25" t="e">
        <f>T126*ROUND(P126,2)</f>
        <v>#DIV/0!</v>
      </c>
    </row>
    <row r="127" spans="1:21" x14ac:dyDescent="0.2">
      <c r="A127" s="90" t="s">
        <v>327</v>
      </c>
      <c r="B127" s="91" t="s">
        <v>40</v>
      </c>
      <c r="C127" s="91" t="s">
        <v>218</v>
      </c>
      <c r="D127" s="91" t="s">
        <v>237</v>
      </c>
      <c r="E127" s="92" t="s">
        <v>340</v>
      </c>
      <c r="F127" s="91" t="s">
        <v>227</v>
      </c>
      <c r="G127" s="91" t="s">
        <v>193</v>
      </c>
      <c r="H127" s="91" t="s">
        <v>10</v>
      </c>
      <c r="I127" s="91" t="s">
        <v>171</v>
      </c>
      <c r="J127" s="91"/>
      <c r="K127" s="93">
        <v>40.160000000000004</v>
      </c>
      <c r="L127" s="93">
        <f>K127*VLOOKUP(H127,dagsoorttabel1,2,FALSE)</f>
        <v>40.160000000000004</v>
      </c>
      <c r="M127" s="94">
        <f>prodnorm23</f>
        <v>0</v>
      </c>
      <c r="N127" s="37">
        <f>dagwerk23</f>
        <v>0</v>
      </c>
      <c r="O127" s="91" t="s">
        <v>98</v>
      </c>
      <c r="P127" s="24">
        <f>uurtarief23</f>
        <v>0</v>
      </c>
      <c r="Q127" s="93" t="e">
        <f>IF(ISBLANK(M127),0,L127/ROUND(M127,4))</f>
        <v>#DIV/0!</v>
      </c>
      <c r="R127" s="93" t="e">
        <f>IF(ISBLANK(M127),0,Q127*ROUND(N127,2))</f>
        <v>#DIV/0!</v>
      </c>
      <c r="S127" s="24" t="e">
        <f>ROUND(P127,2)*Q127</f>
        <v>#DIV/0!</v>
      </c>
      <c r="T127" s="93" t="e">
        <f>Q127*dagenperjaar1</f>
        <v>#DIV/0!</v>
      </c>
      <c r="U127" s="25" t="e">
        <f>T127*ROUND(P127,2)</f>
        <v>#DIV/0!</v>
      </c>
    </row>
    <row r="128" spans="1:21" x14ac:dyDescent="0.2">
      <c r="A128" s="90" t="s">
        <v>327</v>
      </c>
      <c r="B128" s="91" t="s">
        <v>40</v>
      </c>
      <c r="C128" s="91" t="s">
        <v>218</v>
      </c>
      <c r="D128" s="91" t="s">
        <v>240</v>
      </c>
      <c r="E128" s="92" t="s">
        <v>341</v>
      </c>
      <c r="F128" s="91" t="s">
        <v>322</v>
      </c>
      <c r="G128" s="91" t="s">
        <v>195</v>
      </c>
      <c r="H128" s="91" t="s">
        <v>10</v>
      </c>
      <c r="I128" s="91" t="s">
        <v>171</v>
      </c>
      <c r="J128" s="91"/>
      <c r="K128" s="93">
        <v>5.85</v>
      </c>
      <c r="L128" s="93">
        <f>K128*VLOOKUP(H128,dagsoorttabel1,2,FALSE)</f>
        <v>5.85</v>
      </c>
      <c r="M128" s="94">
        <f>prodnorm25</f>
        <v>0</v>
      </c>
      <c r="N128" s="37">
        <f>dagwerk25</f>
        <v>0</v>
      </c>
      <c r="O128" s="91" t="s">
        <v>98</v>
      </c>
      <c r="P128" s="24">
        <f>uurtarief25</f>
        <v>0</v>
      </c>
      <c r="Q128" s="93" t="e">
        <f>IF(ISBLANK(M128),0,L128/ROUND(M128,4))</f>
        <v>#DIV/0!</v>
      </c>
      <c r="R128" s="93" t="e">
        <f>IF(ISBLANK(M128),0,Q128*ROUND(N128,2))</f>
        <v>#DIV/0!</v>
      </c>
      <c r="S128" s="24" t="e">
        <f>ROUND(P128,2)*Q128</f>
        <v>#DIV/0!</v>
      </c>
      <c r="T128" s="93" t="e">
        <f>Q128*dagenperjaar1</f>
        <v>#DIV/0!</v>
      </c>
      <c r="U128" s="25" t="e">
        <f>T128*ROUND(P128,2)</f>
        <v>#DIV/0!</v>
      </c>
    </row>
    <row r="129" spans="1:21" x14ac:dyDescent="0.2">
      <c r="A129" s="90" t="s">
        <v>327</v>
      </c>
      <c r="B129" s="91" t="s">
        <v>40</v>
      </c>
      <c r="C129" s="91" t="s">
        <v>218</v>
      </c>
      <c r="D129" s="91" t="s">
        <v>242</v>
      </c>
      <c r="E129" s="92" t="s">
        <v>341</v>
      </c>
      <c r="F129" s="91" t="s">
        <v>303</v>
      </c>
      <c r="G129" s="91" t="s">
        <v>195</v>
      </c>
      <c r="H129" s="91" t="s">
        <v>10</v>
      </c>
      <c r="I129" s="91" t="s">
        <v>171</v>
      </c>
      <c r="J129" s="91"/>
      <c r="K129" s="93">
        <v>1.1500000000000001</v>
      </c>
      <c r="L129" s="93">
        <f>K129*VLOOKUP(H129,dagsoorttabel1,2,FALSE)</f>
        <v>1.1500000000000001</v>
      </c>
      <c r="M129" s="94">
        <f>prodnorm25</f>
        <v>0</v>
      </c>
      <c r="N129" s="37">
        <f>dagwerk25</f>
        <v>0</v>
      </c>
      <c r="O129" s="91" t="s">
        <v>98</v>
      </c>
      <c r="P129" s="24">
        <f>uurtarief25</f>
        <v>0</v>
      </c>
      <c r="Q129" s="93" t="e">
        <f>IF(ISBLANK(M129),0,L129/ROUND(M129,4))</f>
        <v>#DIV/0!</v>
      </c>
      <c r="R129" s="93" t="e">
        <f>IF(ISBLANK(M129),0,Q129*ROUND(N129,2))</f>
        <v>#DIV/0!</v>
      </c>
      <c r="S129" s="24" t="e">
        <f>ROUND(P129,2)*Q129</f>
        <v>#DIV/0!</v>
      </c>
      <c r="T129" s="93" t="e">
        <f>Q129*dagenperjaar1</f>
        <v>#DIV/0!</v>
      </c>
      <c r="U129" s="25" t="e">
        <f>T129*ROUND(P129,2)</f>
        <v>#DIV/0!</v>
      </c>
    </row>
    <row r="130" spans="1:21" x14ac:dyDescent="0.2">
      <c r="A130" s="90" t="s">
        <v>327</v>
      </c>
      <c r="B130" s="91" t="s">
        <v>40</v>
      </c>
      <c r="C130" s="91" t="s">
        <v>218</v>
      </c>
      <c r="D130" s="91" t="s">
        <v>243</v>
      </c>
      <c r="E130" s="92" t="s">
        <v>341</v>
      </c>
      <c r="F130" s="91" t="s">
        <v>303</v>
      </c>
      <c r="G130" s="91" t="s">
        <v>195</v>
      </c>
      <c r="H130" s="91" t="s">
        <v>10</v>
      </c>
      <c r="I130" s="91" t="s">
        <v>171</v>
      </c>
      <c r="J130" s="91"/>
      <c r="K130" s="93">
        <v>1.1200000000000001</v>
      </c>
      <c r="L130" s="93">
        <f>K130*VLOOKUP(H130,dagsoorttabel1,2,FALSE)</f>
        <v>1.1200000000000001</v>
      </c>
      <c r="M130" s="94">
        <f>prodnorm25</f>
        <v>0</v>
      </c>
      <c r="N130" s="37">
        <f>dagwerk25</f>
        <v>0</v>
      </c>
      <c r="O130" s="91" t="s">
        <v>98</v>
      </c>
      <c r="P130" s="24">
        <f>uurtarief25</f>
        <v>0</v>
      </c>
      <c r="Q130" s="93" t="e">
        <f>IF(ISBLANK(M130),0,L130/ROUND(M130,4))</f>
        <v>#DIV/0!</v>
      </c>
      <c r="R130" s="93" t="e">
        <f>IF(ISBLANK(M130),0,Q130*ROUND(N130,2))</f>
        <v>#DIV/0!</v>
      </c>
      <c r="S130" s="24" t="e">
        <f>ROUND(P130,2)*Q130</f>
        <v>#DIV/0!</v>
      </c>
      <c r="T130" s="93" t="e">
        <f>Q130*dagenperjaar1</f>
        <v>#DIV/0!</v>
      </c>
      <c r="U130" s="25" t="e">
        <f>T130*ROUND(P130,2)</f>
        <v>#DIV/0!</v>
      </c>
    </row>
    <row r="131" spans="1:21" x14ac:dyDescent="0.2">
      <c r="A131" s="90" t="s">
        <v>327</v>
      </c>
      <c r="B131" s="91" t="s">
        <v>40</v>
      </c>
      <c r="C131" s="91" t="s">
        <v>218</v>
      </c>
      <c r="D131" s="91" t="s">
        <v>342</v>
      </c>
      <c r="E131" s="92" t="s">
        <v>343</v>
      </c>
      <c r="F131" s="91" t="s">
        <v>227</v>
      </c>
      <c r="G131" s="91" t="s">
        <v>193</v>
      </c>
      <c r="H131" s="91" t="s">
        <v>10</v>
      </c>
      <c r="I131" s="91" t="s">
        <v>171</v>
      </c>
      <c r="J131" s="91"/>
      <c r="K131" s="93">
        <v>12.25</v>
      </c>
      <c r="L131" s="93">
        <f>K131*VLOOKUP(H131,dagsoorttabel1,2,FALSE)</f>
        <v>12.25</v>
      </c>
      <c r="M131" s="94">
        <f>prodnorm23</f>
        <v>0</v>
      </c>
      <c r="N131" s="37">
        <f>dagwerk23</f>
        <v>0</v>
      </c>
      <c r="O131" s="91" t="s">
        <v>98</v>
      </c>
      <c r="P131" s="24">
        <f>uurtarief23</f>
        <v>0</v>
      </c>
      <c r="Q131" s="93" t="e">
        <f>IF(ISBLANK(M131),0,L131/ROUND(M131,4))</f>
        <v>#DIV/0!</v>
      </c>
      <c r="R131" s="93" t="e">
        <f>IF(ISBLANK(M131),0,Q131*ROUND(N131,2))</f>
        <v>#DIV/0!</v>
      </c>
      <c r="S131" s="24" t="e">
        <f>ROUND(P131,2)*Q131</f>
        <v>#DIV/0!</v>
      </c>
      <c r="T131" s="93" t="e">
        <f>Q131*dagenperjaar1</f>
        <v>#DIV/0!</v>
      </c>
      <c r="U131" s="25" t="e">
        <f>T131*ROUND(P131,2)</f>
        <v>#DIV/0!</v>
      </c>
    </row>
    <row r="132" spans="1:21" x14ac:dyDescent="0.2">
      <c r="A132" s="90" t="s">
        <v>327</v>
      </c>
      <c r="B132" s="91" t="s">
        <v>40</v>
      </c>
      <c r="C132" s="91" t="s">
        <v>218</v>
      </c>
      <c r="D132" s="91" t="s">
        <v>262</v>
      </c>
      <c r="E132" s="92" t="s">
        <v>341</v>
      </c>
      <c r="F132" s="91" t="s">
        <v>303</v>
      </c>
      <c r="G132" s="91" t="s">
        <v>195</v>
      </c>
      <c r="H132" s="91" t="s">
        <v>10</v>
      </c>
      <c r="I132" s="91" t="s">
        <v>171</v>
      </c>
      <c r="J132" s="91"/>
      <c r="K132" s="93">
        <v>3.1</v>
      </c>
      <c r="L132" s="93">
        <f>K132*VLOOKUP(H132,dagsoorttabel1,2,FALSE)</f>
        <v>3.1</v>
      </c>
      <c r="M132" s="94">
        <f>prodnorm25</f>
        <v>0</v>
      </c>
      <c r="N132" s="37">
        <f>dagwerk25</f>
        <v>0</v>
      </c>
      <c r="O132" s="91" t="s">
        <v>98</v>
      </c>
      <c r="P132" s="24">
        <f>uurtarief25</f>
        <v>0</v>
      </c>
      <c r="Q132" s="93" t="e">
        <f>IF(ISBLANK(M132),0,L132/ROUND(M132,4))</f>
        <v>#DIV/0!</v>
      </c>
      <c r="R132" s="93" t="e">
        <f>IF(ISBLANK(M132),0,Q132*ROUND(N132,2))</f>
        <v>#DIV/0!</v>
      </c>
      <c r="S132" s="24" t="e">
        <f>ROUND(P132,2)*Q132</f>
        <v>#DIV/0!</v>
      </c>
      <c r="T132" s="93" t="e">
        <f>Q132*dagenperjaar1</f>
        <v>#DIV/0!</v>
      </c>
      <c r="U132" s="25" t="e">
        <f>T132*ROUND(P132,2)</f>
        <v>#DIV/0!</v>
      </c>
    </row>
    <row r="133" spans="1:21" x14ac:dyDescent="0.2">
      <c r="A133" s="90" t="s">
        <v>327</v>
      </c>
      <c r="B133" s="91" t="s">
        <v>40</v>
      </c>
      <c r="C133" s="91" t="s">
        <v>218</v>
      </c>
      <c r="D133" s="91" t="s">
        <v>263</v>
      </c>
      <c r="E133" s="92" t="s">
        <v>341</v>
      </c>
      <c r="F133" s="91" t="s">
        <v>303</v>
      </c>
      <c r="G133" s="91" t="s">
        <v>195</v>
      </c>
      <c r="H133" s="91" t="s">
        <v>10</v>
      </c>
      <c r="I133" s="91" t="s">
        <v>171</v>
      </c>
      <c r="J133" s="91"/>
      <c r="K133" s="93">
        <v>2.13</v>
      </c>
      <c r="L133" s="93">
        <f>K133*VLOOKUP(H133,dagsoorttabel1,2,FALSE)</f>
        <v>2.13</v>
      </c>
      <c r="M133" s="94">
        <f>prodnorm25</f>
        <v>0</v>
      </c>
      <c r="N133" s="37">
        <f>dagwerk25</f>
        <v>0</v>
      </c>
      <c r="O133" s="91" t="s">
        <v>98</v>
      </c>
      <c r="P133" s="24">
        <f>uurtarief25</f>
        <v>0</v>
      </c>
      <c r="Q133" s="93" t="e">
        <f>IF(ISBLANK(M133),0,L133/ROUND(M133,4))</f>
        <v>#DIV/0!</v>
      </c>
      <c r="R133" s="93" t="e">
        <f>IF(ISBLANK(M133),0,Q133*ROUND(N133,2))</f>
        <v>#DIV/0!</v>
      </c>
      <c r="S133" s="24" t="e">
        <f>ROUND(P133,2)*Q133</f>
        <v>#DIV/0!</v>
      </c>
      <c r="T133" s="93" t="e">
        <f>Q133*dagenperjaar1</f>
        <v>#DIV/0!</v>
      </c>
      <c r="U133" s="25" t="e">
        <f>T133*ROUND(P133,2)</f>
        <v>#DIV/0!</v>
      </c>
    </row>
    <row r="134" spans="1:21" x14ac:dyDescent="0.2">
      <c r="A134" s="90" t="s">
        <v>327</v>
      </c>
      <c r="B134" s="91" t="s">
        <v>40</v>
      </c>
      <c r="C134" s="91" t="s">
        <v>218</v>
      </c>
      <c r="D134" s="91" t="s">
        <v>268</v>
      </c>
      <c r="E134" s="92" t="s">
        <v>344</v>
      </c>
      <c r="F134" s="91" t="s">
        <v>227</v>
      </c>
      <c r="G134" s="91" t="s">
        <v>191</v>
      </c>
      <c r="H134" s="91" t="s">
        <v>10</v>
      </c>
      <c r="I134" s="91" t="s">
        <v>171</v>
      </c>
      <c r="J134" s="91"/>
      <c r="K134" s="93">
        <v>26.32</v>
      </c>
      <c r="L134" s="93">
        <f>K134*VLOOKUP(H134,dagsoorttabel1,2,FALSE)</f>
        <v>26.32</v>
      </c>
      <c r="M134" s="94">
        <f>prodnorm22</f>
        <v>0</v>
      </c>
      <c r="N134" s="37">
        <f>dagwerk22</f>
        <v>0</v>
      </c>
      <c r="O134" s="91" t="s">
        <v>98</v>
      </c>
      <c r="P134" s="24">
        <f>uurtarief22</f>
        <v>0</v>
      </c>
      <c r="Q134" s="93" t="e">
        <f>IF(ISBLANK(M134),0,L134/ROUND(M134,4))</f>
        <v>#DIV/0!</v>
      </c>
      <c r="R134" s="93" t="e">
        <f>IF(ISBLANK(M134),0,Q134*ROUND(N134,2))</f>
        <v>#DIV/0!</v>
      </c>
      <c r="S134" s="24" t="e">
        <f>ROUND(P134,2)*Q134</f>
        <v>#DIV/0!</v>
      </c>
      <c r="T134" s="93" t="e">
        <f>Q134*dagenperjaar1</f>
        <v>#DIV/0!</v>
      </c>
      <c r="U134" s="25" t="e">
        <f>T134*ROUND(P134,2)</f>
        <v>#DIV/0!</v>
      </c>
    </row>
    <row r="135" spans="1:21" x14ac:dyDescent="0.2">
      <c r="A135" s="90" t="s">
        <v>327</v>
      </c>
      <c r="B135" s="91" t="s">
        <v>40</v>
      </c>
      <c r="C135" s="91" t="s">
        <v>218</v>
      </c>
      <c r="D135" s="91" t="s">
        <v>270</v>
      </c>
      <c r="E135" s="92" t="s">
        <v>328</v>
      </c>
      <c r="F135" s="91" t="s">
        <v>329</v>
      </c>
      <c r="G135" s="91" t="s">
        <v>179</v>
      </c>
      <c r="H135" s="91" t="s">
        <v>10</v>
      </c>
      <c r="I135" s="91" t="s">
        <v>171</v>
      </c>
      <c r="J135" s="91"/>
      <c r="K135" s="93">
        <v>5.48</v>
      </c>
      <c r="L135" s="93">
        <f>K135*VLOOKUP(H135,dagsoorttabel1,2,FALSE)</f>
        <v>5.48</v>
      </c>
      <c r="M135" s="94">
        <f>prodnorm11</f>
        <v>0</v>
      </c>
      <c r="N135" s="37">
        <f>dagwerk11</f>
        <v>0</v>
      </c>
      <c r="O135" s="91" t="s">
        <v>98</v>
      </c>
      <c r="P135" s="24">
        <f>uurtarief11</f>
        <v>0</v>
      </c>
      <c r="Q135" s="93" t="e">
        <f>IF(ISBLANK(M135),0,L135/ROUND(M135,4))</f>
        <v>#DIV/0!</v>
      </c>
      <c r="R135" s="93" t="e">
        <f>IF(ISBLANK(M135),0,Q135*ROUND(N135,2))</f>
        <v>#DIV/0!</v>
      </c>
      <c r="S135" s="24" t="e">
        <f>ROUND(P135,2)*Q135</f>
        <v>#DIV/0!</v>
      </c>
      <c r="T135" s="93" t="e">
        <f>Q135*dagenperjaar1</f>
        <v>#DIV/0!</v>
      </c>
      <c r="U135" s="25" t="e">
        <f>T135*ROUND(P135,2)</f>
        <v>#DIV/0!</v>
      </c>
    </row>
    <row r="136" spans="1:21" x14ac:dyDescent="0.2">
      <c r="A136" s="90" t="s">
        <v>327</v>
      </c>
      <c r="B136" s="91" t="s">
        <v>40</v>
      </c>
      <c r="C136" s="91" t="s">
        <v>218</v>
      </c>
      <c r="D136" s="91" t="s">
        <v>345</v>
      </c>
      <c r="E136" s="92" t="s">
        <v>331</v>
      </c>
      <c r="F136" s="91" t="s">
        <v>332</v>
      </c>
      <c r="G136" s="91" t="s">
        <v>197</v>
      </c>
      <c r="H136" s="91" t="s">
        <v>10</v>
      </c>
      <c r="I136" s="91" t="s">
        <v>171</v>
      </c>
      <c r="J136" s="91"/>
      <c r="K136" s="93">
        <v>10</v>
      </c>
      <c r="L136" s="93">
        <f>K136*VLOOKUP(H136,dagsoorttabel1,2,FALSE)</f>
        <v>10</v>
      </c>
      <c r="M136" s="94">
        <f>prodnorm27</f>
        <v>0</v>
      </c>
      <c r="N136" s="37">
        <f>dagwerk27</f>
        <v>0</v>
      </c>
      <c r="O136" s="91" t="s">
        <v>98</v>
      </c>
      <c r="P136" s="24">
        <f>uurtarief27</f>
        <v>0</v>
      </c>
      <c r="Q136" s="93" t="e">
        <f>IF(ISBLANK(M136),0,L136/ROUND(M136,4))</f>
        <v>#DIV/0!</v>
      </c>
      <c r="R136" s="93" t="e">
        <f>IF(ISBLANK(M136),0,Q136*ROUND(N136,2))</f>
        <v>#DIV/0!</v>
      </c>
      <c r="S136" s="24" t="e">
        <f>ROUND(P136,2)*Q136</f>
        <v>#DIV/0!</v>
      </c>
      <c r="T136" s="93" t="e">
        <f>Q136*dagenperjaar1</f>
        <v>#DIV/0!</v>
      </c>
      <c r="U136" s="25" t="e">
        <f>T136*ROUND(P136,2)</f>
        <v>#DIV/0!</v>
      </c>
    </row>
    <row r="137" spans="1:21" x14ac:dyDescent="0.2">
      <c r="A137" s="90" t="s">
        <v>327</v>
      </c>
      <c r="B137" s="91" t="s">
        <v>40</v>
      </c>
      <c r="C137" s="91" t="s">
        <v>218</v>
      </c>
      <c r="D137" s="91" t="s">
        <v>346</v>
      </c>
      <c r="E137" s="92" t="s">
        <v>347</v>
      </c>
      <c r="F137" s="91" t="s">
        <v>227</v>
      </c>
      <c r="G137" s="91" t="s">
        <v>199</v>
      </c>
      <c r="H137" s="91" t="s">
        <v>10</v>
      </c>
      <c r="I137" s="91" t="s">
        <v>171</v>
      </c>
      <c r="J137" s="91"/>
      <c r="K137" s="93">
        <v>18.830000000000002</v>
      </c>
      <c r="L137" s="93">
        <f>K137*VLOOKUP(H137,dagsoorttabel1,2,FALSE)</f>
        <v>18.830000000000002</v>
      </c>
      <c r="M137" s="94">
        <f>prodnorm29</f>
        <v>0</v>
      </c>
      <c r="N137" s="37">
        <f>dagwerk29</f>
        <v>0</v>
      </c>
      <c r="O137" s="91" t="s">
        <v>98</v>
      </c>
      <c r="P137" s="24">
        <f>uurtarief29</f>
        <v>0</v>
      </c>
      <c r="Q137" s="93" t="e">
        <f>IF(ISBLANK(M137),0,L137/ROUND(M137,4))</f>
        <v>#DIV/0!</v>
      </c>
      <c r="R137" s="93" t="e">
        <f>IF(ISBLANK(M137),0,Q137*ROUND(N137,2))</f>
        <v>#DIV/0!</v>
      </c>
      <c r="S137" s="24" t="e">
        <f>ROUND(P137,2)*Q137</f>
        <v>#DIV/0!</v>
      </c>
      <c r="T137" s="93" t="e">
        <f>Q137*dagenperjaar1</f>
        <v>#DIV/0!</v>
      </c>
      <c r="U137" s="25" t="e">
        <f>T137*ROUND(P137,2)</f>
        <v>#DIV/0!</v>
      </c>
    </row>
    <row r="138" spans="1:21" x14ac:dyDescent="0.2">
      <c r="A138" s="90" t="s">
        <v>327</v>
      </c>
      <c r="B138" s="91" t="s">
        <v>40</v>
      </c>
      <c r="C138" s="91" t="s">
        <v>218</v>
      </c>
      <c r="D138" s="91" t="s">
        <v>348</v>
      </c>
      <c r="E138" s="92" t="s">
        <v>349</v>
      </c>
      <c r="F138" s="91" t="s">
        <v>227</v>
      </c>
      <c r="G138" s="91" t="s">
        <v>199</v>
      </c>
      <c r="H138" s="91" t="s">
        <v>10</v>
      </c>
      <c r="I138" s="91" t="s">
        <v>171</v>
      </c>
      <c r="J138" s="91"/>
      <c r="K138" s="93">
        <v>35.33</v>
      </c>
      <c r="L138" s="93">
        <f>K138*VLOOKUP(H138,dagsoorttabel1,2,FALSE)</f>
        <v>35.33</v>
      </c>
      <c r="M138" s="94">
        <f>prodnorm29</f>
        <v>0</v>
      </c>
      <c r="N138" s="37">
        <f>dagwerk29</f>
        <v>0</v>
      </c>
      <c r="O138" s="91" t="s">
        <v>98</v>
      </c>
      <c r="P138" s="24">
        <f>uurtarief29</f>
        <v>0</v>
      </c>
      <c r="Q138" s="93" t="e">
        <f>IF(ISBLANK(M138),0,L138/ROUND(M138,4))</f>
        <v>#DIV/0!</v>
      </c>
      <c r="R138" s="93" t="e">
        <f>IF(ISBLANK(M138),0,Q138*ROUND(N138,2))</f>
        <v>#DIV/0!</v>
      </c>
      <c r="S138" s="24" t="e">
        <f>ROUND(P138,2)*Q138</f>
        <v>#DIV/0!</v>
      </c>
      <c r="T138" s="93" t="e">
        <f>Q138*dagenperjaar1</f>
        <v>#DIV/0!</v>
      </c>
      <c r="U138" s="25" t="e">
        <f>T138*ROUND(P138,2)</f>
        <v>#DIV/0!</v>
      </c>
    </row>
    <row r="139" spans="1:21" x14ac:dyDescent="0.2">
      <c r="A139" s="90" t="s">
        <v>327</v>
      </c>
      <c r="B139" s="91" t="s">
        <v>40</v>
      </c>
      <c r="C139" s="91" t="s">
        <v>218</v>
      </c>
      <c r="D139" s="91" t="s">
        <v>350</v>
      </c>
      <c r="E139" s="92" t="s">
        <v>334</v>
      </c>
      <c r="F139" s="91" t="s">
        <v>303</v>
      </c>
      <c r="G139" s="91" t="s">
        <v>195</v>
      </c>
      <c r="H139" s="91" t="s">
        <v>10</v>
      </c>
      <c r="I139" s="91" t="s">
        <v>171</v>
      </c>
      <c r="J139" s="91"/>
      <c r="K139" s="93">
        <v>4.38</v>
      </c>
      <c r="L139" s="93">
        <f>K139*VLOOKUP(H139,dagsoorttabel1,2,FALSE)</f>
        <v>4.38</v>
      </c>
      <c r="M139" s="94">
        <f>prodnorm25</f>
        <v>0</v>
      </c>
      <c r="N139" s="37">
        <f>dagwerk25</f>
        <v>0</v>
      </c>
      <c r="O139" s="91" t="s">
        <v>98</v>
      </c>
      <c r="P139" s="24">
        <f>uurtarief25</f>
        <v>0</v>
      </c>
      <c r="Q139" s="93" t="e">
        <f>IF(ISBLANK(M139),0,L139/ROUND(M139,4))</f>
        <v>#DIV/0!</v>
      </c>
      <c r="R139" s="93" t="e">
        <f>IF(ISBLANK(M139),0,Q139*ROUND(N139,2))</f>
        <v>#DIV/0!</v>
      </c>
      <c r="S139" s="24" t="e">
        <f>ROUND(P139,2)*Q139</f>
        <v>#DIV/0!</v>
      </c>
      <c r="T139" s="93" t="e">
        <f>Q139*dagenperjaar1</f>
        <v>#DIV/0!</v>
      </c>
      <c r="U139" s="25" t="e">
        <f>T139*ROUND(P139,2)</f>
        <v>#DIV/0!</v>
      </c>
    </row>
    <row r="140" spans="1:21" x14ac:dyDescent="0.2">
      <c r="A140" s="90" t="s">
        <v>327</v>
      </c>
      <c r="B140" s="91" t="s">
        <v>40</v>
      </c>
      <c r="C140" s="91" t="s">
        <v>218</v>
      </c>
      <c r="D140" s="91" t="s">
        <v>351</v>
      </c>
      <c r="E140" s="92" t="s">
        <v>352</v>
      </c>
      <c r="F140" s="91" t="s">
        <v>227</v>
      </c>
      <c r="G140" s="91" t="s">
        <v>185</v>
      </c>
      <c r="H140" s="91" t="s">
        <v>10</v>
      </c>
      <c r="I140" s="91" t="s">
        <v>171</v>
      </c>
      <c r="J140" s="91"/>
      <c r="K140" s="93">
        <v>26.32</v>
      </c>
      <c r="L140" s="93">
        <f>K140*VLOOKUP(H140,dagsoorttabel1,2,FALSE)</f>
        <v>26.32</v>
      </c>
      <c r="M140" s="94">
        <f>prodnorm18</f>
        <v>0</v>
      </c>
      <c r="N140" s="37">
        <f>dagwerk18</f>
        <v>0</v>
      </c>
      <c r="O140" s="91" t="s">
        <v>98</v>
      </c>
      <c r="P140" s="24">
        <f>uurtarief18</f>
        <v>0</v>
      </c>
      <c r="Q140" s="93" t="e">
        <f>IF(ISBLANK(M140),0,L140/ROUND(M140,4))</f>
        <v>#DIV/0!</v>
      </c>
      <c r="R140" s="93" t="e">
        <f>IF(ISBLANK(M140),0,Q140*ROUND(N140,2))</f>
        <v>#DIV/0!</v>
      </c>
      <c r="S140" s="24" t="e">
        <f>ROUND(P140,2)*Q140</f>
        <v>#DIV/0!</v>
      </c>
      <c r="T140" s="93" t="e">
        <f>Q140*dagenperjaar1</f>
        <v>#DIV/0!</v>
      </c>
      <c r="U140" s="25" t="e">
        <f>T140*ROUND(P140,2)</f>
        <v>#DIV/0!</v>
      </c>
    </row>
    <row r="141" spans="1:21" x14ac:dyDescent="0.2">
      <c r="A141" s="90" t="s">
        <v>327</v>
      </c>
      <c r="B141" s="91" t="s">
        <v>40</v>
      </c>
      <c r="C141" s="91" t="s">
        <v>218</v>
      </c>
      <c r="D141" s="91" t="s">
        <v>353</v>
      </c>
      <c r="E141" s="92" t="s">
        <v>354</v>
      </c>
      <c r="F141" s="91" t="s">
        <v>303</v>
      </c>
      <c r="G141" s="91" t="s">
        <v>195</v>
      </c>
      <c r="H141" s="91" t="s">
        <v>10</v>
      </c>
      <c r="I141" s="91" t="s">
        <v>171</v>
      </c>
      <c r="J141" s="91"/>
      <c r="K141" s="93">
        <v>3.77</v>
      </c>
      <c r="L141" s="93">
        <f>K141*VLOOKUP(H141,dagsoorttabel1,2,FALSE)</f>
        <v>3.77</v>
      </c>
      <c r="M141" s="94">
        <f>prodnorm25</f>
        <v>0</v>
      </c>
      <c r="N141" s="37">
        <f>dagwerk25</f>
        <v>0</v>
      </c>
      <c r="O141" s="91" t="s">
        <v>98</v>
      </c>
      <c r="P141" s="24">
        <f>uurtarief25</f>
        <v>0</v>
      </c>
      <c r="Q141" s="93" t="e">
        <f>IF(ISBLANK(M141),0,L141/ROUND(M141,4))</f>
        <v>#DIV/0!</v>
      </c>
      <c r="R141" s="93" t="e">
        <f>IF(ISBLANK(M141),0,Q141*ROUND(N141,2))</f>
        <v>#DIV/0!</v>
      </c>
      <c r="S141" s="24" t="e">
        <f>ROUND(P141,2)*Q141</f>
        <v>#DIV/0!</v>
      </c>
      <c r="T141" s="93" t="e">
        <f>Q141*dagenperjaar1</f>
        <v>#DIV/0!</v>
      </c>
      <c r="U141" s="25" t="e">
        <f>T141*ROUND(P141,2)</f>
        <v>#DIV/0!</v>
      </c>
    </row>
    <row r="142" spans="1:21" x14ac:dyDescent="0.2">
      <c r="A142" s="90" t="s">
        <v>327</v>
      </c>
      <c r="B142" s="91" t="s">
        <v>40</v>
      </c>
      <c r="C142" s="91" t="s">
        <v>218</v>
      </c>
      <c r="D142" s="91" t="s">
        <v>355</v>
      </c>
      <c r="E142" s="92" t="s">
        <v>341</v>
      </c>
      <c r="F142" s="91" t="s">
        <v>303</v>
      </c>
      <c r="G142" s="91" t="s">
        <v>195</v>
      </c>
      <c r="H142" s="91" t="s">
        <v>10</v>
      </c>
      <c r="I142" s="91" t="s">
        <v>171</v>
      </c>
      <c r="J142" s="91"/>
      <c r="K142" s="93">
        <v>1.1500000000000001</v>
      </c>
      <c r="L142" s="93">
        <f>K142*VLOOKUP(H142,dagsoorttabel1,2,FALSE)</f>
        <v>1.1500000000000001</v>
      </c>
      <c r="M142" s="94">
        <f>prodnorm25</f>
        <v>0</v>
      </c>
      <c r="N142" s="37">
        <f>dagwerk25</f>
        <v>0</v>
      </c>
      <c r="O142" s="91" t="s">
        <v>98</v>
      </c>
      <c r="P142" s="24">
        <f>uurtarief25</f>
        <v>0</v>
      </c>
      <c r="Q142" s="93" t="e">
        <f>IF(ISBLANK(M142),0,L142/ROUND(M142,4))</f>
        <v>#DIV/0!</v>
      </c>
      <c r="R142" s="93" t="e">
        <f>IF(ISBLANK(M142),0,Q142*ROUND(N142,2))</f>
        <v>#DIV/0!</v>
      </c>
      <c r="S142" s="24" t="e">
        <f>ROUND(P142,2)*Q142</f>
        <v>#DIV/0!</v>
      </c>
      <c r="T142" s="93" t="e">
        <f>Q142*dagenperjaar1</f>
        <v>#DIV/0!</v>
      </c>
      <c r="U142" s="25" t="e">
        <f>T142*ROUND(P142,2)</f>
        <v>#DIV/0!</v>
      </c>
    </row>
    <row r="143" spans="1:21" x14ac:dyDescent="0.2">
      <c r="A143" s="90" t="s">
        <v>327</v>
      </c>
      <c r="B143" s="91" t="s">
        <v>40</v>
      </c>
      <c r="C143" s="91" t="s">
        <v>218</v>
      </c>
      <c r="D143" s="91" t="s">
        <v>356</v>
      </c>
      <c r="E143" s="92" t="s">
        <v>341</v>
      </c>
      <c r="F143" s="91" t="s">
        <v>303</v>
      </c>
      <c r="G143" s="91" t="s">
        <v>195</v>
      </c>
      <c r="H143" s="91" t="s">
        <v>10</v>
      </c>
      <c r="I143" s="91" t="s">
        <v>171</v>
      </c>
      <c r="J143" s="91"/>
      <c r="K143" s="93">
        <v>1.1500000000000001</v>
      </c>
      <c r="L143" s="93">
        <f>K143*VLOOKUP(H143,dagsoorttabel1,2,FALSE)</f>
        <v>1.1500000000000001</v>
      </c>
      <c r="M143" s="94">
        <f>prodnorm25</f>
        <v>0</v>
      </c>
      <c r="N143" s="37">
        <f>dagwerk25</f>
        <v>0</v>
      </c>
      <c r="O143" s="91" t="s">
        <v>98</v>
      </c>
      <c r="P143" s="24">
        <f>uurtarief25</f>
        <v>0</v>
      </c>
      <c r="Q143" s="93" t="e">
        <f>IF(ISBLANK(M143),0,L143/ROUND(M143,4))</f>
        <v>#DIV/0!</v>
      </c>
      <c r="R143" s="93" t="e">
        <f>IF(ISBLANK(M143),0,Q143*ROUND(N143,2))</f>
        <v>#DIV/0!</v>
      </c>
      <c r="S143" s="24" t="e">
        <f>ROUND(P143,2)*Q143</f>
        <v>#DIV/0!</v>
      </c>
      <c r="T143" s="93" t="e">
        <f>Q143*dagenperjaar1</f>
        <v>#DIV/0!</v>
      </c>
      <c r="U143" s="25" t="e">
        <f>T143*ROUND(P143,2)</f>
        <v>#DIV/0!</v>
      </c>
    </row>
    <row r="144" spans="1:21" x14ac:dyDescent="0.2">
      <c r="A144" s="90" t="s">
        <v>327</v>
      </c>
      <c r="B144" s="91" t="s">
        <v>40</v>
      </c>
      <c r="C144" s="91" t="s">
        <v>218</v>
      </c>
      <c r="D144" s="91" t="s">
        <v>357</v>
      </c>
      <c r="E144" s="92" t="s">
        <v>358</v>
      </c>
      <c r="F144" s="91" t="s">
        <v>303</v>
      </c>
      <c r="G144" s="91" t="s">
        <v>187</v>
      </c>
      <c r="H144" s="91" t="s">
        <v>10</v>
      </c>
      <c r="I144" s="91" t="s">
        <v>171</v>
      </c>
      <c r="J144" s="91"/>
      <c r="K144" s="93">
        <v>34.220000000000006</v>
      </c>
      <c r="L144" s="93">
        <f>K144*VLOOKUP(H144,dagsoorttabel1,2,FALSE)</f>
        <v>34.220000000000006</v>
      </c>
      <c r="M144" s="94">
        <f>prodnorm20</f>
        <v>0</v>
      </c>
      <c r="N144" s="37">
        <f>dagwerk20</f>
        <v>0</v>
      </c>
      <c r="O144" s="91" t="s">
        <v>98</v>
      </c>
      <c r="P144" s="24">
        <f>uurtarief20</f>
        <v>0</v>
      </c>
      <c r="Q144" s="93" t="e">
        <f>IF(ISBLANK(M144),0,L144/ROUND(M144,4))</f>
        <v>#DIV/0!</v>
      </c>
      <c r="R144" s="93" t="e">
        <f>IF(ISBLANK(M144),0,Q144*ROUND(N144,2))</f>
        <v>#DIV/0!</v>
      </c>
      <c r="S144" s="24" t="e">
        <f>ROUND(P144,2)*Q144</f>
        <v>#DIV/0!</v>
      </c>
      <c r="T144" s="93" t="e">
        <f>Q144*dagenperjaar1</f>
        <v>#DIV/0!</v>
      </c>
      <c r="U144" s="25" t="e">
        <f>T144*ROUND(P144,2)</f>
        <v>#DIV/0!</v>
      </c>
    </row>
    <row r="145" spans="1:21" x14ac:dyDescent="0.2">
      <c r="A145" s="90" t="s">
        <v>327</v>
      </c>
      <c r="B145" s="91" t="s">
        <v>40</v>
      </c>
      <c r="C145" s="91" t="s">
        <v>218</v>
      </c>
      <c r="D145" s="91" t="s">
        <v>359</v>
      </c>
      <c r="E145" s="92" t="s">
        <v>360</v>
      </c>
      <c r="F145" s="91" t="s">
        <v>303</v>
      </c>
      <c r="G145" s="91" t="s">
        <v>175</v>
      </c>
      <c r="H145" s="91" t="s">
        <v>10</v>
      </c>
      <c r="I145" s="91" t="s">
        <v>171</v>
      </c>
      <c r="J145" s="91"/>
      <c r="K145" s="93">
        <v>7.8599999999999994</v>
      </c>
      <c r="L145" s="93">
        <f>K145*VLOOKUP(H145,dagsoorttabel1,2,FALSE)</f>
        <v>7.8599999999999994</v>
      </c>
      <c r="M145" s="94">
        <f>prodnorm7</f>
        <v>0</v>
      </c>
      <c r="N145" s="37">
        <f>dagwerk7</f>
        <v>0</v>
      </c>
      <c r="O145" s="91" t="s">
        <v>98</v>
      </c>
      <c r="P145" s="24">
        <f>uurtarief7</f>
        <v>0</v>
      </c>
      <c r="Q145" s="93" t="e">
        <f>IF(ISBLANK(M145),0,L145/ROUND(M145,4))</f>
        <v>#DIV/0!</v>
      </c>
      <c r="R145" s="93" t="e">
        <f>IF(ISBLANK(M145),0,Q145*ROUND(N145,2))</f>
        <v>#DIV/0!</v>
      </c>
      <c r="S145" s="24" t="e">
        <f>ROUND(P145,2)*Q145</f>
        <v>#DIV/0!</v>
      </c>
      <c r="T145" s="93" t="e">
        <f>Q145*dagenperjaar1</f>
        <v>#DIV/0!</v>
      </c>
      <c r="U145" s="25" t="e">
        <f>T145*ROUND(P145,2)</f>
        <v>#DIV/0!</v>
      </c>
    </row>
    <row r="146" spans="1:21" x14ac:dyDescent="0.2">
      <c r="A146" s="90" t="s">
        <v>327</v>
      </c>
      <c r="B146" s="91" t="s">
        <v>40</v>
      </c>
      <c r="C146" s="91" t="s">
        <v>218</v>
      </c>
      <c r="D146" s="91" t="s">
        <v>361</v>
      </c>
      <c r="E146" s="92" t="s">
        <v>362</v>
      </c>
      <c r="F146" s="91" t="s">
        <v>303</v>
      </c>
      <c r="G146" s="91" t="s">
        <v>187</v>
      </c>
      <c r="H146" s="91" t="s">
        <v>10</v>
      </c>
      <c r="I146" s="91" t="s">
        <v>171</v>
      </c>
      <c r="J146" s="91"/>
      <c r="K146" s="93">
        <v>8</v>
      </c>
      <c r="L146" s="93">
        <f>K146*VLOOKUP(H146,dagsoorttabel1,2,FALSE)</f>
        <v>8</v>
      </c>
      <c r="M146" s="94">
        <f>prodnorm20</f>
        <v>0</v>
      </c>
      <c r="N146" s="37">
        <f>dagwerk20</f>
        <v>0</v>
      </c>
      <c r="O146" s="91" t="s">
        <v>98</v>
      </c>
      <c r="P146" s="24">
        <f>uurtarief20</f>
        <v>0</v>
      </c>
      <c r="Q146" s="93" t="e">
        <f>IF(ISBLANK(M146),0,L146/ROUND(M146,4))</f>
        <v>#DIV/0!</v>
      </c>
      <c r="R146" s="93" t="e">
        <f>IF(ISBLANK(M146),0,Q146*ROUND(N146,2))</f>
        <v>#DIV/0!</v>
      </c>
      <c r="S146" s="24" t="e">
        <f>ROUND(P146,2)*Q146</f>
        <v>#DIV/0!</v>
      </c>
      <c r="T146" s="93" t="e">
        <f>Q146*dagenperjaar1</f>
        <v>#DIV/0!</v>
      </c>
      <c r="U146" s="25" t="e">
        <f>T146*ROUND(P146,2)</f>
        <v>#DIV/0!</v>
      </c>
    </row>
    <row r="147" spans="1:21" x14ac:dyDescent="0.2">
      <c r="A147" s="90" t="s">
        <v>327</v>
      </c>
      <c r="B147" s="91" t="s">
        <v>40</v>
      </c>
      <c r="C147" s="91" t="s">
        <v>218</v>
      </c>
      <c r="D147" s="91" t="s">
        <v>363</v>
      </c>
      <c r="E147" s="92" t="s">
        <v>358</v>
      </c>
      <c r="F147" s="91" t="s">
        <v>303</v>
      </c>
      <c r="G147" s="91" t="s">
        <v>187</v>
      </c>
      <c r="H147" s="91" t="s">
        <v>10</v>
      </c>
      <c r="I147" s="91" t="s">
        <v>171</v>
      </c>
      <c r="J147" s="91"/>
      <c r="K147" s="93">
        <v>34.949999999999996</v>
      </c>
      <c r="L147" s="93">
        <f>K147*VLOOKUP(H147,dagsoorttabel1,2,FALSE)</f>
        <v>34.949999999999996</v>
      </c>
      <c r="M147" s="94">
        <f>prodnorm20</f>
        <v>0</v>
      </c>
      <c r="N147" s="37">
        <f>dagwerk20</f>
        <v>0</v>
      </c>
      <c r="O147" s="91" t="s">
        <v>98</v>
      </c>
      <c r="P147" s="24">
        <f>uurtarief20</f>
        <v>0</v>
      </c>
      <c r="Q147" s="93" t="e">
        <f>IF(ISBLANK(M147),0,L147/ROUND(M147,4))</f>
        <v>#DIV/0!</v>
      </c>
      <c r="R147" s="93" t="e">
        <f>IF(ISBLANK(M147),0,Q147*ROUND(N147,2))</f>
        <v>#DIV/0!</v>
      </c>
      <c r="S147" s="24" t="e">
        <f>ROUND(P147,2)*Q147</f>
        <v>#DIV/0!</v>
      </c>
      <c r="T147" s="93" t="e">
        <f>Q147*dagenperjaar1</f>
        <v>#DIV/0!</v>
      </c>
      <c r="U147" s="25" t="e">
        <f>T147*ROUND(P147,2)</f>
        <v>#DIV/0!</v>
      </c>
    </row>
    <row r="148" spans="1:21" x14ac:dyDescent="0.2">
      <c r="A148" s="90" t="s">
        <v>327</v>
      </c>
      <c r="B148" s="91" t="s">
        <v>40</v>
      </c>
      <c r="C148" s="91" t="s">
        <v>218</v>
      </c>
      <c r="D148" s="91" t="s">
        <v>364</v>
      </c>
      <c r="E148" s="92" t="s">
        <v>360</v>
      </c>
      <c r="F148" s="91" t="s">
        <v>303</v>
      </c>
      <c r="G148" s="91" t="s">
        <v>175</v>
      </c>
      <c r="H148" s="91" t="s">
        <v>10</v>
      </c>
      <c r="I148" s="91" t="s">
        <v>171</v>
      </c>
      <c r="J148" s="91"/>
      <c r="K148" s="93">
        <v>7.8599999999999994</v>
      </c>
      <c r="L148" s="93">
        <f>K148*VLOOKUP(H148,dagsoorttabel1,2,FALSE)</f>
        <v>7.8599999999999994</v>
      </c>
      <c r="M148" s="94">
        <f>prodnorm7</f>
        <v>0</v>
      </c>
      <c r="N148" s="37">
        <f>dagwerk7</f>
        <v>0</v>
      </c>
      <c r="O148" s="91" t="s">
        <v>98</v>
      </c>
      <c r="P148" s="24">
        <f>uurtarief7</f>
        <v>0</v>
      </c>
      <c r="Q148" s="93" t="e">
        <f>IF(ISBLANK(M148),0,L148/ROUND(M148,4))</f>
        <v>#DIV/0!</v>
      </c>
      <c r="R148" s="93" t="e">
        <f>IF(ISBLANK(M148),0,Q148*ROUND(N148,2))</f>
        <v>#DIV/0!</v>
      </c>
      <c r="S148" s="24" t="e">
        <f>ROUND(P148,2)*Q148</f>
        <v>#DIV/0!</v>
      </c>
      <c r="T148" s="93" t="e">
        <f>Q148*dagenperjaar1</f>
        <v>#DIV/0!</v>
      </c>
      <c r="U148" s="25" t="e">
        <f>T148*ROUND(P148,2)</f>
        <v>#DIV/0!</v>
      </c>
    </row>
    <row r="149" spans="1:21" x14ac:dyDescent="0.2">
      <c r="A149" s="90" t="s">
        <v>327</v>
      </c>
      <c r="B149" s="91" t="s">
        <v>40</v>
      </c>
      <c r="C149" s="91" t="s">
        <v>218</v>
      </c>
      <c r="D149" s="91" t="s">
        <v>365</v>
      </c>
      <c r="E149" s="92" t="s">
        <v>366</v>
      </c>
      <c r="F149" s="91" t="s">
        <v>227</v>
      </c>
      <c r="G149" s="91" t="s">
        <v>193</v>
      </c>
      <c r="H149" s="91" t="s">
        <v>10</v>
      </c>
      <c r="I149" s="91" t="s">
        <v>171</v>
      </c>
      <c r="J149" s="91"/>
      <c r="K149" s="93">
        <v>15.08</v>
      </c>
      <c r="L149" s="93">
        <f>K149*VLOOKUP(H149,dagsoorttabel1,2,FALSE)</f>
        <v>15.08</v>
      </c>
      <c r="M149" s="94">
        <f>prodnorm23</f>
        <v>0</v>
      </c>
      <c r="N149" s="37">
        <f>dagwerk23</f>
        <v>0</v>
      </c>
      <c r="O149" s="91" t="s">
        <v>98</v>
      </c>
      <c r="P149" s="24">
        <f>uurtarief23</f>
        <v>0</v>
      </c>
      <c r="Q149" s="93" t="e">
        <f>IF(ISBLANK(M149),0,L149/ROUND(M149,4))</f>
        <v>#DIV/0!</v>
      </c>
      <c r="R149" s="93" t="e">
        <f>IF(ISBLANK(M149),0,Q149*ROUND(N149,2))</f>
        <v>#DIV/0!</v>
      </c>
      <c r="S149" s="24" t="e">
        <f>ROUND(P149,2)*Q149</f>
        <v>#DIV/0!</v>
      </c>
      <c r="T149" s="93" t="e">
        <f>Q149*dagenperjaar1</f>
        <v>#DIV/0!</v>
      </c>
      <c r="U149" s="25" t="e">
        <f>T149*ROUND(P149,2)</f>
        <v>#DIV/0!</v>
      </c>
    </row>
    <row r="150" spans="1:21" x14ac:dyDescent="0.2">
      <c r="A150" s="90" t="s">
        <v>327</v>
      </c>
      <c r="B150" s="91" t="s">
        <v>40</v>
      </c>
      <c r="C150" s="91" t="s">
        <v>218</v>
      </c>
      <c r="D150" s="91" t="s">
        <v>367</v>
      </c>
      <c r="E150" s="92" t="s">
        <v>354</v>
      </c>
      <c r="F150" s="91" t="s">
        <v>303</v>
      </c>
      <c r="G150" s="91" t="s">
        <v>195</v>
      </c>
      <c r="H150" s="91" t="s">
        <v>10</v>
      </c>
      <c r="I150" s="91" t="s">
        <v>171</v>
      </c>
      <c r="J150" s="91"/>
      <c r="K150" s="93">
        <v>3.8499999999999996</v>
      </c>
      <c r="L150" s="93">
        <f>K150*VLOOKUP(H150,dagsoorttabel1,2,FALSE)</f>
        <v>3.8499999999999996</v>
      </c>
      <c r="M150" s="94">
        <f>prodnorm25</f>
        <v>0</v>
      </c>
      <c r="N150" s="37">
        <f>dagwerk25</f>
        <v>0</v>
      </c>
      <c r="O150" s="91" t="s">
        <v>98</v>
      </c>
      <c r="P150" s="24">
        <f>uurtarief25</f>
        <v>0</v>
      </c>
      <c r="Q150" s="93" t="e">
        <f>IF(ISBLANK(M150),0,L150/ROUND(M150,4))</f>
        <v>#DIV/0!</v>
      </c>
      <c r="R150" s="93" t="e">
        <f>IF(ISBLANK(M150),0,Q150*ROUND(N150,2))</f>
        <v>#DIV/0!</v>
      </c>
      <c r="S150" s="24" t="e">
        <f>ROUND(P150,2)*Q150</f>
        <v>#DIV/0!</v>
      </c>
      <c r="T150" s="93" t="e">
        <f>Q150*dagenperjaar1</f>
        <v>#DIV/0!</v>
      </c>
      <c r="U150" s="25" t="e">
        <f>T150*ROUND(P150,2)</f>
        <v>#DIV/0!</v>
      </c>
    </row>
    <row r="151" spans="1:21" x14ac:dyDescent="0.2">
      <c r="A151" s="90" t="s">
        <v>327</v>
      </c>
      <c r="B151" s="91" t="s">
        <v>40</v>
      </c>
      <c r="C151" s="91" t="s">
        <v>218</v>
      </c>
      <c r="D151" s="91" t="s">
        <v>368</v>
      </c>
      <c r="E151" s="92" t="s">
        <v>341</v>
      </c>
      <c r="F151" s="91" t="s">
        <v>303</v>
      </c>
      <c r="G151" s="91" t="s">
        <v>195</v>
      </c>
      <c r="H151" s="91" t="s">
        <v>10</v>
      </c>
      <c r="I151" s="91" t="s">
        <v>171</v>
      </c>
      <c r="J151" s="91"/>
      <c r="K151" s="93">
        <v>1.1500000000000001</v>
      </c>
      <c r="L151" s="93">
        <f>K151*VLOOKUP(H151,dagsoorttabel1,2,FALSE)</f>
        <v>1.1500000000000001</v>
      </c>
      <c r="M151" s="94">
        <f>prodnorm25</f>
        <v>0</v>
      </c>
      <c r="N151" s="37">
        <f>dagwerk25</f>
        <v>0</v>
      </c>
      <c r="O151" s="91" t="s">
        <v>98</v>
      </c>
      <c r="P151" s="24">
        <f>uurtarief25</f>
        <v>0</v>
      </c>
      <c r="Q151" s="93" t="e">
        <f>IF(ISBLANK(M151),0,L151/ROUND(M151,4))</f>
        <v>#DIV/0!</v>
      </c>
      <c r="R151" s="93" t="e">
        <f>IF(ISBLANK(M151),0,Q151*ROUND(N151,2))</f>
        <v>#DIV/0!</v>
      </c>
      <c r="S151" s="24" t="e">
        <f>ROUND(P151,2)*Q151</f>
        <v>#DIV/0!</v>
      </c>
      <c r="T151" s="93" t="e">
        <f>Q151*dagenperjaar1</f>
        <v>#DIV/0!</v>
      </c>
      <c r="U151" s="25" t="e">
        <f>T151*ROUND(P151,2)</f>
        <v>#DIV/0!</v>
      </c>
    </row>
    <row r="152" spans="1:21" x14ac:dyDescent="0.2">
      <c r="A152" s="90" t="s">
        <v>327</v>
      </c>
      <c r="B152" s="91" t="s">
        <v>40</v>
      </c>
      <c r="C152" s="91" t="s">
        <v>218</v>
      </c>
      <c r="D152" s="91" t="s">
        <v>369</v>
      </c>
      <c r="E152" s="92" t="s">
        <v>341</v>
      </c>
      <c r="F152" s="91" t="s">
        <v>303</v>
      </c>
      <c r="G152" s="91" t="s">
        <v>195</v>
      </c>
      <c r="H152" s="91" t="s">
        <v>10</v>
      </c>
      <c r="I152" s="91" t="s">
        <v>171</v>
      </c>
      <c r="J152" s="91"/>
      <c r="K152" s="93">
        <v>1.1500000000000001</v>
      </c>
      <c r="L152" s="93">
        <f>K152*VLOOKUP(H152,dagsoorttabel1,2,FALSE)</f>
        <v>1.1500000000000001</v>
      </c>
      <c r="M152" s="94">
        <f>prodnorm25</f>
        <v>0</v>
      </c>
      <c r="N152" s="37">
        <f>dagwerk25</f>
        <v>0</v>
      </c>
      <c r="O152" s="91" t="s">
        <v>98</v>
      </c>
      <c r="P152" s="24">
        <f>uurtarief25</f>
        <v>0</v>
      </c>
      <c r="Q152" s="93" t="e">
        <f>IF(ISBLANK(M152),0,L152/ROUND(M152,4))</f>
        <v>#DIV/0!</v>
      </c>
      <c r="R152" s="93" t="e">
        <f>IF(ISBLANK(M152),0,Q152*ROUND(N152,2))</f>
        <v>#DIV/0!</v>
      </c>
      <c r="S152" s="24" t="e">
        <f>ROUND(P152,2)*Q152</f>
        <v>#DIV/0!</v>
      </c>
      <c r="T152" s="93" t="e">
        <f>Q152*dagenperjaar1</f>
        <v>#DIV/0!</v>
      </c>
      <c r="U152" s="25" t="e">
        <f>T152*ROUND(P152,2)</f>
        <v>#DIV/0!</v>
      </c>
    </row>
    <row r="153" spans="1:21" x14ac:dyDescent="0.2">
      <c r="A153" s="90" t="s">
        <v>327</v>
      </c>
      <c r="B153" s="91" t="s">
        <v>40</v>
      </c>
      <c r="C153" s="91" t="s">
        <v>218</v>
      </c>
      <c r="D153" s="91" t="s">
        <v>370</v>
      </c>
      <c r="E153" s="92" t="s">
        <v>352</v>
      </c>
      <c r="F153" s="91" t="s">
        <v>227</v>
      </c>
      <c r="G153" s="91" t="s">
        <v>185</v>
      </c>
      <c r="H153" s="91" t="s">
        <v>10</v>
      </c>
      <c r="I153" s="91" t="s">
        <v>171</v>
      </c>
      <c r="J153" s="91"/>
      <c r="K153" s="93">
        <v>27.04</v>
      </c>
      <c r="L153" s="93">
        <f>K153*VLOOKUP(H153,dagsoorttabel1,2,FALSE)</f>
        <v>27.04</v>
      </c>
      <c r="M153" s="94">
        <f>prodnorm18</f>
        <v>0</v>
      </c>
      <c r="N153" s="37">
        <f>dagwerk18</f>
        <v>0</v>
      </c>
      <c r="O153" s="91" t="s">
        <v>98</v>
      </c>
      <c r="P153" s="24">
        <f>uurtarief18</f>
        <v>0</v>
      </c>
      <c r="Q153" s="93" t="e">
        <f>IF(ISBLANK(M153),0,L153/ROUND(M153,4))</f>
        <v>#DIV/0!</v>
      </c>
      <c r="R153" s="93" t="e">
        <f>IF(ISBLANK(M153),0,Q153*ROUND(N153,2))</f>
        <v>#DIV/0!</v>
      </c>
      <c r="S153" s="24" t="e">
        <f>ROUND(P153,2)*Q153</f>
        <v>#DIV/0!</v>
      </c>
      <c r="T153" s="93" t="e">
        <f>Q153*dagenperjaar1</f>
        <v>#DIV/0!</v>
      </c>
      <c r="U153" s="25" t="e">
        <f>T153*ROUND(P153,2)</f>
        <v>#DIV/0!</v>
      </c>
    </row>
    <row r="154" spans="1:21" x14ac:dyDescent="0.2">
      <c r="A154" s="90" t="s">
        <v>327</v>
      </c>
      <c r="B154" s="91" t="s">
        <v>40</v>
      </c>
      <c r="C154" s="91" t="s">
        <v>218</v>
      </c>
      <c r="D154" s="91" t="s">
        <v>371</v>
      </c>
      <c r="E154" s="92" t="s">
        <v>372</v>
      </c>
      <c r="F154" s="91" t="s">
        <v>227</v>
      </c>
      <c r="G154" s="91" t="s">
        <v>185</v>
      </c>
      <c r="H154" s="91" t="s">
        <v>10</v>
      </c>
      <c r="I154" s="91" t="s">
        <v>171</v>
      </c>
      <c r="J154" s="91"/>
      <c r="K154" s="93">
        <v>12.16</v>
      </c>
      <c r="L154" s="93">
        <f>K154*VLOOKUP(H154,dagsoorttabel1,2,FALSE)</f>
        <v>12.16</v>
      </c>
      <c r="M154" s="94">
        <f>prodnorm18</f>
        <v>0</v>
      </c>
      <c r="N154" s="37">
        <f>dagwerk18</f>
        <v>0</v>
      </c>
      <c r="O154" s="91" t="s">
        <v>98</v>
      </c>
      <c r="P154" s="24">
        <f>uurtarief18</f>
        <v>0</v>
      </c>
      <c r="Q154" s="93" t="e">
        <f>IF(ISBLANK(M154),0,L154/ROUND(M154,4))</f>
        <v>#DIV/0!</v>
      </c>
      <c r="R154" s="93" t="e">
        <f>IF(ISBLANK(M154),0,Q154*ROUND(N154,2))</f>
        <v>#DIV/0!</v>
      </c>
      <c r="S154" s="24" t="e">
        <f>ROUND(P154,2)*Q154</f>
        <v>#DIV/0!</v>
      </c>
      <c r="T154" s="93" t="e">
        <f>Q154*dagenperjaar1</f>
        <v>#DIV/0!</v>
      </c>
      <c r="U154" s="25" t="e">
        <f>T154*ROUND(P154,2)</f>
        <v>#DIV/0!</v>
      </c>
    </row>
    <row r="155" spans="1:21" x14ac:dyDescent="0.2">
      <c r="A155" s="90" t="s">
        <v>327</v>
      </c>
      <c r="B155" s="91" t="s">
        <v>40</v>
      </c>
      <c r="C155" s="91" t="s">
        <v>218</v>
      </c>
      <c r="D155" s="91" t="s">
        <v>373</v>
      </c>
      <c r="E155" s="92" t="s">
        <v>372</v>
      </c>
      <c r="F155" s="91" t="s">
        <v>227</v>
      </c>
      <c r="G155" s="91" t="s">
        <v>185</v>
      </c>
      <c r="H155" s="91" t="s">
        <v>10</v>
      </c>
      <c r="I155" s="91" t="s">
        <v>171</v>
      </c>
      <c r="J155" s="91"/>
      <c r="K155" s="93">
        <v>12.16</v>
      </c>
      <c r="L155" s="93">
        <f>K155*VLOOKUP(H155,dagsoorttabel1,2,FALSE)</f>
        <v>12.16</v>
      </c>
      <c r="M155" s="94">
        <f>prodnorm18</f>
        <v>0</v>
      </c>
      <c r="N155" s="37">
        <f>dagwerk18</f>
        <v>0</v>
      </c>
      <c r="O155" s="91" t="s">
        <v>98</v>
      </c>
      <c r="P155" s="24">
        <f>uurtarief18</f>
        <v>0</v>
      </c>
      <c r="Q155" s="93" t="e">
        <f>IF(ISBLANK(M155),0,L155/ROUND(M155,4))</f>
        <v>#DIV/0!</v>
      </c>
      <c r="R155" s="93" t="e">
        <f>IF(ISBLANK(M155),0,Q155*ROUND(N155,2))</f>
        <v>#DIV/0!</v>
      </c>
      <c r="S155" s="24" t="e">
        <f>ROUND(P155,2)*Q155</f>
        <v>#DIV/0!</v>
      </c>
      <c r="T155" s="93" t="e">
        <f>Q155*dagenperjaar1</f>
        <v>#DIV/0!</v>
      </c>
      <c r="U155" s="25" t="e">
        <f>T155*ROUND(P155,2)</f>
        <v>#DIV/0!</v>
      </c>
    </row>
    <row r="156" spans="1:21" x14ac:dyDescent="0.2">
      <c r="A156" s="90" t="s">
        <v>327</v>
      </c>
      <c r="B156" s="91" t="s">
        <v>40</v>
      </c>
      <c r="C156" s="91" t="s">
        <v>218</v>
      </c>
      <c r="D156" s="91" t="s">
        <v>374</v>
      </c>
      <c r="E156" s="92" t="s">
        <v>372</v>
      </c>
      <c r="F156" s="91" t="s">
        <v>227</v>
      </c>
      <c r="G156" s="91" t="s">
        <v>185</v>
      </c>
      <c r="H156" s="91" t="s">
        <v>10</v>
      </c>
      <c r="I156" s="91" t="s">
        <v>171</v>
      </c>
      <c r="J156" s="91"/>
      <c r="K156" s="93">
        <v>17.34</v>
      </c>
      <c r="L156" s="93">
        <f>K156*VLOOKUP(H156,dagsoorttabel1,2,FALSE)</f>
        <v>17.34</v>
      </c>
      <c r="M156" s="94">
        <f>prodnorm18</f>
        <v>0</v>
      </c>
      <c r="N156" s="37">
        <f>dagwerk18</f>
        <v>0</v>
      </c>
      <c r="O156" s="91" t="s">
        <v>98</v>
      </c>
      <c r="P156" s="24">
        <f>uurtarief18</f>
        <v>0</v>
      </c>
      <c r="Q156" s="93" t="e">
        <f>IF(ISBLANK(M156),0,L156/ROUND(M156,4))</f>
        <v>#DIV/0!</v>
      </c>
      <c r="R156" s="93" t="e">
        <f>IF(ISBLANK(M156),0,Q156*ROUND(N156,2))</f>
        <v>#DIV/0!</v>
      </c>
      <c r="S156" s="24" t="e">
        <f>ROUND(P156,2)*Q156</f>
        <v>#DIV/0!</v>
      </c>
      <c r="T156" s="93" t="e">
        <f>Q156*dagenperjaar1</f>
        <v>#DIV/0!</v>
      </c>
      <c r="U156" s="25" t="e">
        <f>T156*ROUND(P156,2)</f>
        <v>#DIV/0!</v>
      </c>
    </row>
    <row r="157" spans="1:21" x14ac:dyDescent="0.2">
      <c r="A157" s="90" t="s">
        <v>327</v>
      </c>
      <c r="B157" s="91" t="s">
        <v>40</v>
      </c>
      <c r="C157" s="91" t="s">
        <v>218</v>
      </c>
      <c r="D157" s="91" t="s">
        <v>375</v>
      </c>
      <c r="E157" s="92" t="s">
        <v>372</v>
      </c>
      <c r="F157" s="91" t="s">
        <v>227</v>
      </c>
      <c r="G157" s="91" t="s">
        <v>185</v>
      </c>
      <c r="H157" s="91" t="s">
        <v>10</v>
      </c>
      <c r="I157" s="91" t="s">
        <v>171</v>
      </c>
      <c r="J157" s="91"/>
      <c r="K157" s="93">
        <v>17.34</v>
      </c>
      <c r="L157" s="93">
        <f>K157*VLOOKUP(H157,dagsoorttabel1,2,FALSE)</f>
        <v>17.34</v>
      </c>
      <c r="M157" s="94">
        <f>prodnorm18</f>
        <v>0</v>
      </c>
      <c r="N157" s="37">
        <f>dagwerk18</f>
        <v>0</v>
      </c>
      <c r="O157" s="91" t="s">
        <v>98</v>
      </c>
      <c r="P157" s="24">
        <f>uurtarief18</f>
        <v>0</v>
      </c>
      <c r="Q157" s="93" t="e">
        <f>IF(ISBLANK(M157),0,L157/ROUND(M157,4))</f>
        <v>#DIV/0!</v>
      </c>
      <c r="R157" s="93" t="e">
        <f>IF(ISBLANK(M157),0,Q157*ROUND(N157,2))</f>
        <v>#DIV/0!</v>
      </c>
      <c r="S157" s="24" t="e">
        <f>ROUND(P157,2)*Q157</f>
        <v>#DIV/0!</v>
      </c>
      <c r="T157" s="93" t="e">
        <f>Q157*dagenperjaar1</f>
        <v>#DIV/0!</v>
      </c>
      <c r="U157" s="25" t="e">
        <f>T157*ROUND(P157,2)</f>
        <v>#DIV/0!</v>
      </c>
    </row>
    <row r="158" spans="1:21" x14ac:dyDescent="0.2">
      <c r="A158" s="90" t="s">
        <v>327</v>
      </c>
      <c r="B158" s="91" t="s">
        <v>40</v>
      </c>
      <c r="C158" s="91" t="s">
        <v>218</v>
      </c>
      <c r="D158" s="91" t="s">
        <v>376</v>
      </c>
      <c r="E158" s="92" t="s">
        <v>372</v>
      </c>
      <c r="F158" s="91" t="s">
        <v>227</v>
      </c>
      <c r="G158" s="91" t="s">
        <v>185</v>
      </c>
      <c r="H158" s="91" t="s">
        <v>10</v>
      </c>
      <c r="I158" s="91" t="s">
        <v>171</v>
      </c>
      <c r="J158" s="91"/>
      <c r="K158" s="93">
        <v>17.34</v>
      </c>
      <c r="L158" s="93">
        <f>K158*VLOOKUP(H158,dagsoorttabel1,2,FALSE)</f>
        <v>17.34</v>
      </c>
      <c r="M158" s="94">
        <f>prodnorm18</f>
        <v>0</v>
      </c>
      <c r="N158" s="37">
        <f>dagwerk18</f>
        <v>0</v>
      </c>
      <c r="O158" s="91" t="s">
        <v>98</v>
      </c>
      <c r="P158" s="24">
        <f>uurtarief18</f>
        <v>0</v>
      </c>
      <c r="Q158" s="93" t="e">
        <f>IF(ISBLANK(M158),0,L158/ROUND(M158,4))</f>
        <v>#DIV/0!</v>
      </c>
      <c r="R158" s="93" t="e">
        <f>IF(ISBLANK(M158),0,Q158*ROUND(N158,2))</f>
        <v>#DIV/0!</v>
      </c>
      <c r="S158" s="24" t="e">
        <f>ROUND(P158,2)*Q158</f>
        <v>#DIV/0!</v>
      </c>
      <c r="T158" s="93" t="e">
        <f>Q158*dagenperjaar1</f>
        <v>#DIV/0!</v>
      </c>
      <c r="U158" s="25" t="e">
        <f>T158*ROUND(P158,2)</f>
        <v>#DIV/0!</v>
      </c>
    </row>
    <row r="159" spans="1:21" x14ac:dyDescent="0.2">
      <c r="A159" s="90" t="s">
        <v>327</v>
      </c>
      <c r="B159" s="91" t="s">
        <v>40</v>
      </c>
      <c r="C159" s="91" t="s">
        <v>218</v>
      </c>
      <c r="D159" s="91" t="s">
        <v>377</v>
      </c>
      <c r="E159" s="92" t="s">
        <v>372</v>
      </c>
      <c r="F159" s="91" t="s">
        <v>227</v>
      </c>
      <c r="G159" s="91" t="s">
        <v>185</v>
      </c>
      <c r="H159" s="91" t="s">
        <v>10</v>
      </c>
      <c r="I159" s="91" t="s">
        <v>171</v>
      </c>
      <c r="J159" s="91"/>
      <c r="K159" s="93">
        <v>17.34</v>
      </c>
      <c r="L159" s="93">
        <f>K159*VLOOKUP(H159,dagsoorttabel1,2,FALSE)</f>
        <v>17.34</v>
      </c>
      <c r="M159" s="94">
        <f>prodnorm18</f>
        <v>0</v>
      </c>
      <c r="N159" s="37">
        <f>dagwerk18</f>
        <v>0</v>
      </c>
      <c r="O159" s="91" t="s">
        <v>98</v>
      </c>
      <c r="P159" s="24">
        <f>uurtarief18</f>
        <v>0</v>
      </c>
      <c r="Q159" s="93" t="e">
        <f>IF(ISBLANK(M159),0,L159/ROUND(M159,4))</f>
        <v>#DIV/0!</v>
      </c>
      <c r="R159" s="93" t="e">
        <f>IF(ISBLANK(M159),0,Q159*ROUND(N159,2))</f>
        <v>#DIV/0!</v>
      </c>
      <c r="S159" s="24" t="e">
        <f>ROUND(P159,2)*Q159</f>
        <v>#DIV/0!</v>
      </c>
      <c r="T159" s="93" t="e">
        <f>Q159*dagenperjaar1</f>
        <v>#DIV/0!</v>
      </c>
      <c r="U159" s="25" t="e">
        <f>T159*ROUND(P159,2)</f>
        <v>#DIV/0!</v>
      </c>
    </row>
    <row r="160" spans="1:21" x14ac:dyDescent="0.2">
      <c r="A160" s="90" t="s">
        <v>327</v>
      </c>
      <c r="B160" s="91" t="s">
        <v>40</v>
      </c>
      <c r="C160" s="91" t="s">
        <v>218</v>
      </c>
      <c r="D160" s="91" t="s">
        <v>378</v>
      </c>
      <c r="E160" s="92" t="s">
        <v>379</v>
      </c>
      <c r="F160" s="91" t="s">
        <v>227</v>
      </c>
      <c r="G160" s="91" t="s">
        <v>185</v>
      </c>
      <c r="H160" s="91" t="s">
        <v>10</v>
      </c>
      <c r="I160" s="91" t="s">
        <v>171</v>
      </c>
      <c r="J160" s="91"/>
      <c r="K160" s="93">
        <v>47.02</v>
      </c>
      <c r="L160" s="93">
        <f>K160*VLOOKUP(H160,dagsoorttabel1,2,FALSE)</f>
        <v>47.02</v>
      </c>
      <c r="M160" s="94">
        <f>prodnorm18</f>
        <v>0</v>
      </c>
      <c r="N160" s="37">
        <f>dagwerk18</f>
        <v>0</v>
      </c>
      <c r="O160" s="91" t="s">
        <v>98</v>
      </c>
      <c r="P160" s="24">
        <f>uurtarief18</f>
        <v>0</v>
      </c>
      <c r="Q160" s="93" t="e">
        <f>IF(ISBLANK(M160),0,L160/ROUND(M160,4))</f>
        <v>#DIV/0!</v>
      </c>
      <c r="R160" s="93" t="e">
        <f>IF(ISBLANK(M160),0,Q160*ROUND(N160,2))</f>
        <v>#DIV/0!</v>
      </c>
      <c r="S160" s="24" t="e">
        <f>ROUND(P160,2)*Q160</f>
        <v>#DIV/0!</v>
      </c>
      <c r="T160" s="93" t="e">
        <f>Q160*dagenperjaar1</f>
        <v>#DIV/0!</v>
      </c>
      <c r="U160" s="25" t="e">
        <f>T160*ROUND(P160,2)</f>
        <v>#DIV/0!</v>
      </c>
    </row>
    <row r="161" spans="1:21" x14ac:dyDescent="0.2">
      <c r="A161" s="95" t="s">
        <v>327</v>
      </c>
      <c r="B161" s="96" t="s">
        <v>40</v>
      </c>
      <c r="C161" s="96" t="s">
        <v>218</v>
      </c>
      <c r="D161" s="96" t="s">
        <v>380</v>
      </c>
      <c r="E161" s="97" t="s">
        <v>381</v>
      </c>
      <c r="F161" s="96" t="s">
        <v>303</v>
      </c>
      <c r="G161" s="96" t="s">
        <v>175</v>
      </c>
      <c r="H161" s="96" t="s">
        <v>10</v>
      </c>
      <c r="I161" s="96" t="s">
        <v>171</v>
      </c>
      <c r="J161" s="96"/>
      <c r="K161" s="98">
        <v>2.5</v>
      </c>
      <c r="L161" s="98">
        <f>K161*VLOOKUP(H161,dagsoorttabel1,2,FALSE)</f>
        <v>2.5</v>
      </c>
      <c r="M161" s="99">
        <f>prodnorm7</f>
        <v>0</v>
      </c>
      <c r="N161" s="100">
        <f>dagwerk7</f>
        <v>0</v>
      </c>
      <c r="O161" s="96" t="s">
        <v>98</v>
      </c>
      <c r="P161" s="34">
        <f>uurtarief7</f>
        <v>0</v>
      </c>
      <c r="Q161" s="98" t="e">
        <f>IF(ISBLANK(M161),0,L161/ROUND(M161,4))</f>
        <v>#DIV/0!</v>
      </c>
      <c r="R161" s="98" t="e">
        <f>IF(ISBLANK(M161),0,Q161*ROUND(N161,2))</f>
        <v>#DIV/0!</v>
      </c>
      <c r="S161" s="34" t="e">
        <f>ROUND(P161,2)*Q161</f>
        <v>#DIV/0!</v>
      </c>
      <c r="T161" s="98" t="e">
        <f>Q161*dagenperjaar1</f>
        <v>#DIV/0!</v>
      </c>
      <c r="U161" s="35" t="e">
        <f>T161*ROUND(P161,2)</f>
        <v>#DIV/0!</v>
      </c>
    </row>
    <row r="162" spans="1:21" x14ac:dyDescent="0.2">
      <c r="A162" s="72" t="s">
        <v>249</v>
      </c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5" t="e">
        <f>IF(_xlfn.SINGLE(object7_urenjaar1)&gt;0,_xlfn.SINGLE(object7_prijsjaar1)/_xlfn.SINGLE(object7_urenjaar1),0)</f>
        <v>#DIV/0!</v>
      </c>
      <c r="Q162" s="74" t="e">
        <f>SUM(Q118:Q161)</f>
        <v>#DIV/0!</v>
      </c>
      <c r="R162" s="74" t="e">
        <f>SUM(R118:R161)</f>
        <v>#DIV/0!</v>
      </c>
      <c r="S162" s="75" t="e">
        <f>SUM(S118:S161)</f>
        <v>#DIV/0!</v>
      </c>
      <c r="T162" s="74" t="e">
        <f>SUM(T118:T161)</f>
        <v>#DIV/0!</v>
      </c>
      <c r="U162" s="75" t="e">
        <f>SUM(U118:U161)</f>
        <v>#DIV/0!</v>
      </c>
    </row>
  </sheetData>
  <sheetProtection algorithmName="SHA-512" hashValue="9aveI8rlPI5FOtjFPPwB4CUFCU4vB6CrHPzJ+VhLBoJccTr95UQjatm9cbyNOOhX8T0SyoEl4BovPxdHKQtKCw==" saltValue="83cteRmAeyBMvMPgxVhIzw==" spinCount="100000" sheet="1" objects="1" scenarios="1" autoFilter="0"/>
  <autoFilter ref="A3:U162" xr:uid="{51C5146D-F1C6-483B-B47F-950786CDEE59}"/>
  <pageMargins left="0.7" right="0.7" top="0.75" bottom="0.75" header="0.3" footer="0.3"/>
  <pageSetup scale="61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A78A-4B72-45A3-9851-0B47B2C9D575}">
  <dimension ref="A1:P33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6" width="12.6328125" customWidth="1"/>
  </cols>
  <sheetData>
    <row r="1" spans="1:16" x14ac:dyDescent="0.2">
      <c r="A1" s="1" t="s">
        <v>382</v>
      </c>
    </row>
    <row r="3" spans="1:16" ht="25.2" x14ac:dyDescent="0.2">
      <c r="A3" s="102" t="s">
        <v>162</v>
      </c>
      <c r="B3" s="102" t="s">
        <v>7</v>
      </c>
      <c r="C3" s="103" t="s">
        <v>383</v>
      </c>
      <c r="D3" s="103" t="s">
        <v>384</v>
      </c>
      <c r="E3" s="103" t="s">
        <v>385</v>
      </c>
      <c r="F3" s="103" t="s">
        <v>386</v>
      </c>
      <c r="G3" s="103" t="s">
        <v>387</v>
      </c>
      <c r="H3" s="103" t="s">
        <v>388</v>
      </c>
      <c r="I3" s="102" t="s">
        <v>389</v>
      </c>
      <c r="J3" s="102" t="s">
        <v>390</v>
      </c>
      <c r="K3" s="102" t="s">
        <v>391</v>
      </c>
      <c r="L3" s="102" t="s">
        <v>392</v>
      </c>
      <c r="M3" s="102" t="s">
        <v>393</v>
      </c>
      <c r="N3" s="102" t="s">
        <v>394</v>
      </c>
      <c r="O3" s="102" t="s">
        <v>395</v>
      </c>
      <c r="P3" s="102" t="s">
        <v>396</v>
      </c>
    </row>
    <row r="4" spans="1:16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5" t="s">
        <v>164</v>
      </c>
      <c r="K4" s="105" t="s">
        <v>164</v>
      </c>
      <c r="L4" s="105" t="s">
        <v>164</v>
      </c>
      <c r="M4" s="105" t="s">
        <v>164</v>
      </c>
      <c r="N4" s="105" t="s">
        <v>164</v>
      </c>
      <c r="O4" s="105" t="s">
        <v>164</v>
      </c>
      <c r="P4" s="105" t="s">
        <v>164</v>
      </c>
    </row>
    <row r="5" spans="1:16" x14ac:dyDescent="0.2">
      <c r="A5" s="47" t="s">
        <v>170</v>
      </c>
      <c r="B5" s="47" t="s">
        <v>12</v>
      </c>
      <c r="C5" s="47" t="s">
        <v>397</v>
      </c>
      <c r="D5" s="47" t="s">
        <v>171</v>
      </c>
      <c r="E5" s="62">
        <f>IF(B5="","",VLOOKUP(B5,dagsoorttabel1,2,FALSE))</f>
        <v>0.78431372549019607</v>
      </c>
      <c r="F5" s="62">
        <v>1</v>
      </c>
      <c r="G5" s="62">
        <f>IF(prodnorm4&gt;0,1/ROUND(prodnorm4,4),0)</f>
        <v>0</v>
      </c>
      <c r="H5" s="64">
        <f>ROUND(dagwerk4,4+2)</f>
        <v>0</v>
      </c>
      <c r="I5" s="51">
        <f>ROUND(uurtarief4,2)</f>
        <v>0</v>
      </c>
      <c r="J5" s="62">
        <v>7.3</v>
      </c>
      <c r="K5" s="62">
        <v>22.5</v>
      </c>
      <c r="L5" s="62">
        <v>5.5</v>
      </c>
      <c r="M5" s="62">
        <v>4</v>
      </c>
      <c r="N5" s="62">
        <v>2</v>
      </c>
      <c r="O5" s="62">
        <v>0</v>
      </c>
      <c r="P5" s="62">
        <v>0</v>
      </c>
    </row>
    <row r="6" spans="1:16" x14ac:dyDescent="0.2">
      <c r="A6" s="52" t="s">
        <v>173</v>
      </c>
      <c r="B6" s="52" t="s">
        <v>19</v>
      </c>
      <c r="C6" s="52" t="s">
        <v>397</v>
      </c>
      <c r="D6" s="52" t="s">
        <v>171</v>
      </c>
      <c r="E6" s="65">
        <f>IF(B6="","",VLOOKUP(B6,dagsoorttabel1,2,FALSE))</f>
        <v>3.9215686274509803E-2</v>
      </c>
      <c r="F6" s="65">
        <v>1</v>
      </c>
      <c r="G6" s="65">
        <f>IF(prodnorm5&gt;0,1/ROUND(prodnorm5,4),0)</f>
        <v>0</v>
      </c>
      <c r="H6" s="67">
        <f>ROUND(dagwerk5,4+2)</f>
        <v>0</v>
      </c>
      <c r="I6" s="56">
        <f>ROUND(uurtarief5,2)</f>
        <v>0</v>
      </c>
      <c r="J6" s="65">
        <v>0</v>
      </c>
      <c r="K6" s="65">
        <v>6.3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</row>
    <row r="7" spans="1:16" x14ac:dyDescent="0.2">
      <c r="A7" s="52" t="s">
        <v>175</v>
      </c>
      <c r="B7" s="52" t="s">
        <v>12</v>
      </c>
      <c r="C7" s="52" t="s">
        <v>397</v>
      </c>
      <c r="D7" s="52" t="s">
        <v>171</v>
      </c>
      <c r="E7" s="65">
        <f>IF(B7="","",VLOOKUP(B7,dagsoorttabel1,2,FALSE))</f>
        <v>0.78431372549019607</v>
      </c>
      <c r="F7" s="65">
        <v>1</v>
      </c>
      <c r="G7" s="65">
        <f>IF(prodnorm6&gt;0,1/ROUND(prodnorm6,4),0)</f>
        <v>0</v>
      </c>
      <c r="H7" s="67">
        <f>ROUND(dagwerk6,4+2)</f>
        <v>0</v>
      </c>
      <c r="I7" s="56">
        <f>ROUND(uurtarief6,2)</f>
        <v>0</v>
      </c>
      <c r="J7" s="65">
        <v>38.799999999999997</v>
      </c>
      <c r="K7" s="65">
        <v>65.900000000000006</v>
      </c>
      <c r="L7" s="65">
        <v>14.8</v>
      </c>
      <c r="M7" s="65">
        <v>15.600000000000001</v>
      </c>
      <c r="N7" s="65">
        <v>3</v>
      </c>
      <c r="O7" s="65">
        <v>14.92</v>
      </c>
      <c r="P7" s="65">
        <v>0</v>
      </c>
    </row>
    <row r="8" spans="1:16" x14ac:dyDescent="0.2">
      <c r="A8" s="52" t="s">
        <v>175</v>
      </c>
      <c r="B8" s="52" t="s">
        <v>10</v>
      </c>
      <c r="C8" s="52" t="s">
        <v>397</v>
      </c>
      <c r="D8" s="52" t="s">
        <v>171</v>
      </c>
      <c r="E8" s="65">
        <f>IF(B8="","",VLOOKUP(B8,dagsoorttabel1,2,FALSE))</f>
        <v>1</v>
      </c>
      <c r="F8" s="65">
        <v>1</v>
      </c>
      <c r="G8" s="65">
        <f>IF(prodnorm7&gt;0,1/ROUND(prodnorm7,4),0)</f>
        <v>0</v>
      </c>
      <c r="H8" s="67">
        <f>ROUND(dagwerk7,4+2)</f>
        <v>0</v>
      </c>
      <c r="I8" s="56">
        <f>ROUND(uurtarief7,2)</f>
        <v>0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18.22</v>
      </c>
    </row>
    <row r="9" spans="1:16" x14ac:dyDescent="0.2">
      <c r="A9" s="52" t="s">
        <v>177</v>
      </c>
      <c r="B9" s="52" t="s">
        <v>12</v>
      </c>
      <c r="C9" s="52" t="s">
        <v>397</v>
      </c>
      <c r="D9" s="52" t="s">
        <v>171</v>
      </c>
      <c r="E9" s="65">
        <f>IF(B9="","",VLOOKUP(B9,dagsoorttabel1,2,FALSE))</f>
        <v>0.78431372549019607</v>
      </c>
      <c r="F9" s="65">
        <v>1</v>
      </c>
      <c r="G9" s="65">
        <f>IF(prodnorm8&gt;0,1/ROUND(prodnorm8,4),0)</f>
        <v>0</v>
      </c>
      <c r="H9" s="67">
        <f>ROUND(dagwerk8,4+2)</f>
        <v>0</v>
      </c>
      <c r="I9" s="56">
        <f>ROUND(uurtarief8,2)</f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11.2</v>
      </c>
      <c r="P9" s="65">
        <v>0</v>
      </c>
    </row>
    <row r="10" spans="1:16" x14ac:dyDescent="0.2">
      <c r="A10" s="52" t="s">
        <v>177</v>
      </c>
      <c r="B10" s="52" t="s">
        <v>10</v>
      </c>
      <c r="C10" s="52" t="s">
        <v>397</v>
      </c>
      <c r="D10" s="52" t="s">
        <v>171</v>
      </c>
      <c r="E10" s="65">
        <f>IF(B10="","",VLOOKUP(B10,dagsoorttabel1,2,FALSE))</f>
        <v>1</v>
      </c>
      <c r="F10" s="65">
        <v>1</v>
      </c>
      <c r="G10" s="65">
        <f>IF(prodnorm9&gt;0,1/ROUND(prodnorm9,4),0)</f>
        <v>0</v>
      </c>
      <c r="H10" s="67">
        <f>ROUND(dagwerk9,4+2)</f>
        <v>0</v>
      </c>
      <c r="I10" s="56">
        <f>ROUND(uurtarief9,2)</f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45.839999999999996</v>
      </c>
    </row>
    <row r="11" spans="1:16" x14ac:dyDescent="0.2">
      <c r="A11" s="52" t="s">
        <v>179</v>
      </c>
      <c r="B11" s="52" t="s">
        <v>12</v>
      </c>
      <c r="C11" s="52" t="s">
        <v>397</v>
      </c>
      <c r="D11" s="52" t="s">
        <v>171</v>
      </c>
      <c r="E11" s="65">
        <f>IF(B11="","",VLOOKUP(B11,dagsoorttabel1,2,FALSE))</f>
        <v>0.78431372549019607</v>
      </c>
      <c r="F11" s="65">
        <v>1</v>
      </c>
      <c r="G11" s="65">
        <f>IF(prodnorm10&gt;0,1/ROUND(prodnorm10,4),0)</f>
        <v>0</v>
      </c>
      <c r="H11" s="67">
        <f>ROUND(dagwerk10,4+2)</f>
        <v>0</v>
      </c>
      <c r="I11" s="56">
        <f>ROUND(uurtarief10,2)</f>
        <v>0</v>
      </c>
      <c r="J11" s="65">
        <v>6.6</v>
      </c>
      <c r="K11" s="65">
        <v>0</v>
      </c>
      <c r="L11" s="65">
        <v>30.5</v>
      </c>
      <c r="M11" s="65">
        <v>25</v>
      </c>
      <c r="N11" s="65">
        <v>0</v>
      </c>
      <c r="O11" s="65">
        <v>0</v>
      </c>
      <c r="P11" s="65">
        <v>0</v>
      </c>
    </row>
    <row r="12" spans="1:16" x14ac:dyDescent="0.2">
      <c r="A12" s="52" t="s">
        <v>179</v>
      </c>
      <c r="B12" s="52" t="s">
        <v>10</v>
      </c>
      <c r="C12" s="52" t="s">
        <v>397</v>
      </c>
      <c r="D12" s="52" t="s">
        <v>171</v>
      </c>
      <c r="E12" s="65">
        <f>IF(B12="","",VLOOKUP(B12,dagsoorttabel1,2,FALSE))</f>
        <v>1</v>
      </c>
      <c r="F12" s="65">
        <v>1</v>
      </c>
      <c r="G12" s="65">
        <f>IF(prodnorm11&gt;0,1/ROUND(prodnorm11,4),0)</f>
        <v>0</v>
      </c>
      <c r="H12" s="67">
        <f>ROUND(dagwerk11,4+2)</f>
        <v>0</v>
      </c>
      <c r="I12" s="56">
        <f>ROUND(uurtarief11,2)</f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10.48</v>
      </c>
    </row>
    <row r="13" spans="1:16" x14ac:dyDescent="0.2">
      <c r="A13" s="52" t="s">
        <v>181</v>
      </c>
      <c r="B13" s="52" t="s">
        <v>12</v>
      </c>
      <c r="C13" s="52" t="s">
        <v>397</v>
      </c>
      <c r="D13" s="52" t="s">
        <v>171</v>
      </c>
      <c r="E13" s="65">
        <f>IF(B13="","",VLOOKUP(B13,dagsoorttabel1,2,FALSE))</f>
        <v>0.78431372549019607</v>
      </c>
      <c r="F13" s="65">
        <v>1</v>
      </c>
      <c r="G13" s="65">
        <f>IF(prodnorm12&gt;0,1/ROUND(prodnorm12,4),0)</f>
        <v>0</v>
      </c>
      <c r="H13" s="67">
        <f>ROUND(dagwerk12,4+2)</f>
        <v>0</v>
      </c>
      <c r="I13" s="56">
        <f>ROUND(uurtarief12,2)</f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2.56</v>
      </c>
      <c r="P13" s="65">
        <v>0</v>
      </c>
    </row>
    <row r="14" spans="1:16" x14ac:dyDescent="0.2">
      <c r="A14" s="52" t="s">
        <v>181</v>
      </c>
      <c r="B14" s="52" t="s">
        <v>10</v>
      </c>
      <c r="C14" s="52" t="s">
        <v>397</v>
      </c>
      <c r="D14" s="52" t="s">
        <v>171</v>
      </c>
      <c r="E14" s="65">
        <f>IF(B14="","",VLOOKUP(B14,dagsoorttabel1,2,FALSE))</f>
        <v>1</v>
      </c>
      <c r="F14" s="65">
        <v>1</v>
      </c>
      <c r="G14" s="65">
        <f>IF(prodnorm13&gt;0,1/ROUND(prodnorm13,4),0)</f>
        <v>0</v>
      </c>
      <c r="H14" s="67">
        <f>ROUND(dagwerk13,4+2)</f>
        <v>0</v>
      </c>
      <c r="I14" s="56">
        <f>ROUND(uurtarief13,2)</f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4</v>
      </c>
    </row>
    <row r="15" spans="1:16" x14ac:dyDescent="0.2">
      <c r="A15" s="52" t="s">
        <v>183</v>
      </c>
      <c r="B15" s="52" t="s">
        <v>19</v>
      </c>
      <c r="C15" s="52" t="s">
        <v>397</v>
      </c>
      <c r="D15" s="52" t="s">
        <v>171</v>
      </c>
      <c r="E15" s="65">
        <f>IF(B15="","",VLOOKUP(B15,dagsoorttabel1,2,FALSE))</f>
        <v>3.9215686274509803E-2</v>
      </c>
      <c r="F15" s="65">
        <v>1</v>
      </c>
      <c r="G15" s="65">
        <f>IF(prodnorm14&gt;0,1/ROUND(prodnorm14,4),0)</f>
        <v>0</v>
      </c>
      <c r="H15" s="67">
        <f>ROUND(dagwerk14,4+2)</f>
        <v>0</v>
      </c>
      <c r="I15" s="56">
        <f>ROUND(uurtarief14,2)</f>
        <v>0</v>
      </c>
      <c r="J15" s="65">
        <v>42</v>
      </c>
      <c r="K15" s="65">
        <v>32</v>
      </c>
      <c r="L15" s="65">
        <v>44.5</v>
      </c>
      <c r="M15" s="65">
        <v>0</v>
      </c>
      <c r="N15" s="65">
        <v>0</v>
      </c>
      <c r="O15" s="65">
        <v>0</v>
      </c>
      <c r="P15" s="65">
        <v>0</v>
      </c>
    </row>
    <row r="16" spans="1:16" x14ac:dyDescent="0.2">
      <c r="A16" s="52" t="s">
        <v>183</v>
      </c>
      <c r="B16" s="52" t="s">
        <v>12</v>
      </c>
      <c r="C16" s="52" t="s">
        <v>397</v>
      </c>
      <c r="D16" s="52" t="s">
        <v>171</v>
      </c>
      <c r="E16" s="65">
        <f>IF(B16="","",VLOOKUP(B16,dagsoorttabel1,2,FALSE))</f>
        <v>0.78431372549019607</v>
      </c>
      <c r="F16" s="65">
        <v>1</v>
      </c>
      <c r="G16" s="65">
        <f>IF(prodnorm15&gt;0,1/ROUND(prodnorm15,4),0)</f>
        <v>0</v>
      </c>
      <c r="H16" s="67">
        <f>ROUND(dagwerk15,4+2)</f>
        <v>0</v>
      </c>
      <c r="I16" s="56">
        <f>ROUND(uurtarief15,2)</f>
        <v>0</v>
      </c>
      <c r="J16" s="65">
        <v>252</v>
      </c>
      <c r="K16" s="65">
        <v>524</v>
      </c>
      <c r="L16" s="65">
        <v>252</v>
      </c>
      <c r="M16" s="65">
        <v>293</v>
      </c>
      <c r="N16" s="65">
        <v>253</v>
      </c>
      <c r="O16" s="65">
        <v>313.14</v>
      </c>
      <c r="P16" s="65">
        <v>0</v>
      </c>
    </row>
    <row r="17" spans="1:16" x14ac:dyDescent="0.2">
      <c r="A17" s="52" t="s">
        <v>183</v>
      </c>
      <c r="B17" s="52" t="s">
        <v>10</v>
      </c>
      <c r="C17" s="52" t="s">
        <v>397</v>
      </c>
      <c r="D17" s="52" t="s">
        <v>171</v>
      </c>
      <c r="E17" s="65">
        <f>IF(B17="","",VLOOKUP(B17,dagsoorttabel1,2,FALSE))</f>
        <v>1</v>
      </c>
      <c r="F17" s="65">
        <v>1</v>
      </c>
      <c r="G17" s="65">
        <f>IF(prodnorm16&gt;0,1/ROUND(prodnorm16,4),0)</f>
        <v>0</v>
      </c>
      <c r="H17" s="67">
        <f>ROUND(dagwerk16,4+2)</f>
        <v>0</v>
      </c>
      <c r="I17" s="56">
        <f>ROUND(uurtarief16,2)</f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253.29</v>
      </c>
    </row>
    <row r="18" spans="1:16" x14ac:dyDescent="0.2">
      <c r="A18" s="52" t="s">
        <v>183</v>
      </c>
      <c r="B18" s="52" t="s">
        <v>16</v>
      </c>
      <c r="C18" s="52" t="s">
        <v>397</v>
      </c>
      <c r="D18" s="52" t="s">
        <v>171</v>
      </c>
      <c r="E18" s="65">
        <f>IF(B18="","",VLOOKUP(B18,dagsoorttabel1,2,FALSE))</f>
        <v>0.15686274509803921</v>
      </c>
      <c r="F18" s="65">
        <v>1</v>
      </c>
      <c r="G18" s="65">
        <f>IF(prodnorm17&gt;0,1/ROUND(prodnorm17,4),0)</f>
        <v>0</v>
      </c>
      <c r="H18" s="67">
        <f>ROUND(dagwerk17,4+2)</f>
        <v>0</v>
      </c>
      <c r="I18" s="56">
        <f>ROUND(uurtarief17,2)</f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27.84</v>
      </c>
    </row>
    <row r="19" spans="1:16" x14ac:dyDescent="0.2">
      <c r="A19" s="52" t="s">
        <v>185</v>
      </c>
      <c r="B19" s="52" t="s">
        <v>10</v>
      </c>
      <c r="C19" s="52" t="s">
        <v>397</v>
      </c>
      <c r="D19" s="52" t="s">
        <v>171</v>
      </c>
      <c r="E19" s="65">
        <f>IF(B19="","",VLOOKUP(B19,dagsoorttabel1,2,FALSE))</f>
        <v>1</v>
      </c>
      <c r="F19" s="65">
        <v>1</v>
      </c>
      <c r="G19" s="65">
        <f>IF(prodnorm18&gt;0,1/ROUND(prodnorm18,4),0)</f>
        <v>0</v>
      </c>
      <c r="H19" s="67">
        <f>ROUND(dagwerk18,4+2)</f>
        <v>0</v>
      </c>
      <c r="I19" s="56">
        <f>ROUND(uurtarief18,2)</f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194.06</v>
      </c>
    </row>
    <row r="20" spans="1:16" x14ac:dyDescent="0.2">
      <c r="A20" s="52" t="s">
        <v>187</v>
      </c>
      <c r="B20" s="52" t="s">
        <v>12</v>
      </c>
      <c r="C20" s="52" t="s">
        <v>397</v>
      </c>
      <c r="D20" s="52" t="s">
        <v>171</v>
      </c>
      <c r="E20" s="65">
        <f>IF(B20="","",VLOOKUP(B20,dagsoorttabel1,2,FALSE))</f>
        <v>0.78431372549019607</v>
      </c>
      <c r="F20" s="65">
        <v>1</v>
      </c>
      <c r="G20" s="65">
        <f>IF(prodnorm19&gt;0,1/ROUND(prodnorm19,4),0)</f>
        <v>0</v>
      </c>
      <c r="H20" s="67">
        <f>ROUND(dagwerk19,4+2)</f>
        <v>0</v>
      </c>
      <c r="I20" s="56">
        <f>ROUND(uurtarief19,2)</f>
        <v>0</v>
      </c>
      <c r="J20" s="65">
        <v>61.6</v>
      </c>
      <c r="K20" s="65">
        <v>136.1</v>
      </c>
      <c r="L20" s="65">
        <v>41</v>
      </c>
      <c r="M20" s="65">
        <v>78.3</v>
      </c>
      <c r="N20" s="65">
        <v>88.5</v>
      </c>
      <c r="O20" s="65">
        <v>35.79</v>
      </c>
      <c r="P20" s="65">
        <v>0</v>
      </c>
    </row>
    <row r="21" spans="1:16" x14ac:dyDescent="0.2">
      <c r="A21" s="52" t="s">
        <v>187</v>
      </c>
      <c r="B21" s="52" t="s">
        <v>10</v>
      </c>
      <c r="C21" s="52" t="s">
        <v>397</v>
      </c>
      <c r="D21" s="52" t="s">
        <v>171</v>
      </c>
      <c r="E21" s="65">
        <f>IF(B21="","",VLOOKUP(B21,dagsoorttabel1,2,FALSE))</f>
        <v>1</v>
      </c>
      <c r="F21" s="65">
        <v>1</v>
      </c>
      <c r="G21" s="65">
        <f>IF(prodnorm20&gt;0,1/ROUND(prodnorm20,4),0)</f>
        <v>0</v>
      </c>
      <c r="H21" s="67">
        <f>ROUND(dagwerk20,4+2)</f>
        <v>0</v>
      </c>
      <c r="I21" s="56">
        <f>ROUND(uurtarief20,2)</f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77.17</v>
      </c>
    </row>
    <row r="22" spans="1:16" x14ac:dyDescent="0.2">
      <c r="A22" s="52" t="s">
        <v>189</v>
      </c>
      <c r="B22" s="52" t="s">
        <v>10</v>
      </c>
      <c r="C22" s="52" t="s">
        <v>397</v>
      </c>
      <c r="D22" s="52" t="s">
        <v>171</v>
      </c>
      <c r="E22" s="65">
        <f>IF(B22="","",VLOOKUP(B22,dagsoorttabel1,2,FALSE))</f>
        <v>1</v>
      </c>
      <c r="F22" s="65">
        <v>1</v>
      </c>
      <c r="G22" s="65">
        <f>IF(prodnorm21&gt;0,1/ROUND(prodnorm21,4),0)</f>
        <v>0</v>
      </c>
      <c r="H22" s="67">
        <f>ROUND(dagwerk21,4+2)</f>
        <v>0</v>
      </c>
      <c r="I22" s="56">
        <f>ROUND(uurtarief21,2)</f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24.35</v>
      </c>
    </row>
    <row r="23" spans="1:16" x14ac:dyDescent="0.2">
      <c r="A23" s="52" t="s">
        <v>191</v>
      </c>
      <c r="B23" s="52" t="s">
        <v>10</v>
      </c>
      <c r="C23" s="52" t="s">
        <v>397</v>
      </c>
      <c r="D23" s="52" t="s">
        <v>171</v>
      </c>
      <c r="E23" s="65">
        <f>IF(B23="","",VLOOKUP(B23,dagsoorttabel1,2,FALSE))</f>
        <v>1</v>
      </c>
      <c r="F23" s="65">
        <v>1</v>
      </c>
      <c r="G23" s="65">
        <f>IF(prodnorm22&gt;0,1/ROUND(prodnorm22,4),0)</f>
        <v>0</v>
      </c>
      <c r="H23" s="67">
        <f>ROUND(dagwerk22,4+2)</f>
        <v>0</v>
      </c>
      <c r="I23" s="56">
        <f>ROUND(uurtarief22,2)</f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40.36</v>
      </c>
    </row>
    <row r="24" spans="1:16" x14ac:dyDescent="0.2">
      <c r="A24" s="52" t="s">
        <v>193</v>
      </c>
      <c r="B24" s="52" t="s">
        <v>10</v>
      </c>
      <c r="C24" s="52" t="s">
        <v>397</v>
      </c>
      <c r="D24" s="52" t="s">
        <v>171</v>
      </c>
      <c r="E24" s="65">
        <f>IF(B24="","",VLOOKUP(B24,dagsoorttabel1,2,FALSE))</f>
        <v>1</v>
      </c>
      <c r="F24" s="65">
        <v>1</v>
      </c>
      <c r="G24" s="65">
        <f>IF(prodnorm23&gt;0,1/ROUND(prodnorm23,4),0)</f>
        <v>0</v>
      </c>
      <c r="H24" s="67">
        <f>ROUND(dagwerk23,4+2)</f>
        <v>0</v>
      </c>
      <c r="I24" s="56">
        <f>ROUND(uurtarief23,2)</f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67.490000000000009</v>
      </c>
    </row>
    <row r="25" spans="1:16" x14ac:dyDescent="0.2">
      <c r="A25" s="52" t="s">
        <v>195</v>
      </c>
      <c r="B25" s="52" t="s">
        <v>12</v>
      </c>
      <c r="C25" s="52" t="s">
        <v>397</v>
      </c>
      <c r="D25" s="52" t="s">
        <v>171</v>
      </c>
      <c r="E25" s="65">
        <f>IF(B25="","",VLOOKUP(B25,dagsoorttabel1,2,FALSE))</f>
        <v>0.78431372549019607</v>
      </c>
      <c r="F25" s="65">
        <v>1</v>
      </c>
      <c r="G25" s="65">
        <f>IF(prodnorm24&gt;0,1/ROUND(prodnorm24,4),0)</f>
        <v>0</v>
      </c>
      <c r="H25" s="67">
        <f>ROUND(dagwerk24,4+2)</f>
        <v>0</v>
      </c>
      <c r="I25" s="56">
        <f>ROUND(uurtarief24,2)</f>
        <v>0</v>
      </c>
      <c r="J25" s="65">
        <v>4.8</v>
      </c>
      <c r="K25" s="65">
        <v>7</v>
      </c>
      <c r="L25" s="65">
        <v>6.8</v>
      </c>
      <c r="M25" s="65">
        <v>6.5</v>
      </c>
      <c r="N25" s="65">
        <v>5.5</v>
      </c>
      <c r="O25" s="65">
        <v>22.82</v>
      </c>
      <c r="P25" s="65">
        <v>0</v>
      </c>
    </row>
    <row r="26" spans="1:16" x14ac:dyDescent="0.2">
      <c r="A26" s="52" t="s">
        <v>195</v>
      </c>
      <c r="B26" s="52" t="s">
        <v>10</v>
      </c>
      <c r="C26" s="52" t="s">
        <v>397</v>
      </c>
      <c r="D26" s="52" t="s">
        <v>171</v>
      </c>
      <c r="E26" s="65">
        <f>IF(B26="","",VLOOKUP(B26,dagsoorttabel1,2,FALSE))</f>
        <v>1</v>
      </c>
      <c r="F26" s="65">
        <v>1</v>
      </c>
      <c r="G26" s="65">
        <f>IF(prodnorm25&gt;0,1/ROUND(prodnorm25,4),0)</f>
        <v>0</v>
      </c>
      <c r="H26" s="67">
        <f>ROUND(dagwerk25,4+2)</f>
        <v>0</v>
      </c>
      <c r="I26" s="56">
        <f>ROUND(uurtarief25,2)</f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34.359999999999992</v>
      </c>
    </row>
    <row r="27" spans="1:16" x14ac:dyDescent="0.2">
      <c r="A27" s="52" t="s">
        <v>197</v>
      </c>
      <c r="B27" s="52" t="s">
        <v>12</v>
      </c>
      <c r="C27" s="52" t="s">
        <v>397</v>
      </c>
      <c r="D27" s="52" t="s">
        <v>171</v>
      </c>
      <c r="E27" s="65">
        <f>IF(B27="","",VLOOKUP(B27,dagsoorttabel1,2,FALSE))</f>
        <v>0.78431372549019607</v>
      </c>
      <c r="F27" s="65">
        <v>1</v>
      </c>
      <c r="G27" s="65">
        <f>IF(prodnorm26&gt;0,1/ROUND(prodnorm26,4),0)</f>
        <v>0</v>
      </c>
      <c r="H27" s="67">
        <f>ROUND(dagwerk26,4+2)</f>
        <v>0</v>
      </c>
      <c r="I27" s="56">
        <f>ROUND(uurtarief26,2)</f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8.0399999999999991</v>
      </c>
      <c r="P27" s="65">
        <v>0</v>
      </c>
    </row>
    <row r="28" spans="1:16" x14ac:dyDescent="0.2">
      <c r="A28" s="52" t="s">
        <v>197</v>
      </c>
      <c r="B28" s="52" t="s">
        <v>10</v>
      </c>
      <c r="C28" s="52" t="s">
        <v>397</v>
      </c>
      <c r="D28" s="52" t="s">
        <v>171</v>
      </c>
      <c r="E28" s="65">
        <f>IF(B28="","",VLOOKUP(B28,dagsoorttabel1,2,FALSE))</f>
        <v>1</v>
      </c>
      <c r="F28" s="65">
        <v>1</v>
      </c>
      <c r="G28" s="65">
        <f>IF(prodnorm27&gt;0,1/ROUND(prodnorm27,4),0)</f>
        <v>0</v>
      </c>
      <c r="H28" s="67">
        <f>ROUND(dagwerk27,4+2)</f>
        <v>0</v>
      </c>
      <c r="I28" s="56">
        <f>ROUND(uurtarief27,2)</f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20</v>
      </c>
    </row>
    <row r="29" spans="1:16" x14ac:dyDescent="0.2">
      <c r="A29" s="52" t="s">
        <v>199</v>
      </c>
      <c r="B29" s="52" t="s">
        <v>12</v>
      </c>
      <c r="C29" s="52" t="s">
        <v>397</v>
      </c>
      <c r="D29" s="52" t="s">
        <v>171</v>
      </c>
      <c r="E29" s="65">
        <f>IF(B29="","",VLOOKUP(B29,dagsoorttabel1,2,FALSE))</f>
        <v>0.78431372549019607</v>
      </c>
      <c r="F29" s="65">
        <v>1</v>
      </c>
      <c r="G29" s="65">
        <f>IF(prodnorm28&gt;0,1/ROUND(prodnorm28,4),0)</f>
        <v>0</v>
      </c>
      <c r="H29" s="67">
        <f>ROUND(dagwerk28,4+2)</f>
        <v>0</v>
      </c>
      <c r="I29" s="56">
        <f>ROUND(uurtarief28,2)</f>
        <v>0</v>
      </c>
      <c r="J29" s="65">
        <v>27</v>
      </c>
      <c r="K29" s="65">
        <v>76</v>
      </c>
      <c r="L29" s="65">
        <v>6</v>
      </c>
      <c r="M29" s="65">
        <v>0</v>
      </c>
      <c r="N29" s="65">
        <v>32</v>
      </c>
      <c r="O29" s="65">
        <v>68.63</v>
      </c>
      <c r="P29" s="65">
        <v>0</v>
      </c>
    </row>
    <row r="30" spans="1:16" x14ac:dyDescent="0.2">
      <c r="A30" s="52" t="s">
        <v>199</v>
      </c>
      <c r="B30" s="52" t="s">
        <v>10</v>
      </c>
      <c r="C30" s="52" t="s">
        <v>397</v>
      </c>
      <c r="D30" s="52" t="s">
        <v>171</v>
      </c>
      <c r="E30" s="65">
        <f>IF(B30="","",VLOOKUP(B30,dagsoorttabel1,2,FALSE))</f>
        <v>1</v>
      </c>
      <c r="F30" s="65">
        <v>1</v>
      </c>
      <c r="G30" s="65">
        <f>IF(prodnorm29&gt;0,1/ROUND(prodnorm29,4),0)</f>
        <v>0</v>
      </c>
      <c r="H30" s="67">
        <f>ROUND(dagwerk29,4+2)</f>
        <v>0</v>
      </c>
      <c r="I30" s="56">
        <f>ROUND(uurtarief29,2)</f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54.16</v>
      </c>
    </row>
    <row r="31" spans="1:16" x14ac:dyDescent="0.2">
      <c r="A31" s="52" t="s">
        <v>201</v>
      </c>
      <c r="B31" s="52" t="s">
        <v>12</v>
      </c>
      <c r="C31" s="52" t="s">
        <v>397</v>
      </c>
      <c r="D31" s="52" t="s">
        <v>171</v>
      </c>
      <c r="E31" s="65">
        <f>IF(B31="","",VLOOKUP(B31,dagsoorttabel1,2,FALSE))</f>
        <v>0.78431372549019607</v>
      </c>
      <c r="F31" s="65">
        <v>1</v>
      </c>
      <c r="G31" s="65">
        <f>IF(prodnorm30&gt;0,1/ROUND(prodnorm30,4),0)</f>
        <v>0</v>
      </c>
      <c r="H31" s="67">
        <f>ROUND(dagwerk30,4+2)</f>
        <v>0</v>
      </c>
      <c r="I31" s="56">
        <f>ROUND(uurtarief30,2)</f>
        <v>0</v>
      </c>
      <c r="J31" s="65">
        <v>0</v>
      </c>
      <c r="K31" s="65">
        <v>6.25</v>
      </c>
      <c r="L31" s="65">
        <v>0</v>
      </c>
      <c r="M31" s="65">
        <v>0</v>
      </c>
      <c r="N31" s="65">
        <v>4</v>
      </c>
      <c r="O31" s="65">
        <v>0</v>
      </c>
      <c r="P31" s="65">
        <v>0</v>
      </c>
    </row>
    <row r="32" spans="1:16" x14ac:dyDescent="0.2">
      <c r="A32" s="57" t="s">
        <v>183</v>
      </c>
      <c r="B32" s="57" t="s">
        <v>19</v>
      </c>
      <c r="C32" s="57" t="s">
        <v>397</v>
      </c>
      <c r="D32" s="57" t="s">
        <v>203</v>
      </c>
      <c r="E32" s="68">
        <f>IF(B32="","",VLOOKUP(B32,dagsoorttabel1,2,FALSE))</f>
        <v>3.9215686274509803E-2</v>
      </c>
      <c r="F32" s="68">
        <v>1</v>
      </c>
      <c r="G32" s="68">
        <f>IF(prodnorm31&gt;0,1/ROUND(prodnorm31,4),0)</f>
        <v>0</v>
      </c>
      <c r="H32" s="70">
        <f>ROUND(dagwerk31,4+2)</f>
        <v>0</v>
      </c>
      <c r="I32" s="61">
        <f>ROUND(uurtarief31,2)</f>
        <v>0</v>
      </c>
      <c r="J32" s="68">
        <v>0</v>
      </c>
      <c r="K32" s="68">
        <v>0</v>
      </c>
      <c r="L32" s="68">
        <v>0</v>
      </c>
      <c r="M32" s="68">
        <v>0</v>
      </c>
      <c r="N32" s="68">
        <v>38</v>
      </c>
      <c r="O32" s="68">
        <v>0</v>
      </c>
      <c r="P32" s="68">
        <v>0</v>
      </c>
    </row>
    <row r="33" spans="1:16" x14ac:dyDescent="0.2">
      <c r="A33" s="72" t="s">
        <v>204</v>
      </c>
      <c r="B33" s="73"/>
      <c r="C33" s="73"/>
      <c r="D33" s="73"/>
      <c r="E33" s="73"/>
      <c r="F33" s="73"/>
      <c r="G33" s="73"/>
      <c r="H33" s="73"/>
      <c r="I33" s="73"/>
      <c r="J33" s="106"/>
      <c r="K33" s="106"/>
      <c r="L33" s="106"/>
      <c r="M33" s="106"/>
      <c r="N33" s="106"/>
      <c r="O33" s="106"/>
      <c r="P33" s="106"/>
    </row>
  </sheetData>
  <sheetProtection algorithmName="SHA-512" hashValue="VGkn5+SlWS4cZN5u2hOAYRbLE6Tv6R/1N6g1NsxZ5NYNAnljLTOWaNkw+p7n5CZPXa4qXSpa4wozmL51os7onA==" saltValue="KPwBw+4vUUzi0pt4LzKGuw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F61C-D2AB-4D31-8D1B-694C1979563A}">
  <dimension ref="A1:S16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7" width="11.6328125" customWidth="1"/>
    <col min="8" max="11" width="12.1796875" customWidth="1"/>
    <col min="12" max="15" width="11.6328125" customWidth="1"/>
    <col min="16" max="17" width="12.6328125" customWidth="1"/>
    <col min="18" max="18" width="14.6328125" customWidth="1"/>
    <col min="19" max="19" width="13.6328125" customWidth="1"/>
  </cols>
  <sheetData>
    <row r="1" spans="1:19" x14ac:dyDescent="0.2">
      <c r="A1" s="1" t="str">
        <f>CONCATENATE("Bijlage F.3.4: ",tabeltype," objecten")</f>
        <v>Bijlage F.3.4: Invultabel objecten</v>
      </c>
    </row>
    <row r="3" spans="1:19" ht="50.4" x14ac:dyDescent="0.2">
      <c r="A3" s="40" t="s">
        <v>207</v>
      </c>
      <c r="B3" s="40" t="s">
        <v>398</v>
      </c>
      <c r="C3" s="40" t="s">
        <v>399</v>
      </c>
      <c r="D3" s="40" t="s">
        <v>400</v>
      </c>
      <c r="E3" s="40" t="s">
        <v>7</v>
      </c>
      <c r="F3" s="40" t="s">
        <v>401</v>
      </c>
      <c r="G3" s="40" t="s">
        <v>166</v>
      </c>
      <c r="H3" s="40" t="s">
        <v>402</v>
      </c>
      <c r="I3" s="40" t="s">
        <v>403</v>
      </c>
      <c r="J3" s="40" t="s">
        <v>404</v>
      </c>
      <c r="K3" s="40" t="s">
        <v>405</v>
      </c>
      <c r="L3" s="40" t="s">
        <v>406</v>
      </c>
      <c r="M3" s="40" t="s">
        <v>167</v>
      </c>
      <c r="N3" s="40" t="s">
        <v>407</v>
      </c>
      <c r="O3" s="40" t="s">
        <v>408</v>
      </c>
      <c r="P3" s="40" t="s">
        <v>409</v>
      </c>
      <c r="Q3" s="40" t="s">
        <v>168</v>
      </c>
      <c r="R3" s="40" t="s">
        <v>169</v>
      </c>
      <c r="S3" s="40" t="s">
        <v>410</v>
      </c>
    </row>
    <row r="4" spans="1:19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1:19" x14ac:dyDescent="0.2">
      <c r="A5" s="44" t="s">
        <v>95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</row>
    <row r="6" spans="1:19" x14ac:dyDescent="0.2">
      <c r="A6" s="47" t="s">
        <v>217</v>
      </c>
      <c r="B6" s="47" t="s">
        <v>411</v>
      </c>
      <c r="C6" s="47" t="s">
        <v>412</v>
      </c>
      <c r="D6" s="47" t="s">
        <v>413</v>
      </c>
      <c r="E6" s="107" t="s">
        <v>12</v>
      </c>
      <c r="F6" s="108">
        <f>gemuurtarief1</f>
        <v>0</v>
      </c>
      <c r="G6" s="62">
        <f>SUMPRODUCT(taakfreqtabel1,uurfactortabel1,kengetaltabel1,object1_opptabel1)</f>
        <v>0</v>
      </c>
      <c r="H6" s="62">
        <f>G6*(1/VLOOKUP(E6,dagsoorttabel1,2,FALSE))</f>
        <v>0</v>
      </c>
      <c r="I6" s="62">
        <f>SUMPRODUCT(dagwerktabel1,taakfreqtabel1,uurfactortabel1,kengetaltabel1,object1_opptabel1)*(1/VLOOKUP(E6,dagsoorttabel1,2,FALSE))</f>
        <v>0</v>
      </c>
      <c r="J6" s="49"/>
      <c r="K6" s="62">
        <f>I6+J6</f>
        <v>0</v>
      </c>
      <c r="L6" s="62">
        <f>G6+J6*VLOOKUP(E6,dagsoorttabel1,2,FALSE)</f>
        <v>0</v>
      </c>
      <c r="M6" s="51">
        <f>SUMPRODUCT(taakfreqtabel1,kengetaltabel1,tarieftabel1,object1_opptabel1)</f>
        <v>0</v>
      </c>
      <c r="N6" s="51">
        <f>F6*J6*VLOOKUP(E6,dagsoorttabel1,2,FALSE)</f>
        <v>0</v>
      </c>
      <c r="O6" s="51">
        <f>SUM(M6:N6)</f>
        <v>0</v>
      </c>
      <c r="P6" s="62">
        <f>K6*dagenperjaar1*VLOOKUP(E6,dagsoorttabel1,2,FALSE)</f>
        <v>0</v>
      </c>
      <c r="Q6" s="62">
        <f>L6*dagenperjaar1</f>
        <v>0</v>
      </c>
      <c r="R6" s="51">
        <f>O6*dagenperjaar1</f>
        <v>0</v>
      </c>
      <c r="S6" s="51">
        <f>R6/12</f>
        <v>0</v>
      </c>
    </row>
    <row r="7" spans="1:19" x14ac:dyDescent="0.2">
      <c r="A7" s="52" t="s">
        <v>251</v>
      </c>
      <c r="B7" s="52" t="s">
        <v>414</v>
      </c>
      <c r="C7" s="52" t="s">
        <v>415</v>
      </c>
      <c r="D7" s="52" t="s">
        <v>413</v>
      </c>
      <c r="E7" s="109" t="s">
        <v>12</v>
      </c>
      <c r="F7" s="110">
        <f>gemuurtarief1</f>
        <v>0</v>
      </c>
      <c r="G7" s="65">
        <f>SUMPRODUCT(taakfreqtabel1,uurfactortabel1,kengetaltabel1,object2_opptabel1)</f>
        <v>0</v>
      </c>
      <c r="H7" s="65">
        <f>G7*(1/VLOOKUP(E7,dagsoorttabel1,2,FALSE))</f>
        <v>0</v>
      </c>
      <c r="I7" s="65">
        <f>SUMPRODUCT(dagwerktabel1,taakfreqtabel1,uurfactortabel1,kengetaltabel1,object2_opptabel1)*(1/VLOOKUP(E7,dagsoorttabel1,2,FALSE))</f>
        <v>0</v>
      </c>
      <c r="J7" s="54"/>
      <c r="K7" s="65">
        <f>I7+J7</f>
        <v>0</v>
      </c>
      <c r="L7" s="65">
        <f>G7+J7*VLOOKUP(E7,dagsoorttabel1,2,FALSE)</f>
        <v>0</v>
      </c>
      <c r="M7" s="56">
        <f>SUMPRODUCT(taakfreqtabel1,kengetaltabel1,tarieftabel1,object2_opptabel1)</f>
        <v>0</v>
      </c>
      <c r="N7" s="56">
        <f>F7*J7*VLOOKUP(E7,dagsoorttabel1,2,FALSE)</f>
        <v>0</v>
      </c>
      <c r="O7" s="56">
        <f>SUM(M7:N7)</f>
        <v>0</v>
      </c>
      <c r="P7" s="65">
        <f>K7*dagenperjaar1*VLOOKUP(E7,dagsoorttabel1,2,FALSE)</f>
        <v>0</v>
      </c>
      <c r="Q7" s="65">
        <f>L7*dagenperjaar1</f>
        <v>0</v>
      </c>
      <c r="R7" s="56">
        <f>O7*dagenperjaar1</f>
        <v>0</v>
      </c>
      <c r="S7" s="56">
        <f>R7/12</f>
        <v>0</v>
      </c>
    </row>
    <row r="8" spans="1:19" x14ac:dyDescent="0.2">
      <c r="A8" s="52" t="s">
        <v>276</v>
      </c>
      <c r="B8" s="52" t="s">
        <v>416</v>
      </c>
      <c r="C8" s="52" t="s">
        <v>417</v>
      </c>
      <c r="D8" s="52" t="s">
        <v>413</v>
      </c>
      <c r="E8" s="109" t="s">
        <v>12</v>
      </c>
      <c r="F8" s="110">
        <f>gemuurtarief1</f>
        <v>0</v>
      </c>
      <c r="G8" s="65">
        <f>SUMPRODUCT(taakfreqtabel1,uurfactortabel1,kengetaltabel1,object3_opptabel1)</f>
        <v>0</v>
      </c>
      <c r="H8" s="65">
        <f>G8*(1/VLOOKUP(E8,dagsoorttabel1,2,FALSE))</f>
        <v>0</v>
      </c>
      <c r="I8" s="65">
        <f>SUMPRODUCT(dagwerktabel1,taakfreqtabel1,uurfactortabel1,kengetaltabel1,object3_opptabel1)*(1/VLOOKUP(E8,dagsoorttabel1,2,FALSE))</f>
        <v>0</v>
      </c>
      <c r="J8" s="54"/>
      <c r="K8" s="65">
        <f>I8+J8</f>
        <v>0</v>
      </c>
      <c r="L8" s="65">
        <f>G8+J8*VLOOKUP(E8,dagsoorttabel1,2,FALSE)</f>
        <v>0</v>
      </c>
      <c r="M8" s="56">
        <f>SUMPRODUCT(taakfreqtabel1,kengetaltabel1,tarieftabel1,object3_opptabel1)</f>
        <v>0</v>
      </c>
      <c r="N8" s="56">
        <f>F8*J8*VLOOKUP(E8,dagsoorttabel1,2,FALSE)</f>
        <v>0</v>
      </c>
      <c r="O8" s="56">
        <f>SUM(M8:N8)</f>
        <v>0</v>
      </c>
      <c r="P8" s="65">
        <f>K8*dagenperjaar1*VLOOKUP(E8,dagsoorttabel1,2,FALSE)</f>
        <v>0</v>
      </c>
      <c r="Q8" s="65">
        <f>L8*dagenperjaar1</f>
        <v>0</v>
      </c>
      <c r="R8" s="56">
        <f>O8*dagenperjaar1</f>
        <v>0</v>
      </c>
      <c r="S8" s="56">
        <f>R8/12</f>
        <v>0</v>
      </c>
    </row>
    <row r="9" spans="1:19" x14ac:dyDescent="0.2">
      <c r="A9" s="52" t="s">
        <v>282</v>
      </c>
      <c r="B9" s="52" t="s">
        <v>418</v>
      </c>
      <c r="C9" s="52" t="s">
        <v>419</v>
      </c>
      <c r="D9" s="52" t="s">
        <v>413</v>
      </c>
      <c r="E9" s="109" t="s">
        <v>12</v>
      </c>
      <c r="F9" s="110">
        <f>gemuurtarief1</f>
        <v>0</v>
      </c>
      <c r="G9" s="65">
        <f>SUMPRODUCT(taakfreqtabel1,uurfactortabel1,kengetaltabel1,object4_opptabel1)</f>
        <v>0</v>
      </c>
      <c r="H9" s="65">
        <f>G9*(1/VLOOKUP(E9,dagsoorttabel1,2,FALSE))</f>
        <v>0</v>
      </c>
      <c r="I9" s="65">
        <f>SUMPRODUCT(dagwerktabel1,taakfreqtabel1,uurfactortabel1,kengetaltabel1,object4_opptabel1)*(1/VLOOKUP(E9,dagsoorttabel1,2,FALSE))</f>
        <v>0</v>
      </c>
      <c r="J9" s="54"/>
      <c r="K9" s="65">
        <f>I9+J9</f>
        <v>0</v>
      </c>
      <c r="L9" s="65">
        <f>G9+J9*VLOOKUP(E9,dagsoorttabel1,2,FALSE)</f>
        <v>0</v>
      </c>
      <c r="M9" s="56">
        <f>SUMPRODUCT(taakfreqtabel1,kengetaltabel1,tarieftabel1,object4_opptabel1)</f>
        <v>0</v>
      </c>
      <c r="N9" s="56">
        <f>F9*J9*VLOOKUP(E9,dagsoorttabel1,2,FALSE)</f>
        <v>0</v>
      </c>
      <c r="O9" s="56">
        <f>SUM(M9:N9)</f>
        <v>0</v>
      </c>
      <c r="P9" s="65">
        <f>K9*dagenperjaar1*VLOOKUP(E9,dagsoorttabel1,2,FALSE)</f>
        <v>0</v>
      </c>
      <c r="Q9" s="65">
        <f>L9*dagenperjaar1</f>
        <v>0</v>
      </c>
      <c r="R9" s="56">
        <f>O9*dagenperjaar1</f>
        <v>0</v>
      </c>
      <c r="S9" s="56">
        <f>R9/12</f>
        <v>0</v>
      </c>
    </row>
    <row r="10" spans="1:19" x14ac:dyDescent="0.2">
      <c r="A10" s="52" t="s">
        <v>288</v>
      </c>
      <c r="B10" s="52" t="s">
        <v>420</v>
      </c>
      <c r="C10" s="52" t="s">
        <v>421</v>
      </c>
      <c r="D10" s="52" t="s">
        <v>413</v>
      </c>
      <c r="E10" s="109" t="s">
        <v>12</v>
      </c>
      <c r="F10" s="110">
        <f>gemuurtarief1</f>
        <v>0</v>
      </c>
      <c r="G10" s="65">
        <f>SUMPRODUCT(taakfreqtabel1,uurfactortabel1,kengetaltabel1,object5_opptabel1)</f>
        <v>0</v>
      </c>
      <c r="H10" s="65">
        <f>G10*(1/VLOOKUP(E10,dagsoorttabel1,2,FALSE))</f>
        <v>0</v>
      </c>
      <c r="I10" s="65">
        <f>SUMPRODUCT(dagwerktabel1,taakfreqtabel1,uurfactortabel1,kengetaltabel1,object5_opptabel1)*(1/VLOOKUP(E10,dagsoorttabel1,2,FALSE))</f>
        <v>0</v>
      </c>
      <c r="J10" s="54"/>
      <c r="K10" s="65">
        <f>I10+J10</f>
        <v>0</v>
      </c>
      <c r="L10" s="65">
        <f>G10+J10*VLOOKUP(E10,dagsoorttabel1,2,FALSE)</f>
        <v>0</v>
      </c>
      <c r="M10" s="56">
        <f>SUMPRODUCT(taakfreqtabel1,kengetaltabel1,tarieftabel1,object5_opptabel1)</f>
        <v>0</v>
      </c>
      <c r="N10" s="56">
        <f>F10*J10*VLOOKUP(E10,dagsoorttabel1,2,FALSE)</f>
        <v>0</v>
      </c>
      <c r="O10" s="56">
        <f>SUM(M10:N10)</f>
        <v>0</v>
      </c>
      <c r="P10" s="65">
        <f>K10*dagenperjaar1*VLOOKUP(E10,dagsoorttabel1,2,FALSE)</f>
        <v>0</v>
      </c>
      <c r="Q10" s="65">
        <f>L10*dagenperjaar1</f>
        <v>0</v>
      </c>
      <c r="R10" s="56">
        <f>O10*dagenperjaar1</f>
        <v>0</v>
      </c>
      <c r="S10" s="56">
        <f>R10/12</f>
        <v>0</v>
      </c>
    </row>
    <row r="11" spans="1:19" x14ac:dyDescent="0.2">
      <c r="A11" s="52" t="s">
        <v>293</v>
      </c>
      <c r="B11" s="52" t="s">
        <v>422</v>
      </c>
      <c r="C11" s="52" t="s">
        <v>423</v>
      </c>
      <c r="D11" s="52" t="s">
        <v>413</v>
      </c>
      <c r="E11" s="109" t="s">
        <v>12</v>
      </c>
      <c r="F11" s="110">
        <f>gemuurtarief1</f>
        <v>0</v>
      </c>
      <c r="G11" s="65">
        <f>SUMPRODUCT(taakfreqtabel1,uurfactortabel1,kengetaltabel1,object6_opptabel1)</f>
        <v>0</v>
      </c>
      <c r="H11" s="65">
        <f>G11*(1/VLOOKUP(E11,dagsoorttabel1,2,FALSE))</f>
        <v>0</v>
      </c>
      <c r="I11" s="65">
        <f>SUMPRODUCT(dagwerktabel1,taakfreqtabel1,uurfactortabel1,kengetaltabel1,object6_opptabel1)*(1/VLOOKUP(E11,dagsoorttabel1,2,FALSE))</f>
        <v>0</v>
      </c>
      <c r="J11" s="54"/>
      <c r="K11" s="65">
        <f>I11+J11</f>
        <v>0</v>
      </c>
      <c r="L11" s="65">
        <f>G11+J11*VLOOKUP(E11,dagsoorttabel1,2,FALSE)</f>
        <v>0</v>
      </c>
      <c r="M11" s="56">
        <f>SUMPRODUCT(taakfreqtabel1,kengetaltabel1,tarieftabel1,object6_opptabel1)</f>
        <v>0</v>
      </c>
      <c r="N11" s="56">
        <f>F11*J11*VLOOKUP(E11,dagsoorttabel1,2,FALSE)</f>
        <v>0</v>
      </c>
      <c r="O11" s="56">
        <f>SUM(M11:N11)</f>
        <v>0</v>
      </c>
      <c r="P11" s="65">
        <f>K11*dagenperjaar1*VLOOKUP(E11,dagsoorttabel1,2,FALSE)</f>
        <v>0</v>
      </c>
      <c r="Q11" s="65">
        <f>L11*dagenperjaar1</f>
        <v>0</v>
      </c>
      <c r="R11" s="56">
        <f>O11*dagenperjaar1</f>
        <v>0</v>
      </c>
      <c r="S11" s="56">
        <f>R11/12</f>
        <v>0</v>
      </c>
    </row>
    <row r="12" spans="1:19" x14ac:dyDescent="0.2">
      <c r="A12" s="57" t="s">
        <v>327</v>
      </c>
      <c r="B12" s="57" t="s">
        <v>424</v>
      </c>
      <c r="C12" s="57" t="s">
        <v>425</v>
      </c>
      <c r="D12" s="57" t="s">
        <v>413</v>
      </c>
      <c r="E12" s="111" t="s">
        <v>10</v>
      </c>
      <c r="F12" s="112">
        <f>gemuurtarief1</f>
        <v>0</v>
      </c>
      <c r="G12" s="68">
        <f>SUMPRODUCT(taakfreqtabel1,uurfactortabel1,kengetaltabel1,object7_opptabel1)</f>
        <v>0</v>
      </c>
      <c r="H12" s="68">
        <f>G12*(1/VLOOKUP(E12,dagsoorttabel1,2,FALSE))</f>
        <v>0</v>
      </c>
      <c r="I12" s="68">
        <f>SUMPRODUCT(dagwerktabel1,taakfreqtabel1,uurfactortabel1,kengetaltabel1,object7_opptabel1)*(1/VLOOKUP(E12,dagsoorttabel1,2,FALSE))</f>
        <v>0</v>
      </c>
      <c r="J12" s="59"/>
      <c r="K12" s="68">
        <f>I12+J12</f>
        <v>0</v>
      </c>
      <c r="L12" s="68">
        <f>G12+J12*VLOOKUP(E12,dagsoorttabel1,2,FALSE)</f>
        <v>0</v>
      </c>
      <c r="M12" s="61">
        <f>SUMPRODUCT(taakfreqtabel1,kengetaltabel1,tarieftabel1,object7_opptabel1)</f>
        <v>0</v>
      </c>
      <c r="N12" s="61">
        <f>F12*J12*VLOOKUP(E12,dagsoorttabel1,2,FALSE)</f>
        <v>0</v>
      </c>
      <c r="O12" s="61">
        <f>SUM(M12:N12)</f>
        <v>0</v>
      </c>
      <c r="P12" s="68">
        <f>K12*dagenperjaar1*VLOOKUP(E12,dagsoorttabel1,2,FALSE)</f>
        <v>0</v>
      </c>
      <c r="Q12" s="68">
        <f>L12*dagenperjaar1</f>
        <v>0</v>
      </c>
      <c r="R12" s="61">
        <f>O12*dagenperjaar1</f>
        <v>0</v>
      </c>
      <c r="S12" s="61">
        <f>R12/12</f>
        <v>0</v>
      </c>
    </row>
    <row r="13" spans="1:19" x14ac:dyDescent="0.2">
      <c r="A13" s="72" t="s">
        <v>204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4">
        <f>SUM(P6:P12)</f>
        <v>0</v>
      </c>
      <c r="Q13" s="74">
        <f>SUM(Q6:Q12)</f>
        <v>0</v>
      </c>
      <c r="R13" s="75">
        <f>SUM(R6:R12)</f>
        <v>0</v>
      </c>
      <c r="S13" s="76">
        <f>SUM(S6:S12)</f>
        <v>0</v>
      </c>
    </row>
    <row r="14" spans="1:19" x14ac:dyDescent="0.2">
      <c r="A14" s="77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8"/>
    </row>
    <row r="16" spans="1:19" x14ac:dyDescent="0.2">
      <c r="A16" s="72" t="s">
        <v>426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>
        <f>urenjaartotaalhf1</f>
        <v>0</v>
      </c>
      <c r="Q16" s="74">
        <f>urenjaartotaal1</f>
        <v>0</v>
      </c>
      <c r="R16" s="75">
        <f>prijsjaartotaal1</f>
        <v>0</v>
      </c>
      <c r="S16" s="75">
        <f>prijsmaandtotaal1</f>
        <v>0</v>
      </c>
    </row>
  </sheetData>
  <sheetProtection algorithmName="SHA-512" hashValue="8I8evXen8soFV9x9GXeZ5dcNW2AY7raFUpgbrFT3LvzILc9p4YPJNbSoLoGBvjaFeJV7r7Od9TpsNl+YCXN0rw==" saltValue="qRqF400yvBGt++wXBZD2F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4972-D069-4B5D-8E13-CD3C029E450E}">
  <dimension ref="A1:H12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6" width="12.6328125" customWidth="1"/>
    <col min="7" max="7" width="14.6328125" customWidth="1"/>
    <col min="8" max="8" width="13.6328125" customWidth="1"/>
  </cols>
  <sheetData>
    <row r="1" spans="1:8" x14ac:dyDescent="0.2">
      <c r="A1" s="1" t="str">
        <f>CONCATENATE("Bijlage F.3.5: ",tabeltype," totaalblad objecten")</f>
        <v>Bijlage F.3.5: Invultabel totaalblad objecten</v>
      </c>
    </row>
    <row r="3" spans="1:8" ht="37.799999999999997" x14ac:dyDescent="0.2">
      <c r="A3" s="40" t="s">
        <v>207</v>
      </c>
      <c r="B3" s="40" t="s">
        <v>398</v>
      </c>
      <c r="C3" s="40" t="s">
        <v>399</v>
      </c>
      <c r="D3" s="40" t="s">
        <v>400</v>
      </c>
      <c r="E3" s="40" t="s">
        <v>409</v>
      </c>
      <c r="F3" s="40" t="s">
        <v>168</v>
      </c>
      <c r="G3" s="40" t="s">
        <v>169</v>
      </c>
      <c r="H3" s="40" t="s">
        <v>427</v>
      </c>
    </row>
    <row r="4" spans="1:8" x14ac:dyDescent="0.2">
      <c r="A4" s="47" t="s">
        <v>217</v>
      </c>
      <c r="B4" s="47" t="s">
        <v>411</v>
      </c>
      <c r="C4" s="47" t="s">
        <v>412</v>
      </c>
      <c r="D4" s="47" t="s">
        <v>413</v>
      </c>
      <c r="E4" s="62">
        <f>objecturenhf1_1</f>
        <v>0</v>
      </c>
      <c r="F4" s="62">
        <f>objecturen1_1</f>
        <v>0</v>
      </c>
      <c r="G4" s="51">
        <f>objectprijs1_1</f>
        <v>0</v>
      </c>
      <c r="H4" s="51">
        <f>G4/12</f>
        <v>0</v>
      </c>
    </row>
    <row r="5" spans="1:8" x14ac:dyDescent="0.2">
      <c r="A5" s="52" t="s">
        <v>251</v>
      </c>
      <c r="B5" s="52" t="s">
        <v>414</v>
      </c>
      <c r="C5" s="52" t="s">
        <v>415</v>
      </c>
      <c r="D5" s="52" t="s">
        <v>413</v>
      </c>
      <c r="E5" s="65">
        <f>objecturenhf2_1</f>
        <v>0</v>
      </c>
      <c r="F5" s="65">
        <f>objecturen2_1</f>
        <v>0</v>
      </c>
      <c r="G5" s="56">
        <f>objectprijs2_1</f>
        <v>0</v>
      </c>
      <c r="H5" s="56">
        <f>G5/12</f>
        <v>0</v>
      </c>
    </row>
    <row r="6" spans="1:8" x14ac:dyDescent="0.2">
      <c r="A6" s="52" t="s">
        <v>276</v>
      </c>
      <c r="B6" s="52" t="s">
        <v>416</v>
      </c>
      <c r="C6" s="52" t="s">
        <v>417</v>
      </c>
      <c r="D6" s="52" t="s">
        <v>413</v>
      </c>
      <c r="E6" s="65">
        <f>objecturenhf3_1</f>
        <v>0</v>
      </c>
      <c r="F6" s="65">
        <f>objecturen3_1</f>
        <v>0</v>
      </c>
      <c r="G6" s="56">
        <f>objectprijs3_1</f>
        <v>0</v>
      </c>
      <c r="H6" s="56">
        <f>G6/12</f>
        <v>0</v>
      </c>
    </row>
    <row r="7" spans="1:8" x14ac:dyDescent="0.2">
      <c r="A7" s="52" t="s">
        <v>282</v>
      </c>
      <c r="B7" s="52" t="s">
        <v>418</v>
      </c>
      <c r="C7" s="52" t="s">
        <v>419</v>
      </c>
      <c r="D7" s="52" t="s">
        <v>413</v>
      </c>
      <c r="E7" s="65">
        <f>objecturenhf4_1</f>
        <v>0</v>
      </c>
      <c r="F7" s="65">
        <f>objecturen4_1</f>
        <v>0</v>
      </c>
      <c r="G7" s="56">
        <f>objectprijs4_1</f>
        <v>0</v>
      </c>
      <c r="H7" s="56">
        <f>G7/12</f>
        <v>0</v>
      </c>
    </row>
    <row r="8" spans="1:8" x14ac:dyDescent="0.2">
      <c r="A8" s="52" t="s">
        <v>288</v>
      </c>
      <c r="B8" s="52" t="s">
        <v>420</v>
      </c>
      <c r="C8" s="52" t="s">
        <v>421</v>
      </c>
      <c r="D8" s="52" t="s">
        <v>413</v>
      </c>
      <c r="E8" s="65">
        <f>objecturenhf5_1</f>
        <v>0</v>
      </c>
      <c r="F8" s="65">
        <f>objecturen5_1</f>
        <v>0</v>
      </c>
      <c r="G8" s="56">
        <f>objectprijs5_1</f>
        <v>0</v>
      </c>
      <c r="H8" s="56">
        <f>G8/12</f>
        <v>0</v>
      </c>
    </row>
    <row r="9" spans="1:8" x14ac:dyDescent="0.2">
      <c r="A9" s="52" t="s">
        <v>293</v>
      </c>
      <c r="B9" s="52" t="s">
        <v>422</v>
      </c>
      <c r="C9" s="52" t="s">
        <v>423</v>
      </c>
      <c r="D9" s="52" t="s">
        <v>413</v>
      </c>
      <c r="E9" s="65">
        <f>objecturenhf6_1</f>
        <v>0</v>
      </c>
      <c r="F9" s="65">
        <f>objecturen6_1</f>
        <v>0</v>
      </c>
      <c r="G9" s="56">
        <f>objectprijs6_1</f>
        <v>0</v>
      </c>
      <c r="H9" s="56">
        <f>G9/12</f>
        <v>0</v>
      </c>
    </row>
    <row r="10" spans="1:8" x14ac:dyDescent="0.2">
      <c r="A10" s="57" t="s">
        <v>327</v>
      </c>
      <c r="B10" s="57" t="s">
        <v>424</v>
      </c>
      <c r="C10" s="57" t="s">
        <v>425</v>
      </c>
      <c r="D10" s="57" t="s">
        <v>413</v>
      </c>
      <c r="E10" s="68">
        <f>objecturenhf7_1</f>
        <v>0</v>
      </c>
      <c r="F10" s="68">
        <f>objecturen7_1</f>
        <v>0</v>
      </c>
      <c r="G10" s="61">
        <f>objectprijs7_1</f>
        <v>0</v>
      </c>
      <c r="H10" s="61">
        <f>G10/12</f>
        <v>0</v>
      </c>
    </row>
    <row r="12" spans="1:8" x14ac:dyDescent="0.2">
      <c r="A12" s="72" t="s">
        <v>428</v>
      </c>
      <c r="B12" s="73"/>
      <c r="C12" s="73"/>
      <c r="D12" s="73"/>
      <c r="E12" s="74">
        <f>SUM(E4:E10)</f>
        <v>0</v>
      </c>
      <c r="F12" s="74">
        <f>SUM(F4:F10)</f>
        <v>0</v>
      </c>
      <c r="G12" s="75">
        <f>SUM(G4:G10)</f>
        <v>0</v>
      </c>
      <c r="H12" s="75">
        <f>SUM(H4:H10)</f>
        <v>0</v>
      </c>
    </row>
  </sheetData>
  <sheetProtection algorithmName="SHA-512" hashValue="MR95aDYwAc56WmJLSEf1ZkcHJuWHbmabbBlE7LV+MCw71Gd9Pjt0Yv0lxYE8sZkRRebrl9UzkNBcCsyU3vLtGg==" saltValue="W1y/jNIpVKo6k/1c0i8KW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FB40-112B-4284-B2F0-ED533AEC3F70}">
  <dimension ref="A1:L9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F.3.6: ",tabeltype," additioneel werk")</f>
        <v>Bijlage F.3.6: Invultabel additioneel werk</v>
      </c>
    </row>
    <row r="3" spans="1:12" ht="37.799999999999997" x14ac:dyDescent="0.2">
      <c r="A3" s="40" t="s">
        <v>429</v>
      </c>
      <c r="B3" s="40" t="s">
        <v>7</v>
      </c>
      <c r="C3" s="40" t="s">
        <v>430</v>
      </c>
      <c r="D3" s="40" t="s">
        <v>90</v>
      </c>
      <c r="E3" s="40" t="s">
        <v>93</v>
      </c>
      <c r="F3" s="40" t="s">
        <v>431</v>
      </c>
      <c r="G3" s="40" t="s">
        <v>432</v>
      </c>
      <c r="H3" s="40" t="s">
        <v>433</v>
      </c>
      <c r="I3" s="40" t="s">
        <v>434</v>
      </c>
      <c r="J3" s="40" t="s">
        <v>435</v>
      </c>
      <c r="K3" s="40" t="s">
        <v>169</v>
      </c>
      <c r="L3" s="40" t="s">
        <v>410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95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113" t="s">
        <v>436</v>
      </c>
      <c r="B6" s="113" t="s">
        <v>24</v>
      </c>
      <c r="C6" s="114">
        <f>IF(ISBLANK(B6),0,IF(ISERROR(VALUE(B6)),VLOOKUP(B6,dagsoorttabel1,2,FALSE)*dagenperjaar1,VALUE(B6)))</f>
        <v>1</v>
      </c>
      <c r="D6" s="113" t="s">
        <v>437</v>
      </c>
      <c r="E6" s="113" t="s">
        <v>438</v>
      </c>
      <c r="F6" s="115">
        <v>164.04</v>
      </c>
      <c r="G6" s="116"/>
      <c r="H6" s="117"/>
      <c r="I6" s="118"/>
      <c r="J6" s="119">
        <f>IF(ISBLANK(H6),0,F6 / ROUND(H6,4) * ROUND(G6,2))</f>
        <v>0</v>
      </c>
      <c r="K6" s="119">
        <f>C6*J6</f>
        <v>0</v>
      </c>
      <c r="L6" s="119">
        <f>K6/12</f>
        <v>0</v>
      </c>
    </row>
    <row r="7" spans="1:12" x14ac:dyDescent="0.2">
      <c r="A7" s="72" t="s">
        <v>204</v>
      </c>
      <c r="B7" s="73"/>
      <c r="C7" s="73"/>
      <c r="D7" s="73"/>
      <c r="E7" s="73"/>
      <c r="F7" s="73"/>
      <c r="G7" s="73"/>
      <c r="H7" s="73"/>
      <c r="I7" s="73"/>
      <c r="J7" s="73"/>
      <c r="K7" s="75">
        <f>SUM(K6:K6)</f>
        <v>0</v>
      </c>
      <c r="L7" s="120">
        <f>K7/12</f>
        <v>0</v>
      </c>
    </row>
    <row r="9" spans="1:12" x14ac:dyDescent="0.2">
      <c r="A9" s="72" t="s">
        <v>439</v>
      </c>
      <c r="B9" s="73"/>
      <c r="C9" s="73"/>
      <c r="D9" s="73"/>
      <c r="E9" s="73"/>
      <c r="F9" s="73"/>
      <c r="G9" s="73"/>
      <c r="H9" s="73"/>
      <c r="I9" s="73"/>
      <c r="J9" s="73"/>
      <c r="K9" s="75">
        <f>prijsjaaradditioneel1</f>
        <v>0</v>
      </c>
      <c r="L9" s="120">
        <f>K9/12</f>
        <v>0</v>
      </c>
    </row>
  </sheetData>
  <sheetProtection algorithmName="SHA-512" hashValue="62CLL5hOtu1/zM1dv/eLzDWnZ6Z8Ta9qY8Mp2/k8SSWMgbUE7PPkFMMG2n2Wk/ltQvA8A9TYYBsXY7hF+QH/2Q==" saltValue="/rsj6ZbxxfVWhwnGfEW7r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480</vt:i4>
      </vt:variant>
    </vt:vector>
  </HeadingPairs>
  <TitlesOfParts>
    <vt:vector size="493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</vt:lpstr>
      <vt:lpstr>Afroep incidenteel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Objecten!Afdruktitels</vt:lpstr>
      <vt:lpstr>Objectinformatie!Afdruktitels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catdw_1_BZV_10</vt:lpstr>
      <vt:lpstr>catdw_1_DHB_1</vt:lpstr>
      <vt:lpstr>catdw_1_DHV_40</vt:lpstr>
      <vt:lpstr>catdw_1_DHV_51</vt:lpstr>
      <vt:lpstr>catdw_1_EHB_1</vt:lpstr>
      <vt:lpstr>catdw_1_EHV_40</vt:lpstr>
      <vt:lpstr>catdw_1_EHV_51</vt:lpstr>
      <vt:lpstr>catdw_1_EZB_1</vt:lpstr>
      <vt:lpstr>catdw_1_EZV_40</vt:lpstr>
      <vt:lpstr>catdw_1_EZV_51</vt:lpstr>
      <vt:lpstr>catdw_1_FHB_1</vt:lpstr>
      <vt:lpstr>catdw_1_FHV_40</vt:lpstr>
      <vt:lpstr>catdw_1_FHV_51</vt:lpstr>
      <vt:lpstr>catdw_1_GHB_1</vt:lpstr>
      <vt:lpstr>catdw_1_GHV_10</vt:lpstr>
      <vt:lpstr>catdw_1_GHV_40</vt:lpstr>
      <vt:lpstr>catdw_1_GHV_51</vt:lpstr>
      <vt:lpstr>catdw_1_HHB_1</vt:lpstr>
      <vt:lpstr>catdw_1_HHV_51</vt:lpstr>
      <vt:lpstr>catdw_1_KLHB_1</vt:lpstr>
      <vt:lpstr>catdw_1_KLHV_40</vt:lpstr>
      <vt:lpstr>catdw_1_KLHV_51</vt:lpstr>
      <vt:lpstr>catdw_1_OHB_1</vt:lpstr>
      <vt:lpstr>catdw_1_OHV_51</vt:lpstr>
      <vt:lpstr>catdw_1_PHB_1</vt:lpstr>
      <vt:lpstr>catdw_1_PHV_51</vt:lpstr>
      <vt:lpstr>catdw_1_RHB_1</vt:lpstr>
      <vt:lpstr>catdw_1_RHV_51</vt:lpstr>
      <vt:lpstr>catdw_1_SHB_1</vt:lpstr>
      <vt:lpstr>catdw_1_SHV_40</vt:lpstr>
      <vt:lpstr>catdw_1_SHV_51</vt:lpstr>
      <vt:lpstr>catdw_1_THB_1</vt:lpstr>
      <vt:lpstr>catdw_1_THV_40</vt:lpstr>
      <vt:lpstr>catdw_1_THV_51</vt:lpstr>
      <vt:lpstr>catdw_1_VHB_1</vt:lpstr>
      <vt:lpstr>catdw_1_VHV_40</vt:lpstr>
      <vt:lpstr>catdw_1_VHV_51</vt:lpstr>
      <vt:lpstr>catdw_1_VZB_1</vt:lpstr>
      <vt:lpstr>catdw_1_VZV_40</vt:lpstr>
      <vt:lpstr>catfd_1_BHB_1</vt:lpstr>
      <vt:lpstr>catfd_1_BHV_40</vt:lpstr>
      <vt:lpstr>catfd_1_BZB_1</vt:lpstr>
      <vt:lpstr>catfd_1_BZV_10</vt:lpstr>
      <vt:lpstr>catfd_1_DHB_1</vt:lpstr>
      <vt:lpstr>catfd_1_DHV_40</vt:lpstr>
      <vt:lpstr>catfd_1_DHV_51</vt:lpstr>
      <vt:lpstr>catfd_1_EHB_1</vt:lpstr>
      <vt:lpstr>catfd_1_EHV_40</vt:lpstr>
      <vt:lpstr>catfd_1_EHV_51</vt:lpstr>
      <vt:lpstr>catfd_1_EZB_1</vt:lpstr>
      <vt:lpstr>catfd_1_EZV_40</vt:lpstr>
      <vt:lpstr>catfd_1_EZV_51</vt:lpstr>
      <vt:lpstr>catfd_1_FHB_1</vt:lpstr>
      <vt:lpstr>catfd_1_FHV_40</vt:lpstr>
      <vt:lpstr>catfd_1_FHV_51</vt:lpstr>
      <vt:lpstr>catfd_1_GHB_1</vt:lpstr>
      <vt:lpstr>catfd_1_GHV_10</vt:lpstr>
      <vt:lpstr>catfd_1_GHV_40</vt:lpstr>
      <vt:lpstr>catfd_1_GHV_51</vt:lpstr>
      <vt:lpstr>catfd_1_HHB_1</vt:lpstr>
      <vt:lpstr>catfd_1_HHV_51</vt:lpstr>
      <vt:lpstr>catfd_1_KLHB_1</vt:lpstr>
      <vt:lpstr>catfd_1_KLHV_40</vt:lpstr>
      <vt:lpstr>catfd_1_KLHV_51</vt:lpstr>
      <vt:lpstr>catfd_1_OHB_1</vt:lpstr>
      <vt:lpstr>catfd_1_OHV_51</vt:lpstr>
      <vt:lpstr>catfd_1_PHB_1</vt:lpstr>
      <vt:lpstr>catfd_1_PHV_51</vt:lpstr>
      <vt:lpstr>catfd_1_RHB_1</vt:lpstr>
      <vt:lpstr>catfd_1_RHV_51</vt:lpstr>
      <vt:lpstr>catfd_1_SHB_1</vt:lpstr>
      <vt:lpstr>catfd_1_SHV_40</vt:lpstr>
      <vt:lpstr>catfd_1_SHV_51</vt:lpstr>
      <vt:lpstr>catfd_1_THB_1</vt:lpstr>
      <vt:lpstr>catfd_1_THV_40</vt:lpstr>
      <vt:lpstr>catfd_1_THV_51</vt:lpstr>
      <vt:lpstr>catfd_1_VHB_1</vt:lpstr>
      <vt:lpstr>catfd_1_VHV_40</vt:lpstr>
      <vt:lpstr>catfd_1_VHV_51</vt:lpstr>
      <vt:lpstr>catfd_1_VZB_1</vt:lpstr>
      <vt:lpstr>catfd_1_VZV_40</vt:lpstr>
      <vt:lpstr>catpn_1_BHB_1</vt:lpstr>
      <vt:lpstr>catpn_1_BHV_40</vt:lpstr>
      <vt:lpstr>catpn_1_BZB_1</vt:lpstr>
      <vt:lpstr>catpn_1_BZV_10</vt:lpstr>
      <vt:lpstr>catpn_1_DHB_1</vt:lpstr>
      <vt:lpstr>catpn_1_DHV_40</vt:lpstr>
      <vt:lpstr>catpn_1_DHV_51</vt:lpstr>
      <vt:lpstr>catpn_1_EHB_1</vt:lpstr>
      <vt:lpstr>catpn_1_EHV_40</vt:lpstr>
      <vt:lpstr>catpn_1_EHV_51</vt:lpstr>
      <vt:lpstr>catpn_1_EZB_1</vt:lpstr>
      <vt:lpstr>catpn_1_EZV_40</vt:lpstr>
      <vt:lpstr>catpn_1_EZV_51</vt:lpstr>
      <vt:lpstr>catpn_1_FHB_1</vt:lpstr>
      <vt:lpstr>catpn_1_FHV_40</vt:lpstr>
      <vt:lpstr>catpn_1_FHV_51</vt:lpstr>
      <vt:lpstr>catpn_1_GHB_1</vt:lpstr>
      <vt:lpstr>catpn_1_GHV_10</vt:lpstr>
      <vt:lpstr>catpn_1_GHV_40</vt:lpstr>
      <vt:lpstr>catpn_1_GHV_51</vt:lpstr>
      <vt:lpstr>catpn_1_HHB_1</vt:lpstr>
      <vt:lpstr>catpn_1_HHV_51</vt:lpstr>
      <vt:lpstr>catpn_1_KLHB_1</vt:lpstr>
      <vt:lpstr>catpn_1_KLHV_40</vt:lpstr>
      <vt:lpstr>catpn_1_KLHV_51</vt:lpstr>
      <vt:lpstr>catpn_1_OHB_1</vt:lpstr>
      <vt:lpstr>catpn_1_OHV_51</vt:lpstr>
      <vt:lpstr>catpn_1_PHB_1</vt:lpstr>
      <vt:lpstr>catpn_1_PHV_51</vt:lpstr>
      <vt:lpstr>catpn_1_RHB_1</vt:lpstr>
      <vt:lpstr>catpn_1_RHV_51</vt:lpstr>
      <vt:lpstr>catpn_1_SHB_1</vt:lpstr>
      <vt:lpstr>catpn_1_SHV_40</vt:lpstr>
      <vt:lpstr>catpn_1_SHV_51</vt:lpstr>
      <vt:lpstr>catpn_1_THB_1</vt:lpstr>
      <vt:lpstr>catpn_1_THV_40</vt:lpstr>
      <vt:lpstr>catpn_1_THV_51</vt:lpstr>
      <vt:lpstr>catpn_1_VHB_1</vt:lpstr>
      <vt:lpstr>catpn_1_VHV_40</vt:lpstr>
      <vt:lpstr>catpn_1_VHV_51</vt:lpstr>
      <vt:lpstr>catpn_1_VZB_1</vt:lpstr>
      <vt:lpstr>catpn_1_VZV_40</vt:lpstr>
      <vt:lpstr>cattf_1_BHB_1</vt:lpstr>
      <vt:lpstr>cattf_1_BHV_40</vt:lpstr>
      <vt:lpstr>cattf_1_BZB_1</vt:lpstr>
      <vt:lpstr>cattf_1_BZV_10</vt:lpstr>
      <vt:lpstr>cattf_1_DHB_1</vt:lpstr>
      <vt:lpstr>cattf_1_DHV_40</vt:lpstr>
      <vt:lpstr>cattf_1_DHV_51</vt:lpstr>
      <vt:lpstr>cattf_1_EHB_1</vt:lpstr>
      <vt:lpstr>cattf_1_EHV_40</vt:lpstr>
      <vt:lpstr>cattf_1_EHV_51</vt:lpstr>
      <vt:lpstr>cattf_1_EZB_1</vt:lpstr>
      <vt:lpstr>cattf_1_EZV_40</vt:lpstr>
      <vt:lpstr>cattf_1_EZV_51</vt:lpstr>
      <vt:lpstr>cattf_1_FHB_1</vt:lpstr>
      <vt:lpstr>cattf_1_FHV_40</vt:lpstr>
      <vt:lpstr>cattf_1_FHV_51</vt:lpstr>
      <vt:lpstr>cattf_1_GHB_1</vt:lpstr>
      <vt:lpstr>cattf_1_GHV_10</vt:lpstr>
      <vt:lpstr>cattf_1_GHV_40</vt:lpstr>
      <vt:lpstr>cattf_1_GHV_51</vt:lpstr>
      <vt:lpstr>cattf_1_HHB_1</vt:lpstr>
      <vt:lpstr>cattf_1_HHV_51</vt:lpstr>
      <vt:lpstr>cattf_1_KLHB_1</vt:lpstr>
      <vt:lpstr>cattf_1_KLHV_40</vt:lpstr>
      <vt:lpstr>cattf_1_KLHV_51</vt:lpstr>
      <vt:lpstr>cattf_1_OHB_1</vt:lpstr>
      <vt:lpstr>cattf_1_OHV_51</vt:lpstr>
      <vt:lpstr>cattf_1_PHB_1</vt:lpstr>
      <vt:lpstr>cattf_1_PHV_51</vt:lpstr>
      <vt:lpstr>cattf_1_RHB_1</vt:lpstr>
      <vt:lpstr>cattf_1_RHV_51</vt:lpstr>
      <vt:lpstr>cattf_1_SHB_1</vt:lpstr>
      <vt:lpstr>cattf_1_SHV_40</vt:lpstr>
      <vt:lpstr>cattf_1_SHV_51</vt:lpstr>
      <vt:lpstr>cattf_1_THB_1</vt:lpstr>
      <vt:lpstr>cattf_1_THV_40</vt:lpstr>
      <vt:lpstr>cattf_1_THV_51</vt:lpstr>
      <vt:lpstr>cattf_1_VHB_1</vt:lpstr>
      <vt:lpstr>cattf_1_VHV_40</vt:lpstr>
      <vt:lpstr>cattf_1_VHV_51</vt:lpstr>
      <vt:lpstr>cattf_1_VZB_1</vt:lpstr>
      <vt:lpstr>cattf_1_VZV_40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object7_urendaghf1</vt:lpstr>
      <vt:lpstr>object7_urenjaar1</vt:lpstr>
      <vt:lpstr>objectprijs1_1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objecturen1_1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objecturenhf1_1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prijsjaarafroep3</vt:lpstr>
      <vt:lpstr>prijsjaartotaal</vt:lpstr>
      <vt:lpstr>prijsjaartotaal1</vt:lpstr>
      <vt:lpstr>prijsjaartotaaloverzicht</vt:lpstr>
      <vt:lpstr>prijsmaandtotaal1</vt:lpstr>
      <vt:lpstr>prodnorm0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tarieftabel1</vt:lpstr>
      <vt:lpstr>TariefUitvoering1</vt:lpstr>
      <vt:lpstr>TariefUitvoering2</vt:lpstr>
      <vt:lpstr>TariefUitvoering3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uurtarief4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2024-11-07T13:24:31Z</dcterms:created>
  <dcterms:modified xsi:type="dcterms:W3CDTF">2024-11-07T13:34:26Z</dcterms:modified>
</cp:coreProperties>
</file>