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SRO Amersfoort en Haarlem\Aanbesteding 2024\Correspondentie\"/>
    </mc:Choice>
  </mc:AlternateContent>
  <xr:revisionPtr revIDLastSave="0" documentId="8_{92E558C9-E235-4C5A-86D9-D554F5AE6D6E}" xr6:coauthVersionLast="47" xr6:coauthVersionMax="47" xr10:uidLastSave="{00000000-0000-0000-0000-000000000000}"/>
  <bookViews>
    <workbookView xWindow="6108" yWindow="2460" windowWidth="23040" windowHeight="12168" firstSheet="6" activeTab="16" xr2:uid="{4AA07C74-8EE7-474B-BF85-C0A2345D3D31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Ruimten werkdag vakantie" sheetId="6" r:id="rId6"/>
    <sheet name="Ruimten weekenddag" sheetId="7" r:id="rId7"/>
    <sheet name="Objectinformatie" sheetId="8" r:id="rId8"/>
    <sheet name="Objecten" sheetId="9" r:id="rId9"/>
    <sheet name="Totaalblad Objecten" sheetId="10" r:id="rId10"/>
    <sheet name="Additioneel werk" sheetId="11" r:id="rId11"/>
    <sheet name="Additioneel werk per locatie" sheetId="12" r:id="rId12"/>
    <sheet name="Afroep" sheetId="13" r:id="rId13"/>
    <sheet name="Afroep incidenteel" sheetId="14" r:id="rId14"/>
    <sheet name="Glas" sheetId="15" r:id="rId15"/>
    <sheet name="Glas per locatie" sheetId="16" r:id="rId16"/>
    <sheet name="Totaal" sheetId="17" r:id="rId17"/>
  </sheets>
  <definedNames>
    <definedName name="_xlnm._FilterDatabase" localSheetId="6" hidden="1">'Ruimten weekenddag'!$A$3:$U$142</definedName>
    <definedName name="_xlnm._FilterDatabase" localSheetId="4" hidden="1">'Ruimten werkdag'!$A$3:$U$578</definedName>
    <definedName name="_xlnm._FilterDatabase" localSheetId="5" hidden="1">'Ruimten werkdag vakantie'!$A$3:$U$100</definedName>
    <definedName name="_xlnm.Print_Titles" localSheetId="10">'Additioneel werk'!$1:$3</definedName>
    <definedName name="_xlnm.Print_Titles" localSheetId="11">'Additioneel werk per locatie'!$1:$3</definedName>
    <definedName name="_xlnm.Print_Titles" localSheetId="12">Afroep!$1:$3</definedName>
    <definedName name="_xlnm.Print_Titles" localSheetId="13">'Afroep incidenteel'!$1:$3</definedName>
    <definedName name="_xlnm.Print_Titles" localSheetId="2">Categorienormen!$1:$3</definedName>
    <definedName name="_xlnm.Print_Titles" localSheetId="14">Glas!$1:$3</definedName>
    <definedName name="_xlnm.Print_Titles" localSheetId="15">'Glas per locatie'!$1:$3</definedName>
    <definedName name="_xlnm.Print_Titles" localSheetId="8">Objecten!$1:$3</definedName>
    <definedName name="_xlnm.Print_Titles" localSheetId="7">Objectinformatie!$A:$D,Objectinformatie!$1:$4</definedName>
    <definedName name="_xlnm.Print_Titles" localSheetId="3">'Regulier werk'!$1:$3</definedName>
    <definedName name="_xlnm.Print_Titles" localSheetId="6">'Ruimten weekenddag'!$1:$3</definedName>
    <definedName name="_xlnm.Print_Titles" localSheetId="4">'Ruimten werkdag'!$1:$3</definedName>
    <definedName name="_xlnm.Print_Titles" localSheetId="5">'Ruimten werkdag vakantie'!$1:$3</definedName>
    <definedName name="_xlnm.Print_Titles" localSheetId="1">Tariefopbouw!$A:$A,Tariefopbouw!$1:$2</definedName>
    <definedName name="_xlnm.Print_Titles" localSheetId="16">Totaal!$1:$3</definedName>
    <definedName name="_xlnm.Print_Titles" localSheetId="9">'Totaalblad Objecten'!$1:$3</definedName>
    <definedName name="catdw_1_AHB_1">Categorienormen!$F$6</definedName>
    <definedName name="catdw_1_AHV_12">Categorienormen!$F$7</definedName>
    <definedName name="catdw_1_BHB_1">Categorienormen!$F$67</definedName>
    <definedName name="catdw_1_BHV_30">Categorienormen!$F$68</definedName>
    <definedName name="catdw_1_BHV_35">Categorienormen!$F$69</definedName>
    <definedName name="catdw_1_BHV_40">Categorienormen!$F$70</definedName>
    <definedName name="catdw_1_BHV_45">Categorienormen!$F$71</definedName>
    <definedName name="catdw_1_DHB_1">Categorienormen!$F$41</definedName>
    <definedName name="catdw_1_DHV_30">Categorienormen!$F$42</definedName>
    <definedName name="catdw_1_DHV_35">Categorienormen!$F$43</definedName>
    <definedName name="catdw_1_DHV_40">Categorienormen!$F$44</definedName>
    <definedName name="catdw_1_DHV_45">Categorienormen!$F$45</definedName>
    <definedName name="catdw_1_EHB_1">Categorienormen!$F$8</definedName>
    <definedName name="catdw_1_EHV_35">Categorienormen!$F$9</definedName>
    <definedName name="catdw_1_EHV_40">Categorienormen!$F$10</definedName>
    <definedName name="catdw_1_EHV_45">Categorienormen!$F$11</definedName>
    <definedName name="catdw_1_EHV_51">Categorienormen!$F$12</definedName>
    <definedName name="catdw_1_EZB_1">Categorienormen!$F$13</definedName>
    <definedName name="catdw_1_EZV_40">Categorienormen!$F$14</definedName>
    <definedName name="catdw_1_FHB_1">Categorienormen!$F$15</definedName>
    <definedName name="catdw_1_FHV_30">Categorienormen!$F$16</definedName>
    <definedName name="catdw_1_FHV_35">Categorienormen!$F$17</definedName>
    <definedName name="catdw_1_FHV_40">Categorienormen!$F$18</definedName>
    <definedName name="catdw_1_GHB_1">Categorienormen!$F$19</definedName>
    <definedName name="catdw_1_GHV_30">Categorienormen!$F$20</definedName>
    <definedName name="catdw_1_GHV_35">Categorienormen!$F$21</definedName>
    <definedName name="catdw_1_GHV_40">Categorienormen!$F$22</definedName>
    <definedName name="catdw_1_GHV_45">Categorienormen!$F$23</definedName>
    <definedName name="catdw_1_KLHB_1">Categorienormen!$F$46</definedName>
    <definedName name="catdw_1_KLHV_30">Categorienormen!$F$47</definedName>
    <definedName name="catdw_1_KLHV_35">Categorienormen!$F$48</definedName>
    <definedName name="catdw_1_KLHV_40">Categorienormen!$F$49</definedName>
    <definedName name="catdw_1_KLHV_45">Categorienormen!$F$50</definedName>
    <definedName name="catdw_1_LHB_1">Categorienormen!$F$72</definedName>
    <definedName name="catdw_1_LHV_40">Categorienormen!$F$73</definedName>
    <definedName name="catdw_1_QHB_1">Categorienormen!$F$74</definedName>
    <definedName name="catdw_1_QHV_40">Categorienormen!$F$75</definedName>
    <definedName name="catdw_1_RHB_1">Categorienormen!$F$24</definedName>
    <definedName name="catdw_1_RHV_40">Categorienormen!$F$25</definedName>
    <definedName name="catdw_1_SHB_1">Categorienormen!$F$51</definedName>
    <definedName name="catdw_1_SHV_30">Categorienormen!$F$52</definedName>
    <definedName name="catdw_1_SHV_35">Categorienormen!$F$53</definedName>
    <definedName name="catdw_1_SHV_40">Categorienormen!$F$54</definedName>
    <definedName name="catdw_1_SHV_45">Categorienormen!$F$55</definedName>
    <definedName name="catdw_1_THB_1">Categorienormen!$F$26</definedName>
    <definedName name="catdw_1_THV_30">Categorienormen!$F$27</definedName>
    <definedName name="catdw_1_THV_35">Categorienormen!$F$28</definedName>
    <definedName name="catdw_1_THV_40">Categorienormen!$F$29</definedName>
    <definedName name="catdw_1_THV_45">Categorienormen!$F$30</definedName>
    <definedName name="catdw_1_TRHB_1">Categorienormen!$F$31</definedName>
    <definedName name="catdw_1_TRHV_12">Categorienormen!$F$32</definedName>
    <definedName name="catdw_1_VHB_1">Categorienormen!$F$33</definedName>
    <definedName name="catdw_1_VHV_30">Categorienormen!$F$34</definedName>
    <definedName name="catdw_1_VHV_35">Categorienormen!$F$35</definedName>
    <definedName name="catdw_1_VHV_40">Categorienormen!$F$36</definedName>
    <definedName name="catdw_1_VHV_45">Categorienormen!$F$37</definedName>
    <definedName name="catdw_1_VHV_51">Categorienormen!$F$38</definedName>
    <definedName name="catdw_1_VZB_1">Categorienormen!$F$39</definedName>
    <definedName name="catdw_1_VZV_30">Categorienormen!$F$40</definedName>
    <definedName name="catdw_1_ZDHB_1">Categorienormen!$F$56</definedName>
    <definedName name="catdw_1_ZDHV_51">Categorienormen!$F$57</definedName>
    <definedName name="catdw_1_ZKLHB_1">Categorienormen!$F$58</definedName>
    <definedName name="catdw_1_ZKLHV_40">Categorienormen!$F$59</definedName>
    <definedName name="catdw_1_ZKLHV_51">Categorienormen!$F$60</definedName>
    <definedName name="catdw_1_ZSHB_1">Categorienormen!$F$61</definedName>
    <definedName name="catdw_1_ZSHV_40">Categorienormen!$F$62</definedName>
    <definedName name="catdw_1_ZSHV_51">Categorienormen!$F$63</definedName>
    <definedName name="catdw_1_ZVHB_1">Categorienormen!$F$64</definedName>
    <definedName name="catdw_1_ZVHV_40">Categorienormen!$F$65</definedName>
    <definedName name="catdw_1_ZVHV_51">Categorienormen!$F$66</definedName>
    <definedName name="catdw_2_VBHB_1">Categorienormen!$F$87</definedName>
    <definedName name="catdw_2_VDHB_1">Categorienormen!$F$84</definedName>
    <definedName name="catdw_2_VEHB_1">Categorienormen!$F$78</definedName>
    <definedName name="catdw_2_VFHB_1">Categorienormen!$F$79</definedName>
    <definedName name="catdw_2_VGHB_1">Categorienormen!$F$80</definedName>
    <definedName name="catdw_2_VKLHB_1">Categorienormen!$F$85</definedName>
    <definedName name="catdw_2_VLHB_1">Categorienormen!$F$88</definedName>
    <definedName name="catdw_2_VRHB_1">Categorienormen!$F$81</definedName>
    <definedName name="catdw_2_VSHB_1">Categorienormen!$F$86</definedName>
    <definedName name="catdw_2_VTHB_1">Categorienormen!$F$82</definedName>
    <definedName name="catdw_2_VVHB_1">Categorienormen!$F$83</definedName>
    <definedName name="catdw_3_WBHB_1">Categorienormen!$F$100</definedName>
    <definedName name="catdw_3_WDHB_1">Categorienormen!$F$97</definedName>
    <definedName name="catdw_3_WEHB_1">Categorienormen!$F$91</definedName>
    <definedName name="catdw_3_WFHB_1">Categorienormen!$F$92</definedName>
    <definedName name="catdw_3_WGHB_1">Categorienormen!$F$93</definedName>
    <definedName name="catdw_3_WKLHB_1">Categorienormen!$F$98</definedName>
    <definedName name="catdw_3_WLHB_1">Categorienormen!$F$101</definedName>
    <definedName name="catdw_3_WRHB_1">Categorienormen!$F$94</definedName>
    <definedName name="catdw_3_WSHB_1">Categorienormen!$F$99</definedName>
    <definedName name="catdw_3_WTHB_1">Categorienormen!$F$95</definedName>
    <definedName name="catdw_3_WVHB_1">Categorienormen!$F$96</definedName>
    <definedName name="catfd_1_AHB_1">Categorienormen!$C$6</definedName>
    <definedName name="catfd_1_AHV_12">Categorienormen!$C$7</definedName>
    <definedName name="catfd_1_BHB_1">Categorienormen!$C$67</definedName>
    <definedName name="catfd_1_BHV_30">Categorienormen!$C$68</definedName>
    <definedName name="catfd_1_BHV_35">Categorienormen!$C$69</definedName>
    <definedName name="catfd_1_BHV_40">Categorienormen!$C$70</definedName>
    <definedName name="catfd_1_BHV_45">Categorienormen!$C$71</definedName>
    <definedName name="catfd_1_DHB_1">Categorienormen!$C$41</definedName>
    <definedName name="catfd_1_DHV_30">Categorienormen!$C$42</definedName>
    <definedName name="catfd_1_DHV_35">Categorienormen!$C$43</definedName>
    <definedName name="catfd_1_DHV_40">Categorienormen!$C$44</definedName>
    <definedName name="catfd_1_DHV_45">Categorienormen!$C$45</definedName>
    <definedName name="catfd_1_EHB_1">Categorienormen!$C$8</definedName>
    <definedName name="catfd_1_EHV_35">Categorienormen!$C$9</definedName>
    <definedName name="catfd_1_EHV_40">Categorienormen!$C$10</definedName>
    <definedName name="catfd_1_EHV_45">Categorienormen!$C$11</definedName>
    <definedName name="catfd_1_EHV_51">Categorienormen!$C$12</definedName>
    <definedName name="catfd_1_EZB_1">Categorienormen!$C$13</definedName>
    <definedName name="catfd_1_EZV_40">Categorienormen!$C$14</definedName>
    <definedName name="catfd_1_FHB_1">Categorienormen!$C$15</definedName>
    <definedName name="catfd_1_FHV_30">Categorienormen!$C$16</definedName>
    <definedName name="catfd_1_FHV_35">Categorienormen!$C$17</definedName>
    <definedName name="catfd_1_FHV_40">Categorienormen!$C$18</definedName>
    <definedName name="catfd_1_GHB_1">Categorienormen!$C$19</definedName>
    <definedName name="catfd_1_GHV_30">Categorienormen!$C$20</definedName>
    <definedName name="catfd_1_GHV_35">Categorienormen!$C$21</definedName>
    <definedName name="catfd_1_GHV_40">Categorienormen!$C$22</definedName>
    <definedName name="catfd_1_GHV_45">Categorienormen!$C$23</definedName>
    <definedName name="catfd_1_KLHB_1">Categorienormen!$C$46</definedName>
    <definedName name="catfd_1_KLHV_30">Categorienormen!$C$47</definedName>
    <definedName name="catfd_1_KLHV_35">Categorienormen!$C$48</definedName>
    <definedName name="catfd_1_KLHV_40">Categorienormen!$C$49</definedName>
    <definedName name="catfd_1_KLHV_45">Categorienormen!$C$50</definedName>
    <definedName name="catfd_1_LHB_1">Categorienormen!$C$72</definedName>
    <definedName name="catfd_1_LHV_40">Categorienormen!$C$73</definedName>
    <definedName name="catfd_1_QHB_1">Categorienormen!$C$74</definedName>
    <definedName name="catfd_1_QHV_40">Categorienormen!$C$75</definedName>
    <definedName name="catfd_1_RHB_1">Categorienormen!$C$24</definedName>
    <definedName name="catfd_1_RHV_40">Categorienormen!$C$25</definedName>
    <definedName name="catfd_1_SHB_1">Categorienormen!$C$51</definedName>
    <definedName name="catfd_1_SHV_30">Categorienormen!$C$52</definedName>
    <definedName name="catfd_1_SHV_35">Categorienormen!$C$53</definedName>
    <definedName name="catfd_1_SHV_40">Categorienormen!$C$54</definedName>
    <definedName name="catfd_1_SHV_45">Categorienormen!$C$55</definedName>
    <definedName name="catfd_1_THB_1">Categorienormen!$C$26</definedName>
    <definedName name="catfd_1_THV_30">Categorienormen!$C$27</definedName>
    <definedName name="catfd_1_THV_35">Categorienormen!$C$28</definedName>
    <definedName name="catfd_1_THV_40">Categorienormen!$C$29</definedName>
    <definedName name="catfd_1_THV_45">Categorienormen!$C$30</definedName>
    <definedName name="catfd_1_TRHB_1">Categorienormen!$C$31</definedName>
    <definedName name="catfd_1_TRHV_12">Categorienormen!$C$32</definedName>
    <definedName name="catfd_1_VHB_1">Categorienormen!$C$33</definedName>
    <definedName name="catfd_1_VHV_30">Categorienormen!$C$34</definedName>
    <definedName name="catfd_1_VHV_35">Categorienormen!$C$35</definedName>
    <definedName name="catfd_1_VHV_40">Categorienormen!$C$36</definedName>
    <definedName name="catfd_1_VHV_45">Categorienormen!$C$37</definedName>
    <definedName name="catfd_1_VHV_51">Categorienormen!$C$38</definedName>
    <definedName name="catfd_1_VZB_1">Categorienormen!$C$39</definedName>
    <definedName name="catfd_1_VZV_30">Categorienormen!$C$40</definedName>
    <definedName name="catfd_1_ZDHB_1">Categorienormen!$C$56</definedName>
    <definedName name="catfd_1_ZDHV_51">Categorienormen!$C$57</definedName>
    <definedName name="catfd_1_ZKLHB_1">Categorienormen!$C$58</definedName>
    <definedName name="catfd_1_ZKLHV_40">Categorienormen!$C$59</definedName>
    <definedName name="catfd_1_ZKLHV_51">Categorienormen!$C$60</definedName>
    <definedName name="catfd_1_ZSHB_1">Categorienormen!$C$61</definedName>
    <definedName name="catfd_1_ZSHV_40">Categorienormen!$C$62</definedName>
    <definedName name="catfd_1_ZSHV_51">Categorienormen!$C$63</definedName>
    <definedName name="catfd_1_ZVHB_1">Categorienormen!$C$64</definedName>
    <definedName name="catfd_1_ZVHV_40">Categorienormen!$C$65</definedName>
    <definedName name="catfd_1_ZVHV_51">Categorienormen!$C$66</definedName>
    <definedName name="catfd_2_VBHB_1">Categorienormen!$C$87</definedName>
    <definedName name="catfd_2_VDHB_1">Categorienormen!$C$84</definedName>
    <definedName name="catfd_2_VEHB_1">Categorienormen!$C$78</definedName>
    <definedName name="catfd_2_VFHB_1">Categorienormen!$C$79</definedName>
    <definedName name="catfd_2_VGHB_1">Categorienormen!$C$80</definedName>
    <definedName name="catfd_2_VKLHB_1">Categorienormen!$C$85</definedName>
    <definedName name="catfd_2_VLHB_1">Categorienormen!$C$88</definedName>
    <definedName name="catfd_2_VRHB_1">Categorienormen!$C$81</definedName>
    <definedName name="catfd_2_VSHB_1">Categorienormen!$C$86</definedName>
    <definedName name="catfd_2_VTHB_1">Categorienormen!$C$82</definedName>
    <definedName name="catfd_2_VVHB_1">Categorienormen!$C$83</definedName>
    <definedName name="catfd_3_WBHB_1">Categorienormen!$C$100</definedName>
    <definedName name="catfd_3_WDHB_1">Categorienormen!$C$97</definedName>
    <definedName name="catfd_3_WEHB_1">Categorienormen!$C$91</definedName>
    <definedName name="catfd_3_WFHB_1">Categorienormen!$C$92</definedName>
    <definedName name="catfd_3_WGHB_1">Categorienormen!$C$93</definedName>
    <definedName name="catfd_3_WKLHB_1">Categorienormen!$C$98</definedName>
    <definedName name="catfd_3_WLHB_1">Categorienormen!$C$101</definedName>
    <definedName name="catfd_3_WRHB_1">Categorienormen!$C$94</definedName>
    <definedName name="catfd_3_WSHB_1">Categorienormen!$C$99</definedName>
    <definedName name="catfd_3_WTHB_1">Categorienormen!$C$95</definedName>
    <definedName name="catfd_3_WVHB_1">Categorienormen!$C$96</definedName>
    <definedName name="catpn_1_AHB_1">Categorienormen!$E$6</definedName>
    <definedName name="catpn_1_AHV_12">Categorienormen!$E$7</definedName>
    <definedName name="catpn_1_BHB_1">Categorienormen!$E$67</definedName>
    <definedName name="catpn_1_BHV_30">Categorienormen!$E$68</definedName>
    <definedName name="catpn_1_BHV_35">Categorienormen!$E$69</definedName>
    <definedName name="catpn_1_BHV_40">Categorienormen!$E$70</definedName>
    <definedName name="catpn_1_BHV_45">Categorienormen!$E$71</definedName>
    <definedName name="catpn_1_DHB_1">Categorienormen!$E$41</definedName>
    <definedName name="catpn_1_DHV_30">Categorienormen!$E$42</definedName>
    <definedName name="catpn_1_DHV_35">Categorienormen!$E$43</definedName>
    <definedName name="catpn_1_DHV_40">Categorienormen!$E$44</definedName>
    <definedName name="catpn_1_DHV_45">Categorienormen!$E$45</definedName>
    <definedName name="catpn_1_EHB_1">Categorienormen!$E$8</definedName>
    <definedName name="catpn_1_EHV_35">Categorienormen!$E$9</definedName>
    <definedName name="catpn_1_EHV_40">Categorienormen!$E$10</definedName>
    <definedName name="catpn_1_EHV_45">Categorienormen!$E$11</definedName>
    <definedName name="catpn_1_EHV_51">Categorienormen!$E$12</definedName>
    <definedName name="catpn_1_EZB_1">Categorienormen!$E$13</definedName>
    <definedName name="catpn_1_EZV_40">Categorienormen!$E$14</definedName>
    <definedName name="catpn_1_FHB_1">Categorienormen!$E$15</definedName>
    <definedName name="catpn_1_FHV_30">Categorienormen!$E$16</definedName>
    <definedName name="catpn_1_FHV_35">Categorienormen!$E$17</definedName>
    <definedName name="catpn_1_FHV_40">Categorienormen!$E$18</definedName>
    <definedName name="catpn_1_GHB_1">Categorienormen!$E$19</definedName>
    <definedName name="catpn_1_GHV_30">Categorienormen!$E$20</definedName>
    <definedName name="catpn_1_GHV_35">Categorienormen!$E$21</definedName>
    <definedName name="catpn_1_GHV_40">Categorienormen!$E$22</definedName>
    <definedName name="catpn_1_GHV_45">Categorienormen!$E$23</definedName>
    <definedName name="catpn_1_KLHB_1">Categorienormen!$E$46</definedName>
    <definedName name="catpn_1_KLHV_30">Categorienormen!$E$47</definedName>
    <definedName name="catpn_1_KLHV_35">Categorienormen!$E$48</definedName>
    <definedName name="catpn_1_KLHV_40">Categorienormen!$E$49</definedName>
    <definedName name="catpn_1_KLHV_45">Categorienormen!$E$50</definedName>
    <definedName name="catpn_1_LHB_1">Categorienormen!$E$72</definedName>
    <definedName name="catpn_1_LHV_40">Categorienormen!$E$73</definedName>
    <definedName name="catpn_1_QHB_1">Categorienormen!$E$74</definedName>
    <definedName name="catpn_1_QHV_40">Categorienormen!$E$75</definedName>
    <definedName name="catpn_1_RHB_1">Categorienormen!$E$24</definedName>
    <definedName name="catpn_1_RHV_40">Categorienormen!$E$25</definedName>
    <definedName name="catpn_1_SHB_1">Categorienormen!$E$51</definedName>
    <definedName name="catpn_1_SHV_30">Categorienormen!$E$52</definedName>
    <definedName name="catpn_1_SHV_35">Categorienormen!$E$53</definedName>
    <definedName name="catpn_1_SHV_40">Categorienormen!$E$54</definedName>
    <definedName name="catpn_1_SHV_45">Categorienormen!$E$55</definedName>
    <definedName name="catpn_1_THB_1">Categorienormen!$E$26</definedName>
    <definedName name="catpn_1_THV_30">Categorienormen!$E$27</definedName>
    <definedName name="catpn_1_THV_35">Categorienormen!$E$28</definedName>
    <definedName name="catpn_1_THV_40">Categorienormen!$E$29</definedName>
    <definedName name="catpn_1_THV_45">Categorienormen!$E$30</definedName>
    <definedName name="catpn_1_TRHB_1">Categorienormen!$E$31</definedName>
    <definedName name="catpn_1_TRHV_12">Categorienormen!$E$32</definedName>
    <definedName name="catpn_1_VHB_1">Categorienormen!$E$33</definedName>
    <definedName name="catpn_1_VHV_30">Categorienormen!$E$34</definedName>
    <definedName name="catpn_1_VHV_35">Categorienormen!$E$35</definedName>
    <definedName name="catpn_1_VHV_40">Categorienormen!$E$36</definedName>
    <definedName name="catpn_1_VHV_45">Categorienormen!$E$37</definedName>
    <definedName name="catpn_1_VHV_51">Categorienormen!$E$38</definedName>
    <definedName name="catpn_1_VZB_1">Categorienormen!$E$39</definedName>
    <definedName name="catpn_1_VZV_30">Categorienormen!$E$40</definedName>
    <definedName name="catpn_1_ZDHB_1">Categorienormen!$E$56</definedName>
    <definedName name="catpn_1_ZDHV_51">Categorienormen!$E$57</definedName>
    <definedName name="catpn_1_ZKLHB_1">Categorienormen!$E$58</definedName>
    <definedName name="catpn_1_ZKLHV_40">Categorienormen!$E$59</definedName>
    <definedName name="catpn_1_ZKLHV_51">Categorienormen!$E$60</definedName>
    <definedName name="catpn_1_ZSHB_1">Categorienormen!$E$61</definedName>
    <definedName name="catpn_1_ZSHV_40">Categorienormen!$E$62</definedName>
    <definedName name="catpn_1_ZSHV_51">Categorienormen!$E$63</definedName>
    <definedName name="catpn_1_ZVHB_1">Categorienormen!$E$64</definedName>
    <definedName name="catpn_1_ZVHV_40">Categorienormen!$E$65</definedName>
    <definedName name="catpn_1_ZVHV_51">Categorienormen!$E$66</definedName>
    <definedName name="catpn_2_VBHB_1">Categorienormen!$E$87</definedName>
    <definedName name="catpn_2_VDHB_1">Categorienormen!$E$84</definedName>
    <definedName name="catpn_2_VEHB_1">Categorienormen!$E$78</definedName>
    <definedName name="catpn_2_VFHB_1">Categorienormen!$E$79</definedName>
    <definedName name="catpn_2_VGHB_1">Categorienormen!$E$80</definedName>
    <definedName name="catpn_2_VKLHB_1">Categorienormen!$E$85</definedName>
    <definedName name="catpn_2_VLHB_1">Categorienormen!$E$88</definedName>
    <definedName name="catpn_2_VRHB_1">Categorienormen!$E$81</definedName>
    <definedName name="catpn_2_VSHB_1">Categorienormen!$E$86</definedName>
    <definedName name="catpn_2_VTHB_1">Categorienormen!$E$82</definedName>
    <definedName name="catpn_2_VVHB_1">Categorienormen!$E$83</definedName>
    <definedName name="catpn_3_WBHB_1">Categorienormen!$E$100</definedName>
    <definedName name="catpn_3_WDHB_1">Categorienormen!$E$97</definedName>
    <definedName name="catpn_3_WEHB_1">Categorienormen!$E$91</definedName>
    <definedName name="catpn_3_WFHB_1">Categorienormen!$E$92</definedName>
    <definedName name="catpn_3_WGHB_1">Categorienormen!$E$93</definedName>
    <definedName name="catpn_3_WKLHB_1">Categorienormen!$E$98</definedName>
    <definedName name="catpn_3_WLHB_1">Categorienormen!$E$101</definedName>
    <definedName name="catpn_3_WRHB_1">Categorienormen!$E$94</definedName>
    <definedName name="catpn_3_WSHB_1">Categorienormen!$E$99</definedName>
    <definedName name="catpn_3_WTHB_1">Categorienormen!$E$95</definedName>
    <definedName name="catpn_3_WVHB_1">Categorienormen!$E$96</definedName>
    <definedName name="cattf_1_AHB_1">Categorienormen!$H$6</definedName>
    <definedName name="cattf_1_AHV_12">Categorienormen!$H$7</definedName>
    <definedName name="cattf_1_BHB_1">Categorienormen!$H$67</definedName>
    <definedName name="cattf_1_BHV_30">Categorienormen!$H$68</definedName>
    <definedName name="cattf_1_BHV_35">Categorienormen!$H$69</definedName>
    <definedName name="cattf_1_BHV_40">Categorienormen!$H$70</definedName>
    <definedName name="cattf_1_BHV_45">Categorienormen!$H$71</definedName>
    <definedName name="cattf_1_DHB_1">Categorienormen!$H$41</definedName>
    <definedName name="cattf_1_DHV_30">Categorienormen!$H$42</definedName>
    <definedName name="cattf_1_DHV_35">Categorienormen!$H$43</definedName>
    <definedName name="cattf_1_DHV_40">Categorienormen!$H$44</definedName>
    <definedName name="cattf_1_DHV_45">Categorienormen!$H$45</definedName>
    <definedName name="cattf_1_EHB_1">Categorienormen!$H$8</definedName>
    <definedName name="cattf_1_EHV_35">Categorienormen!$H$9</definedName>
    <definedName name="cattf_1_EHV_40">Categorienormen!$H$10</definedName>
    <definedName name="cattf_1_EHV_45">Categorienormen!$H$11</definedName>
    <definedName name="cattf_1_EHV_51">Categorienormen!$H$12</definedName>
    <definedName name="cattf_1_EZB_1">Categorienormen!$H$13</definedName>
    <definedName name="cattf_1_EZV_40">Categorienormen!$H$14</definedName>
    <definedName name="cattf_1_FHB_1">Categorienormen!$H$15</definedName>
    <definedName name="cattf_1_FHV_30">Categorienormen!$H$16</definedName>
    <definedName name="cattf_1_FHV_35">Categorienormen!$H$17</definedName>
    <definedName name="cattf_1_FHV_40">Categorienormen!$H$18</definedName>
    <definedName name="cattf_1_GHB_1">Categorienormen!$H$19</definedName>
    <definedName name="cattf_1_GHV_30">Categorienormen!$H$20</definedName>
    <definedName name="cattf_1_GHV_35">Categorienormen!$H$21</definedName>
    <definedName name="cattf_1_GHV_40">Categorienormen!$H$22</definedName>
    <definedName name="cattf_1_GHV_45">Categorienormen!$H$23</definedName>
    <definedName name="cattf_1_KLHB_1">Categorienormen!$H$46</definedName>
    <definedName name="cattf_1_KLHV_30">Categorienormen!$H$47</definedName>
    <definedName name="cattf_1_KLHV_35">Categorienormen!$H$48</definedName>
    <definedName name="cattf_1_KLHV_40">Categorienormen!$H$49</definedName>
    <definedName name="cattf_1_KLHV_45">Categorienormen!$H$50</definedName>
    <definedName name="cattf_1_LHB_1">Categorienormen!$H$72</definedName>
    <definedName name="cattf_1_LHV_40">Categorienormen!$H$73</definedName>
    <definedName name="cattf_1_QHB_1">Categorienormen!$H$74</definedName>
    <definedName name="cattf_1_QHV_40">Categorienormen!$H$75</definedName>
    <definedName name="cattf_1_RHB_1">Categorienormen!$H$24</definedName>
    <definedName name="cattf_1_RHV_40">Categorienormen!$H$25</definedName>
    <definedName name="cattf_1_SHB_1">Categorienormen!$H$51</definedName>
    <definedName name="cattf_1_SHV_30">Categorienormen!$H$52</definedName>
    <definedName name="cattf_1_SHV_35">Categorienormen!$H$53</definedName>
    <definedName name="cattf_1_SHV_40">Categorienormen!$H$54</definedName>
    <definedName name="cattf_1_SHV_45">Categorienormen!$H$55</definedName>
    <definedName name="cattf_1_THB_1">Categorienormen!$H$26</definedName>
    <definedName name="cattf_1_THV_30">Categorienormen!$H$27</definedName>
    <definedName name="cattf_1_THV_35">Categorienormen!$H$28</definedName>
    <definedName name="cattf_1_THV_40">Categorienormen!$H$29</definedName>
    <definedName name="cattf_1_THV_45">Categorienormen!$H$30</definedName>
    <definedName name="cattf_1_TRHB_1">Categorienormen!$H$31</definedName>
    <definedName name="cattf_1_TRHV_12">Categorienormen!$H$32</definedName>
    <definedName name="cattf_1_VHB_1">Categorienormen!$H$33</definedName>
    <definedName name="cattf_1_VHV_30">Categorienormen!$H$34</definedName>
    <definedName name="cattf_1_VHV_35">Categorienormen!$H$35</definedName>
    <definedName name="cattf_1_VHV_40">Categorienormen!$H$36</definedName>
    <definedName name="cattf_1_VHV_45">Categorienormen!$H$37</definedName>
    <definedName name="cattf_1_VHV_51">Categorienormen!$H$38</definedName>
    <definedName name="cattf_1_VZB_1">Categorienormen!$H$39</definedName>
    <definedName name="cattf_1_VZV_30">Categorienormen!$H$40</definedName>
    <definedName name="cattf_1_ZDHB_1">Categorienormen!$H$56</definedName>
    <definedName name="cattf_1_ZDHV_51">Categorienormen!$H$57</definedName>
    <definedName name="cattf_1_ZKLHB_1">Categorienormen!$H$58</definedName>
    <definedName name="cattf_1_ZKLHV_40">Categorienormen!$H$59</definedName>
    <definedName name="cattf_1_ZKLHV_51">Categorienormen!$H$60</definedName>
    <definedName name="cattf_1_ZSHB_1">Categorienormen!$H$61</definedName>
    <definedName name="cattf_1_ZSHV_40">Categorienormen!$H$62</definedName>
    <definedName name="cattf_1_ZSHV_51">Categorienormen!$H$63</definedName>
    <definedName name="cattf_1_ZVHB_1">Categorienormen!$H$64</definedName>
    <definedName name="cattf_1_ZVHV_40">Categorienormen!$H$65</definedName>
    <definedName name="cattf_1_ZVHV_51">Categorienormen!$H$66</definedName>
    <definedName name="cattf_2_VBHB_1">Categorienormen!$H$87</definedName>
    <definedName name="cattf_2_VDHB_1">Categorienormen!$H$84</definedName>
    <definedName name="cattf_2_VEHB_1">Categorienormen!$H$78</definedName>
    <definedName name="cattf_2_VFHB_1">Categorienormen!$H$79</definedName>
    <definedName name="cattf_2_VGHB_1">Categorienormen!$H$80</definedName>
    <definedName name="cattf_2_VKLHB_1">Categorienormen!$H$85</definedName>
    <definedName name="cattf_2_VLHB_1">Categorienormen!$H$88</definedName>
    <definedName name="cattf_2_VRHB_1">Categorienormen!$H$81</definedName>
    <definedName name="cattf_2_VSHB_1">Categorienormen!$H$86</definedName>
    <definedName name="cattf_2_VTHB_1">Categorienormen!$H$82</definedName>
    <definedName name="cattf_2_VVHB_1">Categorienormen!$H$83</definedName>
    <definedName name="cattf_3_WBHB_1">Categorienormen!$H$100</definedName>
    <definedName name="cattf_3_WDHB_1">Categorienormen!$H$97</definedName>
    <definedName name="cattf_3_WEHB_1">Categorienormen!$H$91</definedName>
    <definedName name="cattf_3_WFHB_1">Categorienormen!$H$92</definedName>
    <definedName name="cattf_3_WGHB_1">Categorienormen!$H$93</definedName>
    <definedName name="cattf_3_WKLHB_1">Categorienormen!$H$98</definedName>
    <definedName name="cattf_3_WLHB_1">Categorienormen!$H$101</definedName>
    <definedName name="cattf_3_WRHB_1">Categorienormen!$H$94</definedName>
    <definedName name="cattf_3_WSHB_1">Categorienormen!$H$99</definedName>
    <definedName name="cattf_3_WTHB_1">Categorienormen!$H$95</definedName>
    <definedName name="cattf_3_WVHB_1">Categorienormen!$H$96</definedName>
    <definedName name="dagenperjaar1">Omreken!$B$9</definedName>
    <definedName name="dagenperjaar2">Omreken!$E$9</definedName>
    <definedName name="dagenperjaar3">Omreken!$H$9</definedName>
    <definedName name="dagenperweek1">Omreken!$B$10</definedName>
    <definedName name="dagenperweek2">Omreken!$E$10</definedName>
    <definedName name="dagenperweek3">Omreken!$H$10</definedName>
    <definedName name="dagsoorttabel1">Omreken!$A$13:$B$33</definedName>
    <definedName name="dagsoorttabel2">Omreken!$D$13:$E$25</definedName>
    <definedName name="dagsoorttabel3">Omreken!$G$13:$H$20</definedName>
    <definedName name="dagwerk102">'Regulier werk'!$H$106</definedName>
    <definedName name="dagwerk103">'Regulier werk'!$H$86</definedName>
    <definedName name="dagwerk104">'Regulier werk'!$H$87</definedName>
    <definedName name="dagwerk105">'Regulier werk'!$H$88</definedName>
    <definedName name="dagwerk106">'Regulier werk'!$H$89</definedName>
    <definedName name="dagwerk107">'Regulier werk'!$H$90</definedName>
    <definedName name="dagwerk108">'Regulier werk'!$H$91</definedName>
    <definedName name="dagwerk109">'Regulier werk'!$H$92</definedName>
    <definedName name="dagwerk110">'Regulier werk'!$H$93</definedName>
    <definedName name="dagwerk111">'Regulier werk'!$H$94</definedName>
    <definedName name="dagwerk112">'Regulier werk'!$H$95</definedName>
    <definedName name="dagwerk113">'Regulier werk'!$H$96</definedName>
    <definedName name="dagwerk114">'Regulier werk'!$H$97</definedName>
    <definedName name="dagwerk115">'Regulier werk'!$H$98</definedName>
    <definedName name="dagwerk116">'Regulier werk'!$H$99</definedName>
    <definedName name="dagwerk117">'Regulier werk'!$H$100</definedName>
    <definedName name="dagwerk118">'Regulier werk'!$H$101</definedName>
    <definedName name="dagwerk119">'Regulier werk'!$H$102</definedName>
    <definedName name="dagwerk120">'Regulier werk'!$H$103</definedName>
    <definedName name="dagwerk121">'Regulier werk'!$H$104</definedName>
    <definedName name="dagwerk122">'Regulier werk'!$H$105</definedName>
    <definedName name="dagwerk30">'Regulier werk'!$H$62</definedName>
    <definedName name="dagwerk32">'Regulier werk'!$H$6</definedName>
    <definedName name="dagwerk33">'Regulier werk'!$H$7</definedName>
    <definedName name="dagwerk34">'Regulier werk'!$H$8</definedName>
    <definedName name="dagwerk35">'Regulier werk'!$H$9</definedName>
    <definedName name="dagwerk36">'Regulier werk'!$H$10</definedName>
    <definedName name="dagwerk37">'Regulier werk'!$H$11</definedName>
    <definedName name="dagwerk38">'Regulier werk'!$H$12</definedName>
    <definedName name="dagwerk39">'Regulier werk'!$H$13</definedName>
    <definedName name="dagwerk40">'Regulier werk'!$H$14</definedName>
    <definedName name="dagwerk41">'Regulier werk'!$H$15</definedName>
    <definedName name="dagwerk42">'Regulier werk'!$H$16</definedName>
    <definedName name="dagwerk43">'Regulier werk'!$H$17</definedName>
    <definedName name="dagwerk44">'Regulier werk'!$H$18</definedName>
    <definedName name="dagwerk45">'Regulier werk'!$H$19</definedName>
    <definedName name="dagwerk46">'Regulier werk'!$H$20</definedName>
    <definedName name="dagwerk47">'Regulier werk'!$H$21</definedName>
    <definedName name="dagwerk48">'Regulier werk'!$H$22</definedName>
    <definedName name="dagwerk49">'Regulier werk'!$H$23</definedName>
    <definedName name="dagwerk50">'Regulier werk'!$H$24</definedName>
    <definedName name="dagwerk51">'Regulier werk'!$H$25</definedName>
    <definedName name="dagwerk52">'Regulier werk'!$H$26</definedName>
    <definedName name="dagwerk53">'Regulier werk'!$H$27</definedName>
    <definedName name="dagwerk54">'Regulier werk'!$H$28</definedName>
    <definedName name="dagwerk55">'Regulier werk'!$H$29</definedName>
    <definedName name="dagwerk56">'Regulier werk'!$H$30</definedName>
    <definedName name="dagwerk57">'Regulier werk'!$H$31</definedName>
    <definedName name="dagwerk58">'Regulier werk'!$H$32</definedName>
    <definedName name="dagwerk59">'Regulier werk'!$H$33</definedName>
    <definedName name="dagwerk60">'Regulier werk'!$H$34</definedName>
    <definedName name="dagwerk61">'Regulier werk'!$H$35</definedName>
    <definedName name="dagwerk62">'Regulier werk'!$H$36</definedName>
    <definedName name="dagwerk63">'Regulier werk'!$H$37</definedName>
    <definedName name="dagwerk64">'Regulier werk'!$H$38</definedName>
    <definedName name="dagwerk65">'Regulier werk'!$H$39</definedName>
    <definedName name="dagwerk66">'Regulier werk'!$H$40</definedName>
    <definedName name="dagwerk67">'Regulier werk'!$H$41</definedName>
    <definedName name="dagwerk68">'Regulier werk'!$H$42</definedName>
    <definedName name="dagwerk69">'Regulier werk'!$H$43</definedName>
    <definedName name="dagwerk70">'Regulier werk'!$H$44</definedName>
    <definedName name="dagwerk71">'Regulier werk'!$H$45</definedName>
    <definedName name="dagwerk72">'Regulier werk'!$H$46</definedName>
    <definedName name="dagwerk73">'Regulier werk'!$H$47</definedName>
    <definedName name="dagwerk74">'Regulier werk'!$H$48</definedName>
    <definedName name="dagwerk75">'Regulier werk'!$H$49</definedName>
    <definedName name="dagwerk76">'Regulier werk'!$H$50</definedName>
    <definedName name="dagwerk77">'Regulier werk'!$H$51</definedName>
    <definedName name="dagwerk78">'Regulier werk'!$H$52</definedName>
    <definedName name="dagwerk79">'Regulier werk'!$H$53</definedName>
    <definedName name="dagwerk80">'Regulier werk'!$H$54</definedName>
    <definedName name="dagwerk81">'Regulier werk'!$H$55</definedName>
    <definedName name="dagwerk82">'Regulier werk'!$H$56</definedName>
    <definedName name="dagwerk83">'Regulier werk'!$H$57</definedName>
    <definedName name="dagwerk84">'Regulier werk'!$H$58</definedName>
    <definedName name="dagwerk85">'Regulier werk'!$H$59</definedName>
    <definedName name="dagwerk86">'Regulier werk'!$H$60</definedName>
    <definedName name="dagwerk87">'Regulier werk'!$H$61</definedName>
    <definedName name="dagwerk89">'Regulier werk'!$H$69</definedName>
    <definedName name="dagwerk90">'Regulier werk'!$H$70</definedName>
    <definedName name="dagwerk91">'Regulier werk'!$H$71</definedName>
    <definedName name="dagwerk92">'Regulier werk'!$H$72</definedName>
    <definedName name="dagwerk93">'Regulier werk'!$H$73</definedName>
    <definedName name="dagwerk94">'Regulier werk'!$H$74</definedName>
    <definedName name="dagwerk95">'Regulier werk'!$H$75</definedName>
    <definedName name="dagwerk96">'Regulier werk'!$H$76</definedName>
    <definedName name="dagwerk97">'Regulier werk'!$H$77</definedName>
    <definedName name="dagwerk98">'Regulier werk'!$H$78</definedName>
    <definedName name="dagwerk99">'Regulier werk'!$H$79</definedName>
    <definedName name="dagwerktabel1">Objectinformatie!$H$5:$H$61</definedName>
    <definedName name="dagwerktabel2">Objectinformatie!$H$64:$H$74</definedName>
    <definedName name="dagwerktabel3">Objectinformatie!$H$77:$H$97</definedName>
    <definedName name="gemuurtarief1">'Regulier werk'!$J$65</definedName>
    <definedName name="gemuurtarief2">'Regulier werk'!$J$82</definedName>
    <definedName name="gemuurtarief3">'Regulier werk'!$J$109</definedName>
    <definedName name="kengetaltabel1">Objectinformatie!$G$5:$G$61</definedName>
    <definedName name="kengetaltabel2">Objectinformatie!$G$64:$G$74</definedName>
    <definedName name="kengetaltabel3">Objectinformatie!$G$77:$G$97</definedName>
    <definedName name="object1_gemuurtarief1">'Ruimten werkdag'!$P$40</definedName>
    <definedName name="object1_opptabel1">Objectinformatie!$J$5:$J$61</definedName>
    <definedName name="object1_opptabel2">Objectinformatie!$J$64:$J$74</definedName>
    <definedName name="object1_opptabel3">Objectinformatie!$J$77:$J$97</definedName>
    <definedName name="object1_prijsdag1">'Ruimten werkdag'!$S$40</definedName>
    <definedName name="object1_prijsjaar1">'Ruimten werkdag'!$U$40</definedName>
    <definedName name="object1_urendag1">'Ruimten werkdag'!$Q$40</definedName>
    <definedName name="object1_urendaghf1">'Ruimten werkdag'!$R$40</definedName>
    <definedName name="object1_urenjaar1">'Ruimten werkdag'!$T$40</definedName>
    <definedName name="object10_gemuurtarief1">'Ruimten werkdag'!$P$275</definedName>
    <definedName name="object10_opptabel1">Objectinformatie!$S$5:$S$61</definedName>
    <definedName name="object10_opptabel2">Objectinformatie!$S$64:$S$74</definedName>
    <definedName name="object10_opptabel3">Objectinformatie!$S$77:$S$97</definedName>
    <definedName name="object10_prijsdag1">'Ruimten werkdag'!$S$275</definedName>
    <definedName name="object10_prijsjaar1">'Ruimten werkdag'!$U$275</definedName>
    <definedName name="object10_urendag1">'Ruimten werkdag'!$Q$275</definedName>
    <definedName name="object10_urendaghf1">'Ruimten werkdag'!$R$275</definedName>
    <definedName name="object10_urenjaar1">'Ruimten werkdag'!$T$275</definedName>
    <definedName name="object11_gemuurtarief1">'Ruimten werkdag'!$P$296</definedName>
    <definedName name="object11_opptabel1">Objectinformatie!$T$5:$T$61</definedName>
    <definedName name="object11_opptabel2">Objectinformatie!$T$64:$T$74</definedName>
    <definedName name="object11_opptabel3">Objectinformatie!$T$77:$T$97</definedName>
    <definedName name="object11_prijsdag1">'Ruimten werkdag'!$S$296</definedName>
    <definedName name="object11_prijsjaar1">'Ruimten werkdag'!$U$296</definedName>
    <definedName name="object11_urendag1">'Ruimten werkdag'!$Q$296</definedName>
    <definedName name="object11_urendaghf1">'Ruimten werkdag'!$R$296</definedName>
    <definedName name="object11_urenjaar1">'Ruimten werkdag'!$T$296</definedName>
    <definedName name="object12_gemuurtarief1">'Ruimten werkdag'!$P$308</definedName>
    <definedName name="object12_opptabel1">Objectinformatie!$U$5:$U$61</definedName>
    <definedName name="object12_opptabel2">Objectinformatie!$U$64:$U$74</definedName>
    <definedName name="object12_opptabel3">Objectinformatie!$U$77:$U$97</definedName>
    <definedName name="object12_prijsdag1">'Ruimten werkdag'!$S$308</definedName>
    <definedName name="object12_prijsjaar1">'Ruimten werkdag'!$U$308</definedName>
    <definedName name="object12_urendag1">'Ruimten werkdag'!$Q$308</definedName>
    <definedName name="object12_urendaghf1">'Ruimten werkdag'!$R$308</definedName>
    <definedName name="object12_urenjaar1">'Ruimten werkdag'!$T$308</definedName>
    <definedName name="object13_gemuurtarief1">'Ruimten werkdag'!$P$321</definedName>
    <definedName name="object13_opptabel1">Objectinformatie!$V$5:$V$61</definedName>
    <definedName name="object13_opptabel2">Objectinformatie!$V$64:$V$74</definedName>
    <definedName name="object13_opptabel3">Objectinformatie!$V$77:$V$97</definedName>
    <definedName name="object13_prijsdag1">'Ruimten werkdag'!$S$321</definedName>
    <definedName name="object13_prijsjaar1">'Ruimten werkdag'!$U$321</definedName>
    <definedName name="object13_urendag1">'Ruimten werkdag'!$Q$321</definedName>
    <definedName name="object13_urendaghf1">'Ruimten werkdag'!$R$321</definedName>
    <definedName name="object13_urenjaar1">'Ruimten werkdag'!$T$321</definedName>
    <definedName name="object14_gemuurtarief1">'Ruimten werkdag'!$P$336</definedName>
    <definedName name="object14_opptabel1">Objectinformatie!$W$5:$W$61</definedName>
    <definedName name="object14_opptabel2">Objectinformatie!$W$64:$W$74</definedName>
    <definedName name="object14_opptabel3">Objectinformatie!$W$77:$W$97</definedName>
    <definedName name="object14_prijsdag1">'Ruimten werkdag'!$S$336</definedName>
    <definedName name="object14_prijsjaar1">'Ruimten werkdag'!$U$336</definedName>
    <definedName name="object14_urendag1">'Ruimten werkdag'!$Q$336</definedName>
    <definedName name="object14_urendaghf1">'Ruimten werkdag'!$R$336</definedName>
    <definedName name="object14_urenjaar1">'Ruimten werkdag'!$T$336</definedName>
    <definedName name="object15_gemuurtarief1">'Ruimten werkdag'!$P$353</definedName>
    <definedName name="object15_opptabel1">Objectinformatie!$X$5:$X$61</definedName>
    <definedName name="object15_opptabel2">Objectinformatie!$X$64:$X$74</definedName>
    <definedName name="object15_opptabel3">Objectinformatie!$X$77:$X$97</definedName>
    <definedName name="object15_prijsdag1">'Ruimten werkdag'!$S$353</definedName>
    <definedName name="object15_prijsjaar1">'Ruimten werkdag'!$U$353</definedName>
    <definedName name="object15_urendag1">'Ruimten werkdag'!$Q$353</definedName>
    <definedName name="object15_urendaghf1">'Ruimten werkdag'!$R$353</definedName>
    <definedName name="object15_urenjaar1">'Ruimten werkdag'!$T$353</definedName>
    <definedName name="object16_gemuurtarief1">'Ruimten werkdag'!$P$367</definedName>
    <definedName name="object16_opptabel1">Objectinformatie!$Y$5:$Y$61</definedName>
    <definedName name="object16_opptabel2">Objectinformatie!$Y$64:$Y$74</definedName>
    <definedName name="object16_opptabel3">Objectinformatie!$Y$77:$Y$97</definedName>
    <definedName name="object16_prijsdag1">'Ruimten werkdag'!$S$367</definedName>
    <definedName name="object16_prijsjaar1">'Ruimten werkdag'!$U$367</definedName>
    <definedName name="object16_urendag1">'Ruimten werkdag'!$Q$367</definedName>
    <definedName name="object16_urendaghf1">'Ruimten werkdag'!$R$367</definedName>
    <definedName name="object16_urenjaar1">'Ruimten werkdag'!$T$367</definedName>
    <definedName name="object17_gemuurtarief1">'Ruimten werkdag'!$P$378</definedName>
    <definedName name="object17_opptabel1">Objectinformatie!$Z$5:$Z$61</definedName>
    <definedName name="object17_opptabel2">Objectinformatie!$Z$64:$Z$74</definedName>
    <definedName name="object17_opptabel3">Objectinformatie!$Z$77:$Z$97</definedName>
    <definedName name="object17_prijsdag1">'Ruimten werkdag'!$S$378</definedName>
    <definedName name="object17_prijsjaar1">'Ruimten werkdag'!$U$378</definedName>
    <definedName name="object17_urendag1">'Ruimten werkdag'!$Q$378</definedName>
    <definedName name="object17_urendaghf1">'Ruimten werkdag'!$R$378</definedName>
    <definedName name="object17_urenjaar1">'Ruimten werkdag'!$T$378</definedName>
    <definedName name="object18_opptabel1">Objectinformatie!$AA$5:$AA$61</definedName>
    <definedName name="object18_opptabel2">Objectinformatie!$AA$64:$AA$74</definedName>
    <definedName name="object18_opptabel3">Objectinformatie!$AA$77:$AA$97</definedName>
    <definedName name="object19_gemuurtarief1">'Ruimten werkdag'!$P$394</definedName>
    <definedName name="object19_opptabel1">Objectinformatie!$AB$5:$AB$61</definedName>
    <definedName name="object19_opptabel2">Objectinformatie!$AB$64:$AB$74</definedName>
    <definedName name="object19_opptabel3">Objectinformatie!$AB$77:$AB$97</definedName>
    <definedName name="object19_prijsdag1">'Ruimten werkdag'!$S$394</definedName>
    <definedName name="object19_prijsjaar1">'Ruimten werkdag'!$U$394</definedName>
    <definedName name="object19_urendag1">'Ruimten werkdag'!$Q$394</definedName>
    <definedName name="object19_urendaghf1">'Ruimten werkdag'!$R$394</definedName>
    <definedName name="object19_urenjaar1">'Ruimten werkdag'!$T$394</definedName>
    <definedName name="object2_gemuurtarief1">'Ruimten werkdag'!$P$64</definedName>
    <definedName name="object2_opptabel1">Objectinformatie!$K$5:$K$61</definedName>
    <definedName name="object2_opptabel2">Objectinformatie!$K$64:$K$74</definedName>
    <definedName name="object2_opptabel3">Objectinformatie!$K$77:$K$97</definedName>
    <definedName name="object2_prijsdag1">'Ruimten werkdag'!$S$64</definedName>
    <definedName name="object2_prijsjaar1">'Ruimten werkdag'!$U$64</definedName>
    <definedName name="object2_urendag1">'Ruimten werkdag'!$Q$64</definedName>
    <definedName name="object2_urendaghf1">'Ruimten werkdag'!$R$64</definedName>
    <definedName name="object2_urenjaar1">'Ruimten werkdag'!$T$64</definedName>
    <definedName name="object20_gemuurtarief1">'Ruimten werkdag'!$P$429</definedName>
    <definedName name="object20_opptabel1">Objectinformatie!$AC$5:$AC$61</definedName>
    <definedName name="object20_opptabel2">Objectinformatie!$AC$64:$AC$74</definedName>
    <definedName name="object20_opptabel3">Objectinformatie!$AC$77:$AC$97</definedName>
    <definedName name="object20_prijsdag1">'Ruimten werkdag'!$S$429</definedName>
    <definedName name="object20_prijsjaar1">'Ruimten werkdag'!$U$429</definedName>
    <definedName name="object20_urendag1">'Ruimten werkdag'!$Q$429</definedName>
    <definedName name="object20_urendaghf1">'Ruimten werkdag'!$R$429</definedName>
    <definedName name="object20_urenjaar1">'Ruimten werkdag'!$T$429</definedName>
    <definedName name="object21_gemuurtarief1">'Ruimten werkdag'!$P$469</definedName>
    <definedName name="object21_gemuurtarief3">'Ruimten weekenddag'!$P$142</definedName>
    <definedName name="object21_opptabel1">Objectinformatie!$AD$5:$AD$61</definedName>
    <definedName name="object21_opptabel2">Objectinformatie!$AD$64:$AD$74</definedName>
    <definedName name="object21_opptabel3">Objectinformatie!$AD$77:$AD$97</definedName>
    <definedName name="object21_prijsdag1">'Ruimten werkdag'!$S$469</definedName>
    <definedName name="object21_prijsdag3">'Ruimten weekenddag'!$S$142</definedName>
    <definedName name="object21_prijsjaar1">'Ruimten werkdag'!$U$469</definedName>
    <definedName name="object21_prijsjaar3">'Ruimten weekenddag'!$U$142</definedName>
    <definedName name="object21_urendag1">'Ruimten werkdag'!$Q$469</definedName>
    <definedName name="object21_urendag3">'Ruimten weekenddag'!$Q$142</definedName>
    <definedName name="object21_urendaghf1">'Ruimten werkdag'!$R$469</definedName>
    <definedName name="object21_urendaghf3">'Ruimten weekenddag'!$R$142</definedName>
    <definedName name="object21_urenjaar1">'Ruimten werkdag'!$T$469</definedName>
    <definedName name="object21_urenjaar3">'Ruimten weekenddag'!$T$142</definedName>
    <definedName name="object22_gemuurtarief1">'Ruimten werkdag'!$P$487</definedName>
    <definedName name="object22_opptabel1">Objectinformatie!$AE$5:$AE$61</definedName>
    <definedName name="object22_opptabel2">Objectinformatie!$AE$64:$AE$74</definedName>
    <definedName name="object22_opptabel3">Objectinformatie!$AE$77:$AE$97</definedName>
    <definedName name="object22_prijsdag1">'Ruimten werkdag'!$S$487</definedName>
    <definedName name="object22_prijsjaar1">'Ruimten werkdag'!$U$487</definedName>
    <definedName name="object22_urendag1">'Ruimten werkdag'!$Q$487</definedName>
    <definedName name="object22_urendaghf1">'Ruimten werkdag'!$R$487</definedName>
    <definedName name="object22_urenjaar1">'Ruimten werkdag'!$T$487</definedName>
    <definedName name="object23_gemuurtarief1">'Ruimten werkdag'!$P$507</definedName>
    <definedName name="object23_opptabel1">Objectinformatie!$AF$5:$AF$61</definedName>
    <definedName name="object23_opptabel2">Objectinformatie!$AF$64:$AF$74</definedName>
    <definedName name="object23_opptabel3">Objectinformatie!$AF$77:$AF$97</definedName>
    <definedName name="object23_prijsdag1">'Ruimten werkdag'!$S$507</definedName>
    <definedName name="object23_prijsjaar1">'Ruimten werkdag'!$U$507</definedName>
    <definedName name="object23_urendag1">'Ruimten werkdag'!$Q$507</definedName>
    <definedName name="object23_urendaghf1">'Ruimten werkdag'!$R$507</definedName>
    <definedName name="object23_urenjaar1">'Ruimten werkdag'!$T$507</definedName>
    <definedName name="object24_gemuurtarief1">'Ruimten werkdag'!$P$522</definedName>
    <definedName name="object24_opptabel1">Objectinformatie!$AG$5:$AG$61</definedName>
    <definedName name="object24_opptabel2">Objectinformatie!$AG$64:$AG$74</definedName>
    <definedName name="object24_opptabel3">Objectinformatie!$AG$77:$AG$97</definedName>
    <definedName name="object24_prijsdag1">'Ruimten werkdag'!$S$522</definedName>
    <definedName name="object24_prijsjaar1">'Ruimten werkdag'!$U$522</definedName>
    <definedName name="object24_urendag1">'Ruimten werkdag'!$Q$522</definedName>
    <definedName name="object24_urendaghf1">'Ruimten werkdag'!$R$522</definedName>
    <definedName name="object24_urenjaar1">'Ruimten werkdag'!$T$522</definedName>
    <definedName name="object25_gemuurtarief1">'Ruimten werkdag'!$P$536</definedName>
    <definedName name="object25_opptabel1">Objectinformatie!$AH$5:$AH$61</definedName>
    <definedName name="object25_opptabel2">Objectinformatie!$AH$64:$AH$74</definedName>
    <definedName name="object25_opptabel3">Objectinformatie!$AH$77:$AH$97</definedName>
    <definedName name="object25_prijsdag1">'Ruimten werkdag'!$S$536</definedName>
    <definedName name="object25_prijsjaar1">'Ruimten werkdag'!$U$536</definedName>
    <definedName name="object25_urendag1">'Ruimten werkdag'!$Q$536</definedName>
    <definedName name="object25_urendaghf1">'Ruimten werkdag'!$R$536</definedName>
    <definedName name="object25_urenjaar1">'Ruimten werkdag'!$T$536</definedName>
    <definedName name="object26_gemuurtarief1">'Ruimten werkdag'!$P$549</definedName>
    <definedName name="object26_opptabel1">Objectinformatie!$AI$5:$AI$61</definedName>
    <definedName name="object26_opptabel2">Objectinformatie!$AI$64:$AI$74</definedName>
    <definedName name="object26_opptabel3">Objectinformatie!$AI$77:$AI$97</definedName>
    <definedName name="object26_prijsdag1">'Ruimten werkdag'!$S$549</definedName>
    <definedName name="object26_prijsjaar1">'Ruimten werkdag'!$U$549</definedName>
    <definedName name="object26_urendag1">'Ruimten werkdag'!$Q$549</definedName>
    <definedName name="object26_urendaghf1">'Ruimten werkdag'!$R$549</definedName>
    <definedName name="object26_urenjaar1">'Ruimten werkdag'!$T$549</definedName>
    <definedName name="object27_gemuurtarief1">'Ruimten werkdag'!$P$564</definedName>
    <definedName name="object27_opptabel1">Objectinformatie!$AJ$5:$AJ$61</definedName>
    <definedName name="object27_opptabel2">Objectinformatie!$AJ$64:$AJ$74</definedName>
    <definedName name="object27_opptabel3">Objectinformatie!$AJ$77:$AJ$97</definedName>
    <definedName name="object27_prijsdag1">'Ruimten werkdag'!$S$564</definedName>
    <definedName name="object27_prijsjaar1">'Ruimten werkdag'!$U$564</definedName>
    <definedName name="object27_urendag1">'Ruimten werkdag'!$Q$564</definedName>
    <definedName name="object27_urendaghf1">'Ruimten werkdag'!$R$564</definedName>
    <definedName name="object27_urenjaar1">'Ruimten werkdag'!$T$564</definedName>
    <definedName name="object28_gemuurtarief1">'Ruimten werkdag'!$P$578</definedName>
    <definedName name="object28_opptabel1">Objectinformatie!$AK$5:$AK$61</definedName>
    <definedName name="object28_opptabel2">Objectinformatie!$AK$64:$AK$74</definedName>
    <definedName name="object28_opptabel3">Objectinformatie!$AK$77:$AK$97</definedName>
    <definedName name="object28_prijsdag1">'Ruimten werkdag'!$S$578</definedName>
    <definedName name="object28_prijsjaar1">'Ruimten werkdag'!$U$578</definedName>
    <definedName name="object28_urendag1">'Ruimten werkdag'!$Q$578</definedName>
    <definedName name="object28_urendaghf1">'Ruimten werkdag'!$R$578</definedName>
    <definedName name="object28_urenjaar1">'Ruimten werkdag'!$T$578</definedName>
    <definedName name="object3_gemuurtarief1">'Ruimten werkdag'!$P$163</definedName>
    <definedName name="object3_gemuurtarief2">'Ruimten werkdag vakantie'!$P$100</definedName>
    <definedName name="object3_gemuurtarief3">'Ruimten weekenddag'!$P$100</definedName>
    <definedName name="object3_opptabel1">Objectinformatie!$L$5:$L$61</definedName>
    <definedName name="object3_opptabel2">Objectinformatie!$L$64:$L$74</definedName>
    <definedName name="object3_opptabel3">Objectinformatie!$L$77:$L$97</definedName>
    <definedName name="object3_prijsdag1">'Ruimten werkdag'!$S$163</definedName>
    <definedName name="object3_prijsdag2">'Ruimten werkdag vakantie'!$S$100</definedName>
    <definedName name="object3_prijsdag3">'Ruimten weekenddag'!$S$100</definedName>
    <definedName name="object3_prijsjaar1">'Ruimten werkdag'!$U$163</definedName>
    <definedName name="object3_prijsjaar2">'Ruimten werkdag vakantie'!$U$100</definedName>
    <definedName name="object3_prijsjaar3">'Ruimten weekenddag'!$U$100</definedName>
    <definedName name="object3_urendag1">'Ruimten werkdag'!$Q$163</definedName>
    <definedName name="object3_urendag2">'Ruimten werkdag vakantie'!$Q$100</definedName>
    <definedName name="object3_urendag3">'Ruimten weekenddag'!$Q$100</definedName>
    <definedName name="object3_urendaghf1">'Ruimten werkdag'!$R$163</definedName>
    <definedName name="object3_urendaghf2">'Ruimten werkdag vakantie'!$R$100</definedName>
    <definedName name="object3_urendaghf3">'Ruimten weekenddag'!$R$100</definedName>
    <definedName name="object3_urenjaar1">'Ruimten werkdag'!$T$163</definedName>
    <definedName name="object3_urenjaar2">'Ruimten werkdag vakantie'!$T$100</definedName>
    <definedName name="object3_urenjaar3">'Ruimten weekenddag'!$T$100</definedName>
    <definedName name="object4_gemuurtarief1">'Ruimten werkdag'!$P$197</definedName>
    <definedName name="object4_opptabel1">Objectinformatie!$M$5:$M$61</definedName>
    <definedName name="object4_opptabel2">Objectinformatie!$M$64:$M$74</definedName>
    <definedName name="object4_opptabel3">Objectinformatie!$M$77:$M$97</definedName>
    <definedName name="object4_prijsdag1">'Ruimten werkdag'!$S$197</definedName>
    <definedName name="object4_prijsjaar1">'Ruimten werkdag'!$U$197</definedName>
    <definedName name="object4_urendag1">'Ruimten werkdag'!$Q$197</definedName>
    <definedName name="object4_urendaghf1">'Ruimten werkdag'!$R$197</definedName>
    <definedName name="object4_urenjaar1">'Ruimten werkdag'!$T$197</definedName>
    <definedName name="object5_gemuurtarief1">'Ruimten werkdag'!$P$209</definedName>
    <definedName name="object5_opptabel1">Objectinformatie!$N$5:$N$61</definedName>
    <definedName name="object5_opptabel2">Objectinformatie!$N$64:$N$74</definedName>
    <definedName name="object5_opptabel3">Objectinformatie!$N$77:$N$97</definedName>
    <definedName name="object5_prijsdag1">'Ruimten werkdag'!$S$209</definedName>
    <definedName name="object5_prijsjaar1">'Ruimten werkdag'!$U$209</definedName>
    <definedName name="object5_urendag1">'Ruimten werkdag'!$Q$209</definedName>
    <definedName name="object5_urendaghf1">'Ruimten werkdag'!$R$209</definedName>
    <definedName name="object5_urenjaar1">'Ruimten werkdag'!$T$209</definedName>
    <definedName name="object6_gemuurtarief1">'Ruimten werkdag'!$P$220</definedName>
    <definedName name="object6_opptabel1">Objectinformatie!$O$5:$O$61</definedName>
    <definedName name="object6_opptabel2">Objectinformatie!$O$64:$O$74</definedName>
    <definedName name="object6_opptabel3">Objectinformatie!$O$77:$O$97</definedName>
    <definedName name="object6_prijsdag1">'Ruimten werkdag'!$S$220</definedName>
    <definedName name="object6_prijsjaar1">'Ruimten werkdag'!$U$220</definedName>
    <definedName name="object6_urendag1">'Ruimten werkdag'!$Q$220</definedName>
    <definedName name="object6_urendaghf1">'Ruimten werkdag'!$R$220</definedName>
    <definedName name="object6_urenjaar1">'Ruimten werkdag'!$T$220</definedName>
    <definedName name="object7_gemuurtarief1">'Ruimten werkdag'!$P$232</definedName>
    <definedName name="object7_opptabel1">Objectinformatie!$P$5:$P$61</definedName>
    <definedName name="object7_opptabel2">Objectinformatie!$P$64:$P$74</definedName>
    <definedName name="object7_opptabel3">Objectinformatie!$P$77:$P$97</definedName>
    <definedName name="object7_prijsdag1">'Ruimten werkdag'!$S$232</definedName>
    <definedName name="object7_prijsjaar1">'Ruimten werkdag'!$U$232</definedName>
    <definedName name="object7_urendag1">'Ruimten werkdag'!$Q$232</definedName>
    <definedName name="object7_urendaghf1">'Ruimten werkdag'!$R$232</definedName>
    <definedName name="object7_urenjaar1">'Ruimten werkdag'!$T$232</definedName>
    <definedName name="object8_gemuurtarief1">'Ruimten werkdag'!$P$246</definedName>
    <definedName name="object8_opptabel1">Objectinformatie!$Q$5:$Q$61</definedName>
    <definedName name="object8_opptabel2">Objectinformatie!$Q$64:$Q$74</definedName>
    <definedName name="object8_opptabel3">Objectinformatie!$Q$77:$Q$97</definedName>
    <definedName name="object8_prijsdag1">'Ruimten werkdag'!$S$246</definedName>
    <definedName name="object8_prijsjaar1">'Ruimten werkdag'!$U$246</definedName>
    <definedName name="object8_urendag1">'Ruimten werkdag'!$Q$246</definedName>
    <definedName name="object8_urendaghf1">'Ruimten werkdag'!$R$246</definedName>
    <definedName name="object8_urenjaar1">'Ruimten werkdag'!$T$246</definedName>
    <definedName name="object9_gemuurtarief1">'Ruimten werkdag'!$P$261</definedName>
    <definedName name="object9_opptabel1">Objectinformatie!$R$5:$R$61</definedName>
    <definedName name="object9_opptabel2">Objectinformatie!$R$64:$R$74</definedName>
    <definedName name="object9_opptabel3">Objectinformatie!$R$77:$R$97</definedName>
    <definedName name="object9_prijsdag1">'Ruimten werkdag'!$S$261</definedName>
    <definedName name="object9_prijsjaar1">'Ruimten werkdag'!$U$261</definedName>
    <definedName name="object9_urendag1">'Ruimten werkdag'!$Q$261</definedName>
    <definedName name="object9_urendaghf1">'Ruimten werkdag'!$R$261</definedName>
    <definedName name="object9_urenjaar1">'Ruimten werkdag'!$T$261</definedName>
    <definedName name="objectprijs1_1">Objecten!$R$6</definedName>
    <definedName name="objectprijs10_1">Objecten!$R$15</definedName>
    <definedName name="objectprijs11_1">Objecten!$R$16</definedName>
    <definedName name="objectprijs12_1">Objecten!$R$17</definedName>
    <definedName name="objectprijs13_1">Objecten!$R$18</definedName>
    <definedName name="objectprijs14_1">Objecten!$R$19</definedName>
    <definedName name="objectprijs15_1">Objecten!$R$20</definedName>
    <definedName name="objectprijs16_1">Objecten!$R$21</definedName>
    <definedName name="objectprijs17_1">Objecten!$R$22</definedName>
    <definedName name="objectprijs18_1">Objecten!$R$23</definedName>
    <definedName name="objectprijs18_3">Objecten!$R$44</definedName>
    <definedName name="objectprijs19_1">Objecten!$R$24</definedName>
    <definedName name="objectprijs2_1">Objecten!$R$7</definedName>
    <definedName name="objectprijs20_1">Objecten!$R$25</definedName>
    <definedName name="objectprijs21_1">Objecten!$R$26</definedName>
    <definedName name="objectprijs21_3">Objecten!$R$45</definedName>
    <definedName name="objectprijs22_1">Objecten!$R$27</definedName>
    <definedName name="objectprijs23_1">Objecten!$R$28</definedName>
    <definedName name="objectprijs24_1">Objecten!$R$29</definedName>
    <definedName name="objectprijs25_1">Objecten!$R$30</definedName>
    <definedName name="objectprijs26_1">Objecten!$R$31</definedName>
    <definedName name="objectprijs27_1">Objecten!$R$32</definedName>
    <definedName name="objectprijs28_1">Objecten!$R$33</definedName>
    <definedName name="objectprijs3_1">Objecten!$R$8</definedName>
    <definedName name="objectprijs3_2">Objecten!$R$38</definedName>
    <definedName name="objectprijs3_3">Objecten!$R$43</definedName>
    <definedName name="objectprijs4_1">Objecten!$R$9</definedName>
    <definedName name="objectprijs5_1">Objecten!$R$10</definedName>
    <definedName name="objectprijs6_1">Objecten!$R$11</definedName>
    <definedName name="objectprijs7_1">Objecten!$R$12</definedName>
    <definedName name="objectprijs8_1">Objecten!$R$13</definedName>
    <definedName name="objectprijs9_1">Objecten!$R$14</definedName>
    <definedName name="objecturen1_1">Objecten!$Q$6</definedName>
    <definedName name="objecturen10_1">Objecten!$Q$15</definedName>
    <definedName name="objecturen11_1">Objecten!$Q$16</definedName>
    <definedName name="objecturen12_1">Objecten!$Q$17</definedName>
    <definedName name="objecturen13_1">Objecten!$Q$18</definedName>
    <definedName name="objecturen14_1">Objecten!$Q$19</definedName>
    <definedName name="objecturen15_1">Objecten!$Q$20</definedName>
    <definedName name="objecturen16_1">Objecten!$Q$21</definedName>
    <definedName name="objecturen17_1">Objecten!$Q$22</definedName>
    <definedName name="objecturen18_1">Objecten!$Q$23</definedName>
    <definedName name="objecturen18_3">Objecten!$Q$44</definedName>
    <definedName name="objecturen19_1">Objecten!$Q$24</definedName>
    <definedName name="objecturen2_1">Objecten!$Q$7</definedName>
    <definedName name="objecturen20_1">Objecten!$Q$25</definedName>
    <definedName name="objecturen21_1">Objecten!$Q$26</definedName>
    <definedName name="objecturen21_3">Objecten!$Q$45</definedName>
    <definedName name="objecturen22_1">Objecten!$Q$27</definedName>
    <definedName name="objecturen23_1">Objecten!$Q$28</definedName>
    <definedName name="objecturen24_1">Objecten!$Q$29</definedName>
    <definedName name="objecturen25_1">Objecten!$Q$30</definedName>
    <definedName name="objecturen26_1">Objecten!$Q$31</definedName>
    <definedName name="objecturen27_1">Objecten!$Q$32</definedName>
    <definedName name="objecturen28_1">Objecten!$Q$33</definedName>
    <definedName name="objecturen3_1">Objecten!$Q$8</definedName>
    <definedName name="objecturen3_2">Objecten!$Q$38</definedName>
    <definedName name="objecturen3_3">Objecten!$Q$43</definedName>
    <definedName name="objecturen4_1">Objecten!$Q$9</definedName>
    <definedName name="objecturen5_1">Objecten!$Q$10</definedName>
    <definedName name="objecturen6_1">Objecten!$Q$11</definedName>
    <definedName name="objecturen7_1">Objecten!$Q$12</definedName>
    <definedName name="objecturen8_1">Objecten!$Q$13</definedName>
    <definedName name="objecturen9_1">Objecten!$Q$14</definedName>
    <definedName name="objecturenhf1_1">Objecten!$P$6</definedName>
    <definedName name="objecturenhf10_1">Objecten!$P$15</definedName>
    <definedName name="objecturenhf11_1">Objecten!$P$16</definedName>
    <definedName name="objecturenhf12_1">Objecten!$P$17</definedName>
    <definedName name="objecturenhf13_1">Objecten!$P$18</definedName>
    <definedName name="objecturenhf14_1">Objecten!$P$19</definedName>
    <definedName name="objecturenhf15_1">Objecten!$P$20</definedName>
    <definedName name="objecturenhf16_1">Objecten!$P$21</definedName>
    <definedName name="objecturenhf17_1">Objecten!$P$22</definedName>
    <definedName name="objecturenhf18_1">Objecten!$P$23</definedName>
    <definedName name="objecturenhf18_3">Objecten!$P$44</definedName>
    <definedName name="objecturenhf19_1">Objecten!$P$24</definedName>
    <definedName name="objecturenhf2_1">Objecten!$P$7</definedName>
    <definedName name="objecturenhf20_1">Objecten!$P$25</definedName>
    <definedName name="objecturenhf21_1">Objecten!$P$26</definedName>
    <definedName name="objecturenhf21_3">Objecten!$P$45</definedName>
    <definedName name="objecturenhf22_1">Objecten!$P$27</definedName>
    <definedName name="objecturenhf23_1">Objecten!$P$28</definedName>
    <definedName name="objecturenhf24_1">Objecten!$P$29</definedName>
    <definedName name="objecturenhf25_1">Objecten!$P$30</definedName>
    <definedName name="objecturenhf26_1">Objecten!$P$31</definedName>
    <definedName name="objecturenhf27_1">Objecten!$P$32</definedName>
    <definedName name="objecturenhf28_1">Objecten!$P$33</definedName>
    <definedName name="objecturenhf3_1">Objecten!$P$8</definedName>
    <definedName name="objecturenhf3_2">Objecten!$P$38</definedName>
    <definedName name="objecturenhf3_3">Objecten!$P$43</definedName>
    <definedName name="objecturenhf4_1">Objecten!$P$9</definedName>
    <definedName name="objecturenhf5_1">Objecten!$P$10</definedName>
    <definedName name="objecturenhf6_1">Objecten!$P$11</definedName>
    <definedName name="objecturenhf7_1">Objecten!$P$12</definedName>
    <definedName name="objecturenhf8_1">Objecten!$P$13</definedName>
    <definedName name="objecturenhf9_1">Objecten!$P$14</definedName>
    <definedName name="prijsdag1">'Regulier werk'!$L$63</definedName>
    <definedName name="prijsdag2">'Regulier werk'!$L$80</definedName>
    <definedName name="prijsdag3">'Regulier werk'!$L$107</definedName>
    <definedName name="prijsjaar">'Regulier werk'!$N$112</definedName>
    <definedName name="prijsjaar1">'Regulier werk'!$N$63</definedName>
    <definedName name="prijsjaar2">'Regulier werk'!$N$80</definedName>
    <definedName name="prijsjaar3">'Regulier werk'!$N$107</definedName>
    <definedName name="prijsjaaradditioneel">'Additioneel werk'!$K$9</definedName>
    <definedName name="prijsjaaradditioneel1">'Additioneel werk'!$K$7</definedName>
    <definedName name="prijsjaarafroep">Afroep!$K$18</definedName>
    <definedName name="prijsjaarafroep1">Afroep!$K$10</definedName>
    <definedName name="prijsjaarafroep3">Afroep!$K$16</definedName>
    <definedName name="prijsjaarglas">Glas!$K$33</definedName>
    <definedName name="prijsjaarglas1">Glas!$K$31</definedName>
    <definedName name="prijsjaartotaal">Objecten!$R$49</definedName>
    <definedName name="prijsjaartotaal1">Objecten!$R$34</definedName>
    <definedName name="prijsjaartotaal2">Objecten!$R$39</definedName>
    <definedName name="prijsjaartotaal3">Objecten!$R$46</definedName>
    <definedName name="prijsjaartotaaloverzicht">'Totaalblad Objecten'!$G$33</definedName>
    <definedName name="prijsmaandtotaal1">Objecten!$S$34</definedName>
    <definedName name="prijsmaandtotaal2">Objecten!$S$39</definedName>
    <definedName name="prijsmaandtotaal3">Objecten!$S$46</definedName>
    <definedName name="prodnorm0">Glas!$H$28</definedName>
    <definedName name="prodnorm10">'Glas per locatie'!$I$162</definedName>
    <definedName name="prodnorm102">'Regulier werk'!$G$106</definedName>
    <definedName name="prodnorm103">'Regulier werk'!$G$86</definedName>
    <definedName name="prodnorm104">'Regulier werk'!$G$87</definedName>
    <definedName name="prodnorm105">'Regulier werk'!$G$88</definedName>
    <definedName name="prodnorm106">'Regulier werk'!$G$89</definedName>
    <definedName name="prodnorm107">'Regulier werk'!$G$90</definedName>
    <definedName name="prodnorm108">'Regulier werk'!$G$91</definedName>
    <definedName name="prodnorm109">'Regulier werk'!$G$92</definedName>
    <definedName name="prodnorm11">'Glas per locatie'!$I$23</definedName>
    <definedName name="prodnorm110">'Regulier werk'!$G$93</definedName>
    <definedName name="prodnorm111">'Regulier werk'!$G$94</definedName>
    <definedName name="prodnorm112">'Regulier werk'!$G$95</definedName>
    <definedName name="prodnorm113">'Regulier werk'!$G$96</definedName>
    <definedName name="prodnorm114">'Regulier werk'!$G$97</definedName>
    <definedName name="prodnorm115">'Regulier werk'!$G$98</definedName>
    <definedName name="prodnorm116">'Regulier werk'!$G$99</definedName>
    <definedName name="prodnorm117">'Regulier werk'!$G$100</definedName>
    <definedName name="prodnorm118">'Regulier werk'!$G$101</definedName>
    <definedName name="prodnorm119">'Regulier werk'!$G$102</definedName>
    <definedName name="prodnorm12">'Glas per locatie'!$I$30</definedName>
    <definedName name="prodnorm120">'Regulier werk'!$G$103</definedName>
    <definedName name="prodnorm121">'Regulier werk'!$G$104</definedName>
    <definedName name="prodnorm122">'Regulier werk'!$G$105</definedName>
    <definedName name="prodnorm13">'Glas per locatie'!$I$36</definedName>
    <definedName name="prodnorm14">'Glas per locatie'!$I$42</definedName>
    <definedName name="prodnorm15">'Glas per locatie'!$I$48</definedName>
    <definedName name="prodnorm16">'Glas per locatie'!$I$54</definedName>
    <definedName name="prodnorm17">'Glas per locatie'!$I$60</definedName>
    <definedName name="prodnorm18">'Glas per locatie'!$I$66</definedName>
    <definedName name="prodnorm19">'Glas per locatie'!$I$72</definedName>
    <definedName name="prodnorm20">'Glas per locatie'!$I$78</definedName>
    <definedName name="prodnorm21">'Glas per locatie'!$I$84</definedName>
    <definedName name="prodnorm22">'Glas per locatie'!$I$90</definedName>
    <definedName name="prodnorm23">'Glas per locatie'!$I$96</definedName>
    <definedName name="prodnorm24">'Glas per locatie'!$I$102</definedName>
    <definedName name="prodnorm25">'Glas per locatie'!$I$108</definedName>
    <definedName name="prodnorm26">'Glas per locatie'!$I$115</definedName>
    <definedName name="prodnorm27">'Glas per locatie'!$I$9</definedName>
    <definedName name="prodnorm28">'Glas per locatie'!$I$16</definedName>
    <definedName name="prodnorm29">'Additioneel werk per locatie'!$I$34</definedName>
    <definedName name="prodnorm30">'Regulier werk'!$G$62</definedName>
    <definedName name="prodnorm32">'Regulier werk'!$G$6</definedName>
    <definedName name="prodnorm33">'Regulier werk'!$G$7</definedName>
    <definedName name="prodnorm34">'Regulier werk'!$G$8</definedName>
    <definedName name="prodnorm35">'Regulier werk'!$G$9</definedName>
    <definedName name="prodnorm36">'Regulier werk'!$G$10</definedName>
    <definedName name="prodnorm37">'Regulier werk'!$G$11</definedName>
    <definedName name="prodnorm38">'Regulier werk'!$G$12</definedName>
    <definedName name="prodnorm39">'Regulier werk'!$G$13</definedName>
    <definedName name="prodnorm40">'Regulier werk'!$G$14</definedName>
    <definedName name="prodnorm41">'Regulier werk'!$G$15</definedName>
    <definedName name="prodnorm42">'Regulier werk'!$G$16</definedName>
    <definedName name="prodnorm43">'Regulier werk'!$G$17</definedName>
    <definedName name="prodnorm44">'Regulier werk'!$G$18</definedName>
    <definedName name="prodnorm45">'Regulier werk'!$G$19</definedName>
    <definedName name="prodnorm46">'Regulier werk'!$G$20</definedName>
    <definedName name="prodnorm47">'Regulier werk'!$G$21</definedName>
    <definedName name="prodnorm48">'Regulier werk'!$G$22</definedName>
    <definedName name="prodnorm49">'Regulier werk'!$G$23</definedName>
    <definedName name="prodnorm5">'Glas per locatie'!$I$112</definedName>
    <definedName name="prodnorm50">'Regulier werk'!$G$24</definedName>
    <definedName name="prodnorm51">'Regulier werk'!$G$25</definedName>
    <definedName name="prodnorm52">'Regulier werk'!$G$26</definedName>
    <definedName name="prodnorm53">'Regulier werk'!$G$27</definedName>
    <definedName name="prodnorm54">'Regulier werk'!$G$28</definedName>
    <definedName name="prodnorm55">'Regulier werk'!$G$29</definedName>
    <definedName name="prodnorm56">'Regulier werk'!$G$30</definedName>
    <definedName name="prodnorm57">'Regulier werk'!$G$31</definedName>
    <definedName name="prodnorm58">'Regulier werk'!$G$32</definedName>
    <definedName name="prodnorm59">'Regulier werk'!$G$33</definedName>
    <definedName name="prodnorm6">'Glas per locatie'!$I$160</definedName>
    <definedName name="prodnorm60">'Regulier werk'!$G$34</definedName>
    <definedName name="prodnorm61">'Regulier werk'!$G$35</definedName>
    <definedName name="prodnorm62">'Regulier werk'!$G$36</definedName>
    <definedName name="prodnorm63">'Regulier werk'!$G$37</definedName>
    <definedName name="prodnorm64">'Regulier werk'!$G$38</definedName>
    <definedName name="prodnorm65">'Regulier werk'!$G$39</definedName>
    <definedName name="prodnorm66">'Regulier werk'!$G$40</definedName>
    <definedName name="prodnorm67">'Regulier werk'!$G$41</definedName>
    <definedName name="prodnorm68">'Regulier werk'!$G$42</definedName>
    <definedName name="prodnorm69">'Regulier werk'!$G$43</definedName>
    <definedName name="prodnorm7">'Glas per locatie'!$I$113</definedName>
    <definedName name="prodnorm70">'Regulier werk'!$G$44</definedName>
    <definedName name="prodnorm71">'Regulier werk'!$G$45</definedName>
    <definedName name="prodnorm72">'Regulier werk'!$G$46</definedName>
    <definedName name="prodnorm73">'Regulier werk'!$G$47</definedName>
    <definedName name="prodnorm74">'Regulier werk'!$G$48</definedName>
    <definedName name="prodnorm75">'Regulier werk'!$G$49</definedName>
    <definedName name="prodnorm76">'Regulier werk'!$G$50</definedName>
    <definedName name="prodnorm77">'Regulier werk'!$G$51</definedName>
    <definedName name="prodnorm78">'Regulier werk'!$G$52</definedName>
    <definedName name="prodnorm79">'Regulier werk'!$G$53</definedName>
    <definedName name="prodnorm8">'Glas per locatie'!$I$161</definedName>
    <definedName name="prodnorm80">'Regulier werk'!$G$54</definedName>
    <definedName name="prodnorm81">'Regulier werk'!$G$55</definedName>
    <definedName name="prodnorm82">'Regulier werk'!$G$56</definedName>
    <definedName name="prodnorm83">'Regulier werk'!$G$57</definedName>
    <definedName name="prodnorm84">'Regulier werk'!$G$58</definedName>
    <definedName name="prodnorm85">'Regulier werk'!$G$59</definedName>
    <definedName name="prodnorm86">'Regulier werk'!$G$60</definedName>
    <definedName name="prodnorm87">'Regulier werk'!$G$61</definedName>
    <definedName name="prodnorm89">'Regulier werk'!$G$69</definedName>
    <definedName name="prodnorm9">'Glas per locatie'!$I$114</definedName>
    <definedName name="prodnorm90">'Regulier werk'!$G$70</definedName>
    <definedName name="prodnorm91">'Regulier werk'!$G$71</definedName>
    <definedName name="prodnorm92">'Regulier werk'!$G$72</definedName>
    <definedName name="prodnorm93">'Regulier werk'!$G$73</definedName>
    <definedName name="prodnorm94">'Regulier werk'!$G$74</definedName>
    <definedName name="prodnorm95">'Regulier werk'!$G$75</definedName>
    <definedName name="prodnorm96">'Regulier werk'!$G$76</definedName>
    <definedName name="prodnorm97">'Regulier werk'!$G$77</definedName>
    <definedName name="prodnorm98">'Regulier werk'!$G$78</definedName>
    <definedName name="prodnorm99">'Regulier werk'!$G$79</definedName>
    <definedName name="taakfreqtabel1">Objectinformatie!$E$5:$E$61</definedName>
    <definedName name="taakfreqtabel2">Objectinformatie!$E$64:$E$74</definedName>
    <definedName name="taakfreqtabel3">Objectinformatie!$E$77:$E$97</definedName>
    <definedName name="tabeltype">Omreken!$B$5:$B$5</definedName>
    <definedName name="Tariefopbouw1">Tariefopbouw!$B$53</definedName>
    <definedName name="Tariefopbouw2">Tariefopbouw!$D$53</definedName>
    <definedName name="Tariefopbouw3">Tariefopbouw!$F$53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tabel1">Objectinformatie!$I$5:$I$61</definedName>
    <definedName name="tarieftabel2">Objectinformatie!$I$64:$I$74</definedName>
    <definedName name="tarieftabel3">Objectinformatie!$I$77:$I$97</definedName>
    <definedName name="TariefUitvoering1">Tariefopbouw!$C$50</definedName>
    <definedName name="TariefUitvoering2">Tariefopbouw!$E$50</definedName>
    <definedName name="TariefUitvoering3">Tariefopbouw!$G$50</definedName>
    <definedName name="urendag1">'Regulier werk'!$K$63</definedName>
    <definedName name="urendag2">'Regulier werk'!$K$80</definedName>
    <definedName name="urendag3">'Regulier werk'!$K$107</definedName>
    <definedName name="urenjaar">'Regulier werk'!$M$112</definedName>
    <definedName name="urenjaar1">'Regulier werk'!$M$63</definedName>
    <definedName name="urenjaar2">'Regulier werk'!$M$80</definedName>
    <definedName name="urenjaar3">'Regulier werk'!$M$107</definedName>
    <definedName name="urenjaartotaal">Objecten!$Q$49</definedName>
    <definedName name="urenjaartotaal1">Objecten!$Q$34</definedName>
    <definedName name="urenjaartotaal2">Objecten!$Q$39</definedName>
    <definedName name="urenjaartotaal3">Objecten!$Q$46</definedName>
    <definedName name="urenjaartotaalhf">Objecten!$P$49</definedName>
    <definedName name="urenjaartotaalhf1">Objecten!$P$34</definedName>
    <definedName name="urenjaartotaalhf2">Objecten!$P$39</definedName>
    <definedName name="urenjaartotaalhf3">Objecten!$P$46</definedName>
    <definedName name="urenjaartotaaloverzicht">'Totaalblad Objecten'!$F$33</definedName>
    <definedName name="urenjaartotaaloverzichthf">'Totaalblad Objecten'!$E$33</definedName>
    <definedName name="uurfactortabel1">Objectinformatie!$F$5:$F$61</definedName>
    <definedName name="uurfactortabel2">Objectinformatie!$F$64:$F$74</definedName>
    <definedName name="uurfactortabel3">Objectinformatie!$F$77:$F$97</definedName>
    <definedName name="uurtarief0">Glas!$I$28</definedName>
    <definedName name="uurtarief10">'Glas per locatie'!$J$162</definedName>
    <definedName name="uurtarief102">'Regulier werk'!$J$106</definedName>
    <definedName name="uurtarief103">'Regulier werk'!$J$86</definedName>
    <definedName name="uurtarief104">'Regulier werk'!$J$87</definedName>
    <definedName name="uurtarief105">'Regulier werk'!$J$88</definedName>
    <definedName name="uurtarief106">'Regulier werk'!$J$89</definedName>
    <definedName name="uurtarief107">'Regulier werk'!$J$90</definedName>
    <definedName name="uurtarief108">'Regulier werk'!$J$91</definedName>
    <definedName name="uurtarief109">'Regulier werk'!$J$92</definedName>
    <definedName name="uurtarief11">'Glas per locatie'!$J$23</definedName>
    <definedName name="uurtarief110">'Regulier werk'!$J$93</definedName>
    <definedName name="uurtarief111">'Regulier werk'!$J$94</definedName>
    <definedName name="uurtarief112">'Regulier werk'!$J$95</definedName>
    <definedName name="uurtarief113">'Regulier werk'!$J$96</definedName>
    <definedName name="uurtarief114">'Regulier werk'!$J$97</definedName>
    <definedName name="uurtarief115">'Regulier werk'!$J$98</definedName>
    <definedName name="uurtarief116">'Regulier werk'!$J$99</definedName>
    <definedName name="uurtarief117">'Regulier werk'!$J$100</definedName>
    <definedName name="uurtarief118">'Regulier werk'!$J$101</definedName>
    <definedName name="uurtarief119">'Regulier werk'!$J$102</definedName>
    <definedName name="uurtarief12">'Glas per locatie'!$J$30</definedName>
    <definedName name="uurtarief120">'Regulier werk'!$J$103</definedName>
    <definedName name="uurtarief121">'Regulier werk'!$J$104</definedName>
    <definedName name="uurtarief122">'Regulier werk'!$J$105</definedName>
    <definedName name="uurtarief13">'Glas per locatie'!$J$36</definedName>
    <definedName name="uurtarief14">'Glas per locatie'!$J$42</definedName>
    <definedName name="uurtarief15">'Glas per locatie'!$J$48</definedName>
    <definedName name="uurtarief16">'Glas per locatie'!$J$54</definedName>
    <definedName name="uurtarief17">'Glas per locatie'!$J$60</definedName>
    <definedName name="uurtarief18">'Glas per locatie'!$J$66</definedName>
    <definedName name="uurtarief19">'Glas per locatie'!$J$72</definedName>
    <definedName name="uurtarief20">'Glas per locatie'!$J$78</definedName>
    <definedName name="uurtarief21">'Glas per locatie'!$J$84</definedName>
    <definedName name="uurtarief22">'Glas per locatie'!$J$90</definedName>
    <definedName name="uurtarief23">'Glas per locatie'!$J$96</definedName>
    <definedName name="uurtarief24">'Glas per locatie'!$J$102</definedName>
    <definedName name="uurtarief25">'Glas per locatie'!$J$108</definedName>
    <definedName name="uurtarief26">'Glas per locatie'!$J$115</definedName>
    <definedName name="uurtarief27">'Glas per locatie'!$J$9</definedName>
    <definedName name="uurtarief28">'Glas per locatie'!$J$16</definedName>
    <definedName name="uurtarief29">'Additioneel werk per locatie'!$H$34</definedName>
    <definedName name="uurtarief30">'Regulier werk'!$J$62</definedName>
    <definedName name="uurtarief32">'Regulier werk'!$J$6</definedName>
    <definedName name="uurtarief33">'Regulier werk'!$J$7</definedName>
    <definedName name="uurtarief34">'Regulier werk'!$J$8</definedName>
    <definedName name="uurtarief35">'Regulier werk'!$J$9</definedName>
    <definedName name="uurtarief36">'Regulier werk'!$J$10</definedName>
    <definedName name="uurtarief37">'Regulier werk'!$J$11</definedName>
    <definedName name="uurtarief38">'Regulier werk'!$J$12</definedName>
    <definedName name="uurtarief39">'Regulier werk'!$J$13</definedName>
    <definedName name="uurtarief40">'Regulier werk'!$J$14</definedName>
    <definedName name="uurtarief41">'Regulier werk'!$J$15</definedName>
    <definedName name="uurtarief42">'Regulier werk'!$J$16</definedName>
    <definedName name="uurtarief43">'Regulier werk'!$J$17</definedName>
    <definedName name="uurtarief44">'Regulier werk'!$J$18</definedName>
    <definedName name="uurtarief45">'Regulier werk'!$J$19</definedName>
    <definedName name="uurtarief46">'Regulier werk'!$J$20</definedName>
    <definedName name="uurtarief47">'Regulier werk'!$J$21</definedName>
    <definedName name="uurtarief48">'Regulier werk'!$J$22</definedName>
    <definedName name="uurtarief49">'Regulier werk'!$J$23</definedName>
    <definedName name="uurtarief5">'Glas per locatie'!$J$112</definedName>
    <definedName name="uurtarief50">'Regulier werk'!$J$24</definedName>
    <definedName name="uurtarief51">'Regulier werk'!$J$25</definedName>
    <definedName name="uurtarief52">'Regulier werk'!$J$26</definedName>
    <definedName name="uurtarief53">'Regulier werk'!$J$27</definedName>
    <definedName name="uurtarief54">'Regulier werk'!$J$28</definedName>
    <definedName name="uurtarief55">'Regulier werk'!$J$29</definedName>
    <definedName name="uurtarief56">'Regulier werk'!$J$30</definedName>
    <definedName name="uurtarief57">'Regulier werk'!$J$31</definedName>
    <definedName name="uurtarief58">'Regulier werk'!$J$32</definedName>
    <definedName name="uurtarief59">'Regulier werk'!$J$33</definedName>
    <definedName name="uurtarief6">'Glas per locatie'!$J$160</definedName>
    <definedName name="uurtarief60">'Regulier werk'!$J$34</definedName>
    <definedName name="uurtarief61">'Regulier werk'!$J$35</definedName>
    <definedName name="uurtarief62">'Regulier werk'!$J$36</definedName>
    <definedName name="uurtarief63">'Regulier werk'!$J$37</definedName>
    <definedName name="uurtarief64">'Regulier werk'!$J$38</definedName>
    <definedName name="uurtarief65">'Regulier werk'!$J$39</definedName>
    <definedName name="uurtarief66">'Regulier werk'!$J$40</definedName>
    <definedName name="uurtarief67">'Regulier werk'!$J$41</definedName>
    <definedName name="uurtarief68">'Regulier werk'!$J$42</definedName>
    <definedName name="uurtarief69">'Regulier werk'!$J$43</definedName>
    <definedName name="uurtarief7">'Glas per locatie'!$J$113</definedName>
    <definedName name="uurtarief70">'Regulier werk'!$J$44</definedName>
    <definedName name="uurtarief71">'Regulier werk'!$J$45</definedName>
    <definedName name="uurtarief72">'Regulier werk'!$J$46</definedName>
    <definedName name="uurtarief73">'Regulier werk'!$J$47</definedName>
    <definedName name="uurtarief74">'Regulier werk'!$J$48</definedName>
    <definedName name="uurtarief75">'Regulier werk'!$J$49</definedName>
    <definedName name="uurtarief76">'Regulier werk'!$J$50</definedName>
    <definedName name="uurtarief77">'Regulier werk'!$J$51</definedName>
    <definedName name="uurtarief78">'Regulier werk'!$J$52</definedName>
    <definedName name="uurtarief79">'Regulier werk'!$J$53</definedName>
    <definedName name="uurtarief8">'Glas per locatie'!$J$161</definedName>
    <definedName name="uurtarief80">'Regulier werk'!$J$54</definedName>
    <definedName name="uurtarief81">'Regulier werk'!$J$55</definedName>
    <definedName name="uurtarief82">'Regulier werk'!$J$56</definedName>
    <definedName name="uurtarief83">'Regulier werk'!$J$57</definedName>
    <definedName name="uurtarief84">'Regulier werk'!$J$58</definedName>
    <definedName name="uurtarief85">'Regulier werk'!$J$59</definedName>
    <definedName name="uurtarief86">'Regulier werk'!$J$60</definedName>
    <definedName name="uurtarief87">'Regulier werk'!$J$61</definedName>
    <definedName name="uurtarief89">'Regulier werk'!$J$69</definedName>
    <definedName name="uurtarief9">'Glas per locatie'!$J$114</definedName>
    <definedName name="uurtarief90">'Regulier werk'!$J$70</definedName>
    <definedName name="uurtarief91">'Regulier werk'!$J$71</definedName>
    <definedName name="uurtarief92">'Regulier werk'!$J$72</definedName>
    <definedName name="uurtarief93">'Regulier werk'!$J$73</definedName>
    <definedName name="uurtarief94">'Regulier werk'!$J$74</definedName>
    <definedName name="uurtarief95">'Regulier werk'!$J$75</definedName>
    <definedName name="uurtarief96">'Regulier werk'!$J$76</definedName>
    <definedName name="uurtarief97">'Regulier werk'!$J$77</definedName>
    <definedName name="uurtarief98">'Regulier werk'!$J$78</definedName>
    <definedName name="uurtarief99">'Regulier werk'!$J$79</definedName>
    <definedName name="vu_variant">Totaal!$B$9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7" l="1"/>
  <c r="J162" i="16"/>
  <c r="K162" i="16" s="1"/>
  <c r="H162" i="16"/>
  <c r="J161" i="16"/>
  <c r="K161" i="16" s="1"/>
  <c r="H161" i="16"/>
  <c r="J160" i="16"/>
  <c r="K160" i="16" s="1"/>
  <c r="K163" i="16" s="1"/>
  <c r="H160" i="16"/>
  <c r="J156" i="16"/>
  <c r="K156" i="16" s="1"/>
  <c r="H156" i="16"/>
  <c r="J155" i="16"/>
  <c r="K155" i="16" s="1"/>
  <c r="H155" i="16"/>
  <c r="J154" i="16"/>
  <c r="K154" i="16" s="1"/>
  <c r="K157" i="16" s="1"/>
  <c r="H154" i="16"/>
  <c r="J150" i="16"/>
  <c r="K150" i="16" s="1"/>
  <c r="H150" i="16"/>
  <c r="J149" i="16"/>
  <c r="K149" i="16" s="1"/>
  <c r="K151" i="16" s="1"/>
  <c r="H149" i="16"/>
  <c r="J145" i="16"/>
  <c r="K145" i="16" s="1"/>
  <c r="H145" i="16"/>
  <c r="J144" i="16"/>
  <c r="K144" i="16" s="1"/>
  <c r="H144" i="16"/>
  <c r="J143" i="16"/>
  <c r="K143" i="16" s="1"/>
  <c r="K146" i="16" s="1"/>
  <c r="H143" i="16"/>
  <c r="J139" i="16"/>
  <c r="K139" i="16" s="1"/>
  <c r="H139" i="16"/>
  <c r="J138" i="16"/>
  <c r="K138" i="16" s="1"/>
  <c r="H138" i="16"/>
  <c r="J137" i="16"/>
  <c r="K137" i="16" s="1"/>
  <c r="K140" i="16" s="1"/>
  <c r="H137" i="16"/>
  <c r="J133" i="16"/>
  <c r="K133" i="16" s="1"/>
  <c r="H133" i="16"/>
  <c r="J132" i="16"/>
  <c r="K132" i="16" s="1"/>
  <c r="H132" i="16"/>
  <c r="J131" i="16"/>
  <c r="K131" i="16" s="1"/>
  <c r="K134" i="16" s="1"/>
  <c r="H131" i="16"/>
  <c r="J127" i="16"/>
  <c r="K127" i="16" s="1"/>
  <c r="H127" i="16"/>
  <c r="J126" i="16"/>
  <c r="K126" i="16" s="1"/>
  <c r="H126" i="16"/>
  <c r="J125" i="16"/>
  <c r="K125" i="16" s="1"/>
  <c r="K128" i="16" s="1"/>
  <c r="H125" i="16"/>
  <c r="J121" i="16"/>
  <c r="K121" i="16" s="1"/>
  <c r="H121" i="16"/>
  <c r="J120" i="16"/>
  <c r="K120" i="16" s="1"/>
  <c r="H120" i="16"/>
  <c r="J119" i="16"/>
  <c r="K119" i="16" s="1"/>
  <c r="K122" i="16" s="1"/>
  <c r="H119" i="16"/>
  <c r="J115" i="16"/>
  <c r="K115" i="16" s="1"/>
  <c r="H115" i="16"/>
  <c r="J114" i="16"/>
  <c r="K114" i="16" s="1"/>
  <c r="H114" i="16"/>
  <c r="J113" i="16"/>
  <c r="K113" i="16" s="1"/>
  <c r="H113" i="16"/>
  <c r="J112" i="16"/>
  <c r="K112" i="16" s="1"/>
  <c r="K116" i="16" s="1"/>
  <c r="H112" i="16"/>
  <c r="J108" i="16"/>
  <c r="K108" i="16" s="1"/>
  <c r="H108" i="16"/>
  <c r="J107" i="16"/>
  <c r="K107" i="16" s="1"/>
  <c r="H107" i="16"/>
  <c r="J106" i="16"/>
  <c r="K106" i="16" s="1"/>
  <c r="K109" i="16" s="1"/>
  <c r="H106" i="16"/>
  <c r="J102" i="16"/>
  <c r="K102" i="16" s="1"/>
  <c r="H102" i="16"/>
  <c r="J101" i="16"/>
  <c r="K101" i="16" s="1"/>
  <c r="H101" i="16"/>
  <c r="J100" i="16"/>
  <c r="K100" i="16" s="1"/>
  <c r="K103" i="16" s="1"/>
  <c r="H100" i="16"/>
  <c r="J96" i="16"/>
  <c r="K96" i="16" s="1"/>
  <c r="H96" i="16"/>
  <c r="J95" i="16"/>
  <c r="K95" i="16" s="1"/>
  <c r="H95" i="16"/>
  <c r="J94" i="16"/>
  <c r="K94" i="16" s="1"/>
  <c r="K97" i="16" s="1"/>
  <c r="H94" i="16"/>
  <c r="J90" i="16"/>
  <c r="K90" i="16" s="1"/>
  <c r="H90" i="16"/>
  <c r="J89" i="16"/>
  <c r="K89" i="16" s="1"/>
  <c r="H89" i="16"/>
  <c r="J88" i="16"/>
  <c r="K88" i="16" s="1"/>
  <c r="K91" i="16" s="1"/>
  <c r="H88" i="16"/>
  <c r="J84" i="16"/>
  <c r="K84" i="16" s="1"/>
  <c r="H84" i="16"/>
  <c r="J83" i="16"/>
  <c r="K83" i="16" s="1"/>
  <c r="H83" i="16"/>
  <c r="J82" i="16"/>
  <c r="K82" i="16" s="1"/>
  <c r="K85" i="16" s="1"/>
  <c r="H82" i="16"/>
  <c r="J78" i="16"/>
  <c r="K78" i="16" s="1"/>
  <c r="H78" i="16"/>
  <c r="J77" i="16"/>
  <c r="K77" i="16" s="1"/>
  <c r="H77" i="16"/>
  <c r="J76" i="16"/>
  <c r="K76" i="16" s="1"/>
  <c r="K79" i="16" s="1"/>
  <c r="H76" i="16"/>
  <c r="J72" i="16"/>
  <c r="K72" i="16" s="1"/>
  <c r="H72" i="16"/>
  <c r="J71" i="16"/>
  <c r="K71" i="16" s="1"/>
  <c r="H71" i="16"/>
  <c r="J70" i="16"/>
  <c r="K70" i="16" s="1"/>
  <c r="K73" i="16" s="1"/>
  <c r="H70" i="16"/>
  <c r="J66" i="16"/>
  <c r="K66" i="16" s="1"/>
  <c r="H66" i="16"/>
  <c r="J65" i="16"/>
  <c r="K65" i="16" s="1"/>
  <c r="H65" i="16"/>
  <c r="J64" i="16"/>
  <c r="K64" i="16" s="1"/>
  <c r="K67" i="16" s="1"/>
  <c r="H64" i="16"/>
  <c r="J60" i="16"/>
  <c r="K60" i="16" s="1"/>
  <c r="H60" i="16"/>
  <c r="J59" i="16"/>
  <c r="K59" i="16" s="1"/>
  <c r="H59" i="16"/>
  <c r="J58" i="16"/>
  <c r="K58" i="16" s="1"/>
  <c r="K61" i="16" s="1"/>
  <c r="H58" i="16"/>
  <c r="J54" i="16"/>
  <c r="K54" i="16" s="1"/>
  <c r="H54" i="16"/>
  <c r="J53" i="16"/>
  <c r="K53" i="16" s="1"/>
  <c r="H53" i="16"/>
  <c r="J52" i="16"/>
  <c r="K52" i="16" s="1"/>
  <c r="K55" i="16" s="1"/>
  <c r="H52" i="16"/>
  <c r="J48" i="16"/>
  <c r="K48" i="16" s="1"/>
  <c r="H48" i="16"/>
  <c r="J47" i="16"/>
  <c r="K47" i="16" s="1"/>
  <c r="H47" i="16"/>
  <c r="J46" i="16"/>
  <c r="K46" i="16" s="1"/>
  <c r="K49" i="16" s="1"/>
  <c r="H46" i="16"/>
  <c r="J42" i="16"/>
  <c r="K42" i="16" s="1"/>
  <c r="H42" i="16"/>
  <c r="J41" i="16"/>
  <c r="K41" i="16" s="1"/>
  <c r="H41" i="16"/>
  <c r="J40" i="16"/>
  <c r="K40" i="16" s="1"/>
  <c r="K43" i="16" s="1"/>
  <c r="H40" i="16"/>
  <c r="J36" i="16"/>
  <c r="K36" i="16" s="1"/>
  <c r="H36" i="16"/>
  <c r="J35" i="16"/>
  <c r="K35" i="16" s="1"/>
  <c r="H35" i="16"/>
  <c r="J34" i="16"/>
  <c r="K34" i="16" s="1"/>
  <c r="K37" i="16" s="1"/>
  <c r="H34" i="16"/>
  <c r="J30" i="16"/>
  <c r="K30" i="16" s="1"/>
  <c r="H30" i="16"/>
  <c r="J29" i="16"/>
  <c r="K29" i="16" s="1"/>
  <c r="H29" i="16"/>
  <c r="J28" i="16"/>
  <c r="K28" i="16" s="1"/>
  <c r="H28" i="16"/>
  <c r="J27" i="16"/>
  <c r="K27" i="16" s="1"/>
  <c r="K31" i="16" s="1"/>
  <c r="H27" i="16"/>
  <c r="J23" i="16"/>
  <c r="K23" i="16" s="1"/>
  <c r="H23" i="16"/>
  <c r="J22" i="16"/>
  <c r="K22" i="16" s="1"/>
  <c r="H22" i="16"/>
  <c r="J21" i="16"/>
  <c r="K21" i="16" s="1"/>
  <c r="H21" i="16"/>
  <c r="J20" i="16"/>
  <c r="K20" i="16" s="1"/>
  <c r="K24" i="16" s="1"/>
  <c r="H20" i="16"/>
  <c r="J16" i="16"/>
  <c r="K16" i="16" s="1"/>
  <c r="H16" i="16"/>
  <c r="J15" i="16"/>
  <c r="K15" i="16" s="1"/>
  <c r="H15" i="16"/>
  <c r="J14" i="16"/>
  <c r="K14" i="16" s="1"/>
  <c r="H14" i="16"/>
  <c r="J13" i="16"/>
  <c r="K13" i="16" s="1"/>
  <c r="K17" i="16" s="1"/>
  <c r="H13" i="16"/>
  <c r="J9" i="16"/>
  <c r="K9" i="16" s="1"/>
  <c r="H9" i="16"/>
  <c r="J8" i="16"/>
  <c r="K8" i="16" s="1"/>
  <c r="H8" i="16"/>
  <c r="J7" i="16"/>
  <c r="K7" i="16" s="1"/>
  <c r="H7" i="16"/>
  <c r="J6" i="16"/>
  <c r="K6" i="16" s="1"/>
  <c r="K10" i="16" s="1"/>
  <c r="H6" i="16"/>
  <c r="A1" i="16"/>
  <c r="J30" i="15"/>
  <c r="J29" i="15"/>
  <c r="J28" i="15"/>
  <c r="J27" i="15"/>
  <c r="J26" i="15"/>
  <c r="J25" i="15"/>
  <c r="J24" i="15"/>
  <c r="J23" i="15"/>
  <c r="J22" i="15"/>
  <c r="J21" i="15"/>
  <c r="J20" i="15"/>
  <c r="J19" i="15"/>
  <c r="J18" i="15"/>
  <c r="J17" i="15"/>
  <c r="J16" i="15"/>
  <c r="J15" i="15"/>
  <c r="J14" i="15"/>
  <c r="J13" i="15"/>
  <c r="J12" i="15"/>
  <c r="J11" i="15"/>
  <c r="J10" i="15"/>
  <c r="J9" i="15"/>
  <c r="J8" i="15"/>
  <c r="J7" i="15"/>
  <c r="J6" i="15"/>
  <c r="A1" i="15"/>
  <c r="A1" i="14"/>
  <c r="J15" i="13"/>
  <c r="J14" i="13"/>
  <c r="J13" i="13"/>
  <c r="J9" i="13"/>
  <c r="J8" i="13"/>
  <c r="J7" i="13"/>
  <c r="J6" i="13"/>
  <c r="A1" i="13"/>
  <c r="I34" i="12"/>
  <c r="H34" i="12"/>
  <c r="I30" i="12"/>
  <c r="H30" i="12"/>
  <c r="I26" i="12"/>
  <c r="H26" i="12"/>
  <c r="I22" i="12"/>
  <c r="H22" i="12"/>
  <c r="I18" i="12"/>
  <c r="H18" i="12"/>
  <c r="I14" i="12"/>
  <c r="H14" i="12"/>
  <c r="I10" i="12"/>
  <c r="H10" i="12"/>
  <c r="I6" i="12"/>
  <c r="H6" i="12"/>
  <c r="A1" i="12"/>
  <c r="J6" i="11"/>
  <c r="A1" i="11"/>
  <c r="A1" i="10"/>
  <c r="A1" i="9"/>
  <c r="H97" i="8"/>
  <c r="H61" i="8"/>
  <c r="N102" i="7"/>
  <c r="A1" i="7"/>
  <c r="A1" i="6"/>
  <c r="R481" i="5"/>
  <c r="Q481" i="5"/>
  <c r="R478" i="5"/>
  <c r="Q478" i="5"/>
  <c r="R476" i="5"/>
  <c r="Q476" i="5"/>
  <c r="R471" i="5"/>
  <c r="Q471" i="5"/>
  <c r="R413" i="5"/>
  <c r="Q413" i="5"/>
  <c r="R410" i="5"/>
  <c r="Q410" i="5"/>
  <c r="R406" i="5"/>
  <c r="Q406" i="5"/>
  <c r="R397" i="5"/>
  <c r="Q397" i="5"/>
  <c r="N380" i="5"/>
  <c r="A1" i="5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J61" i="4"/>
  <c r="H61" i="4"/>
  <c r="G61" i="4"/>
  <c r="J60" i="4"/>
  <c r="H60" i="4"/>
  <c r="G60" i="4"/>
  <c r="H59" i="4"/>
  <c r="G59" i="4"/>
  <c r="J58" i="4"/>
  <c r="H58" i="4"/>
  <c r="G58" i="4"/>
  <c r="J57" i="4"/>
  <c r="H57" i="4"/>
  <c r="G57" i="4"/>
  <c r="H56" i="4"/>
  <c r="G56" i="4"/>
  <c r="J55" i="4"/>
  <c r="H55" i="4"/>
  <c r="G55" i="4"/>
  <c r="J54" i="4"/>
  <c r="H54" i="4"/>
  <c r="G54" i="4"/>
  <c r="J53" i="4"/>
  <c r="H53" i="4"/>
  <c r="G53" i="4"/>
  <c r="J52" i="4"/>
  <c r="H52" i="4"/>
  <c r="G52" i="4"/>
  <c r="J51" i="4"/>
  <c r="H51" i="4"/>
  <c r="G51" i="4"/>
  <c r="H50" i="4"/>
  <c r="G50" i="4"/>
  <c r="J49" i="4"/>
  <c r="H49" i="4"/>
  <c r="G49" i="4"/>
  <c r="J48" i="4"/>
  <c r="H48" i="4"/>
  <c r="G48" i="4"/>
  <c r="J47" i="4"/>
  <c r="H47" i="4"/>
  <c r="G47" i="4"/>
  <c r="J46" i="4"/>
  <c r="H46" i="4"/>
  <c r="G46" i="4"/>
  <c r="J45" i="4"/>
  <c r="H45" i="4"/>
  <c r="G45" i="4"/>
  <c r="J44" i="4"/>
  <c r="H44" i="4"/>
  <c r="G44" i="4"/>
  <c r="J43" i="4"/>
  <c r="H43" i="4"/>
  <c r="G43" i="4"/>
  <c r="J42" i="4"/>
  <c r="H42" i="4"/>
  <c r="G42" i="4"/>
  <c r="J41" i="4"/>
  <c r="H41" i="4"/>
  <c r="G41" i="4"/>
  <c r="J40" i="4"/>
  <c r="H40" i="4"/>
  <c r="G40" i="4"/>
  <c r="J39" i="4"/>
  <c r="H39" i="4"/>
  <c r="G39" i="4"/>
  <c r="J38" i="4"/>
  <c r="H38" i="4"/>
  <c r="G38" i="4"/>
  <c r="J37" i="4"/>
  <c r="H37" i="4"/>
  <c r="G37" i="4"/>
  <c r="J36" i="4"/>
  <c r="H36" i="4"/>
  <c r="G36" i="4"/>
  <c r="J35" i="4"/>
  <c r="H35" i="4"/>
  <c r="G35" i="4"/>
  <c r="J34" i="4"/>
  <c r="H34" i="4"/>
  <c r="G34" i="4"/>
  <c r="J33" i="4"/>
  <c r="H33" i="4"/>
  <c r="G33" i="4"/>
  <c r="J32" i="4"/>
  <c r="H32" i="4"/>
  <c r="G32" i="4"/>
  <c r="J31" i="4"/>
  <c r="H31" i="4"/>
  <c r="G31" i="4"/>
  <c r="J30" i="4"/>
  <c r="H30" i="4"/>
  <c r="G30" i="4"/>
  <c r="J29" i="4"/>
  <c r="H29" i="4"/>
  <c r="G29" i="4"/>
  <c r="J28" i="4"/>
  <c r="H28" i="4"/>
  <c r="G28" i="4"/>
  <c r="H27" i="4"/>
  <c r="G27" i="4"/>
  <c r="J26" i="4"/>
  <c r="H26" i="4"/>
  <c r="G26" i="4"/>
  <c r="J25" i="4"/>
  <c r="H25" i="4"/>
  <c r="G25" i="4"/>
  <c r="J24" i="4"/>
  <c r="H24" i="4"/>
  <c r="G24" i="4"/>
  <c r="J23" i="4"/>
  <c r="H23" i="4"/>
  <c r="G23" i="4"/>
  <c r="J22" i="4"/>
  <c r="H22" i="4"/>
  <c r="G22" i="4"/>
  <c r="J21" i="4"/>
  <c r="H21" i="4"/>
  <c r="G21" i="4"/>
  <c r="J20" i="4"/>
  <c r="H20" i="4"/>
  <c r="G20" i="4"/>
  <c r="J19" i="4"/>
  <c r="H19" i="4"/>
  <c r="G19" i="4"/>
  <c r="J18" i="4"/>
  <c r="H18" i="4"/>
  <c r="G18" i="4"/>
  <c r="J17" i="4"/>
  <c r="H17" i="4"/>
  <c r="G17" i="4"/>
  <c r="J16" i="4"/>
  <c r="H16" i="4"/>
  <c r="G16" i="4"/>
  <c r="J15" i="4"/>
  <c r="H15" i="4"/>
  <c r="G15" i="4"/>
  <c r="J14" i="4"/>
  <c r="H14" i="4"/>
  <c r="G14" i="4"/>
  <c r="J13" i="4"/>
  <c r="H13" i="4"/>
  <c r="G13" i="4"/>
  <c r="J12" i="4"/>
  <c r="H12" i="4"/>
  <c r="G12" i="4"/>
  <c r="J11" i="4"/>
  <c r="H11" i="4"/>
  <c r="G11" i="4"/>
  <c r="J10" i="4"/>
  <c r="H10" i="4"/>
  <c r="G10" i="4"/>
  <c r="J9" i="4"/>
  <c r="H9" i="4"/>
  <c r="G9" i="4"/>
  <c r="J8" i="4"/>
  <c r="H8" i="4"/>
  <c r="G8" i="4"/>
  <c r="J7" i="4"/>
  <c r="H7" i="4"/>
  <c r="G7" i="4"/>
  <c r="J6" i="4"/>
  <c r="H6" i="4"/>
  <c r="G6" i="4"/>
  <c r="A1" i="4"/>
  <c r="A1" i="3"/>
  <c r="A52" i="2"/>
  <c r="A51" i="2"/>
  <c r="F50" i="2"/>
  <c r="D50" i="2"/>
  <c r="B50" i="2"/>
  <c r="A49" i="2"/>
  <c r="A48" i="2"/>
  <c r="A47" i="2"/>
  <c r="N9" i="2"/>
  <c r="L9" i="2"/>
  <c r="J9" i="2"/>
  <c r="H9" i="2"/>
  <c r="F9" i="2"/>
  <c r="D9" i="2"/>
  <c r="B9" i="2"/>
  <c r="H20" i="1"/>
  <c r="H19" i="1"/>
  <c r="H18" i="1"/>
  <c r="H17" i="1"/>
  <c r="H16" i="1"/>
  <c r="H15" i="1"/>
  <c r="H14" i="1"/>
  <c r="H13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60" i="8" l="1"/>
  <c r="E58" i="8"/>
  <c r="E57" i="8"/>
  <c r="E55" i="8"/>
  <c r="E54" i="8"/>
  <c r="E52" i="8"/>
  <c r="E48" i="8"/>
  <c r="E17" i="8"/>
  <c r="L63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Q42" i="5" s="1"/>
  <c r="F61" i="4"/>
  <c r="F59" i="4"/>
  <c r="F58" i="4"/>
  <c r="F56" i="4"/>
  <c r="F55" i="4"/>
  <c r="F53" i="4"/>
  <c r="F49" i="4"/>
  <c r="F18" i="4"/>
  <c r="E47" i="8"/>
  <c r="E42" i="8"/>
  <c r="E38" i="8"/>
  <c r="E31" i="8"/>
  <c r="E25" i="8"/>
  <c r="E16" i="8"/>
  <c r="E13" i="8"/>
  <c r="E9" i="8"/>
  <c r="L405" i="5"/>
  <c r="L393" i="5"/>
  <c r="L392" i="5"/>
  <c r="L391" i="5"/>
  <c r="L390" i="5"/>
  <c r="L389" i="5"/>
  <c r="L388" i="5"/>
  <c r="L387" i="5"/>
  <c r="L385" i="5"/>
  <c r="L384" i="5"/>
  <c r="L383" i="5"/>
  <c r="L382" i="5"/>
  <c r="L377" i="5"/>
  <c r="L376" i="5"/>
  <c r="L375" i="5"/>
  <c r="L373" i="5"/>
  <c r="L372" i="5"/>
  <c r="L371" i="5"/>
  <c r="L370" i="5"/>
  <c r="L369" i="5"/>
  <c r="L366" i="5"/>
  <c r="L365" i="5"/>
  <c r="L364" i="5"/>
  <c r="L363" i="5"/>
  <c r="L362" i="5"/>
  <c r="L361" i="5"/>
  <c r="L360" i="5"/>
  <c r="L359" i="5"/>
  <c r="L358" i="5"/>
  <c r="L357" i="5"/>
  <c r="L355" i="5"/>
  <c r="L351" i="5"/>
  <c r="L350" i="5"/>
  <c r="L349" i="5"/>
  <c r="L348" i="5"/>
  <c r="L347" i="5"/>
  <c r="L346" i="5"/>
  <c r="L345" i="5"/>
  <c r="L344" i="5"/>
  <c r="L343" i="5"/>
  <c r="L342" i="5"/>
  <c r="L341" i="5"/>
  <c r="L340" i="5"/>
  <c r="L339" i="5"/>
  <c r="L338" i="5"/>
  <c r="L333" i="5"/>
  <c r="L332" i="5"/>
  <c r="L331" i="5"/>
  <c r="L330" i="5"/>
  <c r="L329" i="5"/>
  <c r="L328" i="5"/>
  <c r="L327" i="5"/>
  <c r="L326" i="5"/>
  <c r="L325" i="5"/>
  <c r="L324" i="5"/>
  <c r="L323" i="5"/>
  <c r="L319" i="5"/>
  <c r="L318" i="5"/>
  <c r="L317" i="5"/>
  <c r="L316" i="5"/>
  <c r="L315" i="5"/>
  <c r="L314" i="5"/>
  <c r="L313" i="5"/>
  <c r="L312" i="5"/>
  <c r="L311" i="5"/>
  <c r="L310" i="5"/>
  <c r="L306" i="5"/>
  <c r="L305" i="5"/>
  <c r="L304" i="5"/>
  <c r="L303" i="5"/>
  <c r="L302" i="5"/>
  <c r="L301" i="5"/>
  <c r="L300" i="5"/>
  <c r="L299" i="5"/>
  <c r="L298" i="5"/>
  <c r="L295" i="5"/>
  <c r="L294" i="5"/>
  <c r="L293" i="5"/>
  <c r="L292" i="5"/>
  <c r="L291" i="5"/>
  <c r="L289" i="5"/>
  <c r="L288" i="5"/>
  <c r="L287" i="5"/>
  <c r="L286" i="5"/>
  <c r="L285" i="5"/>
  <c r="L284" i="5"/>
  <c r="L283" i="5"/>
  <c r="L282" i="5"/>
  <c r="L281" i="5"/>
  <c r="L280" i="5"/>
  <c r="L279" i="5"/>
  <c r="L277" i="5"/>
  <c r="L273" i="5"/>
  <c r="L272" i="5"/>
  <c r="L271" i="5"/>
  <c r="L270" i="5"/>
  <c r="L269" i="5"/>
  <c r="L268" i="5"/>
  <c r="L267" i="5"/>
  <c r="L266" i="5"/>
  <c r="L265" i="5"/>
  <c r="L264" i="5"/>
  <c r="L263" i="5"/>
  <c r="L259" i="5"/>
  <c r="L258" i="5"/>
  <c r="L257" i="5"/>
  <c r="L256" i="5"/>
  <c r="L255" i="5"/>
  <c r="L254" i="5"/>
  <c r="L253" i="5"/>
  <c r="L252" i="5"/>
  <c r="L251" i="5"/>
  <c r="L250" i="5"/>
  <c r="L249" i="5"/>
  <c r="L248" i="5"/>
  <c r="L245" i="5"/>
  <c r="L244" i="5"/>
  <c r="L242" i="5"/>
  <c r="L241" i="5"/>
  <c r="L240" i="5"/>
  <c r="L239" i="5"/>
  <c r="L238" i="5"/>
  <c r="L237" i="5"/>
  <c r="L236" i="5"/>
  <c r="L235" i="5"/>
  <c r="L234" i="5"/>
  <c r="L230" i="5"/>
  <c r="L229" i="5"/>
  <c r="L228" i="5"/>
  <c r="L227" i="5"/>
  <c r="L226" i="5"/>
  <c r="L225" i="5"/>
  <c r="L224" i="5"/>
  <c r="L223" i="5"/>
  <c r="L222" i="5"/>
  <c r="L219" i="5"/>
  <c r="L218" i="5"/>
  <c r="L217" i="5"/>
  <c r="L216" i="5"/>
  <c r="L215" i="5"/>
  <c r="L214" i="5"/>
  <c r="L213" i="5"/>
  <c r="L212" i="5"/>
  <c r="L211" i="5"/>
  <c r="L208" i="5"/>
  <c r="L207" i="5"/>
  <c r="L206" i="5"/>
  <c r="L205" i="5"/>
  <c r="L204" i="5"/>
  <c r="L203" i="5"/>
  <c r="L202" i="5"/>
  <c r="L201" i="5"/>
  <c r="L200" i="5"/>
  <c r="L199" i="5"/>
  <c r="F48" i="4"/>
  <c r="F43" i="4"/>
  <c r="F39" i="4"/>
  <c r="F32" i="4"/>
  <c r="F26" i="4"/>
  <c r="F17" i="4"/>
  <c r="F14" i="4"/>
  <c r="F10" i="4"/>
  <c r="E59" i="8"/>
  <c r="E56" i="8"/>
  <c r="E53" i="8"/>
  <c r="E46" i="8"/>
  <c r="E41" i="8"/>
  <c r="E37" i="8"/>
  <c r="E34" i="8"/>
  <c r="E33" i="8"/>
  <c r="E32" i="8"/>
  <c r="E30" i="8"/>
  <c r="E24" i="8"/>
  <c r="E21" i="8"/>
  <c r="E18" i="8"/>
  <c r="E15" i="8"/>
  <c r="E12" i="8"/>
  <c r="E8" i="8"/>
  <c r="L576" i="5"/>
  <c r="L575" i="5"/>
  <c r="L574" i="5"/>
  <c r="L573" i="5"/>
  <c r="L572" i="5"/>
  <c r="L571" i="5"/>
  <c r="L570" i="5"/>
  <c r="L569" i="5"/>
  <c r="L568" i="5"/>
  <c r="L566" i="5"/>
  <c r="L563" i="5"/>
  <c r="L562" i="5"/>
  <c r="L561" i="5"/>
  <c r="L560" i="5"/>
  <c r="L559" i="5"/>
  <c r="L558" i="5"/>
  <c r="L557" i="5"/>
  <c r="L556" i="5"/>
  <c r="L555" i="5"/>
  <c r="L554" i="5"/>
  <c r="L553" i="5"/>
  <c r="L552" i="5"/>
  <c r="L551" i="5"/>
  <c r="L548" i="5"/>
  <c r="L547" i="5"/>
  <c r="L546" i="5"/>
  <c r="L545" i="5"/>
  <c r="L544" i="5"/>
  <c r="L543" i="5"/>
  <c r="L542" i="5"/>
  <c r="L541" i="5"/>
  <c r="L540" i="5"/>
  <c r="L539" i="5"/>
  <c r="L538" i="5"/>
  <c r="L535" i="5"/>
  <c r="L534" i="5"/>
  <c r="L533" i="5"/>
  <c r="L532" i="5"/>
  <c r="L531" i="5"/>
  <c r="L530" i="5"/>
  <c r="L529" i="5"/>
  <c r="L528" i="5"/>
  <c r="L527" i="5"/>
  <c r="L526" i="5"/>
  <c r="L525" i="5"/>
  <c r="L524" i="5"/>
  <c r="L521" i="5"/>
  <c r="L520" i="5"/>
  <c r="L519" i="5"/>
  <c r="L518" i="5"/>
  <c r="L517" i="5"/>
  <c r="L516" i="5"/>
  <c r="L515" i="5"/>
  <c r="L514" i="5"/>
  <c r="L513" i="5"/>
  <c r="L512" i="5"/>
  <c r="L511" i="5"/>
  <c r="L510" i="5"/>
  <c r="L509" i="5"/>
  <c r="L506" i="5"/>
  <c r="L505" i="5"/>
  <c r="L504" i="5"/>
  <c r="L503" i="5"/>
  <c r="L502" i="5"/>
  <c r="L501" i="5"/>
  <c r="L500" i="5"/>
  <c r="L499" i="5"/>
  <c r="L498" i="5"/>
  <c r="L497" i="5"/>
  <c r="L496" i="5"/>
  <c r="L495" i="5"/>
  <c r="L494" i="5"/>
  <c r="L493" i="5"/>
  <c r="L492" i="5"/>
  <c r="L491" i="5"/>
  <c r="L490" i="5"/>
  <c r="L489" i="5"/>
  <c r="L485" i="5"/>
  <c r="L484" i="5"/>
  <c r="L482" i="5"/>
  <c r="L481" i="5"/>
  <c r="L480" i="5"/>
  <c r="L479" i="5"/>
  <c r="L478" i="5"/>
  <c r="L477" i="5"/>
  <c r="L476" i="5"/>
  <c r="L475" i="5"/>
  <c r="L474" i="5"/>
  <c r="L472" i="5"/>
  <c r="L471" i="5"/>
  <c r="L428" i="5"/>
  <c r="L427" i="5"/>
  <c r="L426" i="5"/>
  <c r="L425" i="5"/>
  <c r="L424" i="5"/>
  <c r="L423" i="5"/>
  <c r="L422" i="5"/>
  <c r="L421" i="5"/>
  <c r="L420" i="5"/>
  <c r="L419" i="5"/>
  <c r="L417" i="5"/>
  <c r="L416" i="5"/>
  <c r="L414" i="5"/>
  <c r="L413" i="5"/>
  <c r="L412" i="5"/>
  <c r="L411" i="5"/>
  <c r="L410" i="5"/>
  <c r="L408" i="5"/>
  <c r="L406" i="5"/>
  <c r="L404" i="5"/>
  <c r="L403" i="5"/>
  <c r="L402" i="5"/>
  <c r="L401" i="5"/>
  <c r="L399" i="5"/>
  <c r="L398" i="5"/>
  <c r="L397" i="5"/>
  <c r="L396" i="5"/>
  <c r="L162" i="5"/>
  <c r="L161" i="5"/>
  <c r="L160" i="5"/>
  <c r="L159" i="5"/>
  <c r="L158" i="5"/>
  <c r="L157" i="5"/>
  <c r="L156" i="5"/>
  <c r="L155" i="5"/>
  <c r="L154" i="5"/>
  <c r="L153" i="5"/>
  <c r="L152" i="5"/>
  <c r="L151" i="5"/>
  <c r="L150" i="5"/>
  <c r="L149" i="5"/>
  <c r="L148" i="5"/>
  <c r="L147" i="5"/>
  <c r="L146" i="5"/>
  <c r="L145" i="5"/>
  <c r="L144" i="5"/>
  <c r="L143" i="5"/>
  <c r="L142" i="5"/>
  <c r="L141" i="5"/>
  <c r="L140" i="5"/>
  <c r="L139" i="5"/>
  <c r="L138" i="5"/>
  <c r="L137" i="5"/>
  <c r="L136" i="5"/>
  <c r="L135" i="5"/>
  <c r="L134" i="5"/>
  <c r="L133" i="5"/>
  <c r="L132" i="5"/>
  <c r="L131" i="5"/>
  <c r="L130" i="5"/>
  <c r="L129" i="5"/>
  <c r="L128" i="5"/>
  <c r="L127" i="5"/>
  <c r="L126" i="5"/>
  <c r="L125" i="5"/>
  <c r="L124" i="5"/>
  <c r="L121" i="5"/>
  <c r="L120" i="5"/>
  <c r="L119" i="5"/>
  <c r="L118" i="5"/>
  <c r="L117" i="5"/>
  <c r="L116" i="5"/>
  <c r="L115" i="5"/>
  <c r="L114" i="5"/>
  <c r="L113" i="5"/>
  <c r="L112" i="5"/>
  <c r="L111" i="5"/>
  <c r="L110" i="5"/>
  <c r="L109" i="5"/>
  <c r="L108" i="5"/>
  <c r="L107" i="5"/>
  <c r="L106" i="5"/>
  <c r="L105" i="5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F60" i="4"/>
  <c r="F57" i="4"/>
  <c r="F54" i="4"/>
  <c r="F47" i="4"/>
  <c r="F42" i="4"/>
  <c r="F38" i="4"/>
  <c r="F35" i="4"/>
  <c r="F34" i="4"/>
  <c r="F33" i="4"/>
  <c r="F31" i="4"/>
  <c r="F25" i="4"/>
  <c r="F22" i="4"/>
  <c r="F19" i="4"/>
  <c r="F16" i="4"/>
  <c r="F13" i="4"/>
  <c r="F9" i="4"/>
  <c r="E45" i="8"/>
  <c r="E40" i="8"/>
  <c r="E36" i="8"/>
  <c r="E29" i="8"/>
  <c r="E23" i="8"/>
  <c r="E20" i="8"/>
  <c r="E14" i="8"/>
  <c r="E11" i="8"/>
  <c r="E7" i="8"/>
  <c r="L468" i="5"/>
  <c r="L467" i="5"/>
  <c r="L466" i="5"/>
  <c r="L465" i="5"/>
  <c r="L464" i="5"/>
  <c r="L463" i="5"/>
  <c r="L462" i="5"/>
  <c r="L461" i="5"/>
  <c r="L460" i="5"/>
  <c r="L459" i="5"/>
  <c r="L458" i="5"/>
  <c r="L457" i="5"/>
  <c r="L456" i="5"/>
  <c r="L455" i="5"/>
  <c r="L454" i="5"/>
  <c r="L453" i="5"/>
  <c r="L452" i="5"/>
  <c r="L451" i="5"/>
  <c r="L450" i="5"/>
  <c r="L449" i="5"/>
  <c r="L448" i="5"/>
  <c r="L447" i="5"/>
  <c r="L446" i="5"/>
  <c r="L445" i="5"/>
  <c r="L444" i="5"/>
  <c r="L443" i="5"/>
  <c r="L442" i="5"/>
  <c r="L441" i="5"/>
  <c r="L440" i="5"/>
  <c r="L439" i="5"/>
  <c r="L438" i="5"/>
  <c r="L437" i="5"/>
  <c r="L436" i="5"/>
  <c r="L435" i="5"/>
  <c r="L434" i="5"/>
  <c r="L433" i="5"/>
  <c r="L432" i="5"/>
  <c r="L431" i="5"/>
  <c r="F46" i="4"/>
  <c r="F41" i="4"/>
  <c r="F37" i="4"/>
  <c r="F30" i="4"/>
  <c r="F24" i="4"/>
  <c r="F21" i="4"/>
  <c r="F15" i="4"/>
  <c r="F12" i="4"/>
  <c r="F8" i="4"/>
  <c r="E51" i="8"/>
  <c r="E44" i="8"/>
  <c r="E39" i="8"/>
  <c r="E35" i="8"/>
  <c r="E28" i="8"/>
  <c r="E22" i="8"/>
  <c r="E19" i="8"/>
  <c r="E10" i="8"/>
  <c r="E6" i="8"/>
  <c r="L196" i="5"/>
  <c r="L195" i="5"/>
  <c r="L194" i="5"/>
  <c r="L193" i="5"/>
  <c r="L192" i="5"/>
  <c r="L191" i="5"/>
  <c r="L190" i="5"/>
  <c r="L189" i="5"/>
  <c r="L188" i="5"/>
  <c r="L187" i="5"/>
  <c r="L185" i="5"/>
  <c r="L184" i="5"/>
  <c r="L183" i="5"/>
  <c r="L182" i="5"/>
  <c r="L181" i="5"/>
  <c r="L180" i="5"/>
  <c r="L179" i="5"/>
  <c r="L178" i="5"/>
  <c r="L177" i="5"/>
  <c r="L176" i="5"/>
  <c r="L175" i="5"/>
  <c r="L174" i="5"/>
  <c r="L173" i="5"/>
  <c r="L172" i="5"/>
  <c r="L171" i="5"/>
  <c r="L170" i="5"/>
  <c r="L169" i="5"/>
  <c r="L168" i="5"/>
  <c r="L167" i="5"/>
  <c r="L166" i="5"/>
  <c r="L165" i="5"/>
  <c r="F52" i="4"/>
  <c r="F45" i="4"/>
  <c r="F40" i="4"/>
  <c r="F36" i="4"/>
  <c r="F29" i="4"/>
  <c r="F23" i="4"/>
  <c r="F20" i="4"/>
  <c r="F11" i="4"/>
  <c r="F7" i="4"/>
  <c r="E61" i="8"/>
  <c r="L380" i="5"/>
  <c r="Q380" i="5" s="1"/>
  <c r="F62" i="4"/>
  <c r="K62" i="4" s="1"/>
  <c r="M62" i="4" s="1"/>
  <c r="E50" i="8"/>
  <c r="L278" i="5"/>
  <c r="F51" i="4"/>
  <c r="E27" i="8"/>
  <c r="L567" i="5"/>
  <c r="F28" i="4"/>
  <c r="C9" i="13"/>
  <c r="K9" i="13" s="1"/>
  <c r="L9" i="13" s="1"/>
  <c r="C8" i="13"/>
  <c r="K8" i="13" s="1"/>
  <c r="L8" i="13" s="1"/>
  <c r="C7" i="13"/>
  <c r="K7" i="13" s="1"/>
  <c r="L7" i="13" s="1"/>
  <c r="C6" i="13"/>
  <c r="K6" i="13" s="1"/>
  <c r="E43" i="8"/>
  <c r="E5" i="8"/>
  <c r="L577" i="5"/>
  <c r="L486" i="5"/>
  <c r="L483" i="5"/>
  <c r="L473" i="5"/>
  <c r="L418" i="5"/>
  <c r="L415" i="5"/>
  <c r="L400" i="5"/>
  <c r="F44" i="4"/>
  <c r="F6" i="4"/>
  <c r="C162" i="16"/>
  <c r="L162" i="16" s="1"/>
  <c r="M162" i="16" s="1"/>
  <c r="C161" i="16"/>
  <c r="L161" i="16" s="1"/>
  <c r="M161" i="16" s="1"/>
  <c r="C160" i="16"/>
  <c r="L160" i="16" s="1"/>
  <c r="C156" i="16"/>
  <c r="L156" i="16" s="1"/>
  <c r="M156" i="16" s="1"/>
  <c r="C155" i="16"/>
  <c r="L155" i="16" s="1"/>
  <c r="M155" i="16" s="1"/>
  <c r="C154" i="16"/>
  <c r="L154" i="16" s="1"/>
  <c r="C150" i="16"/>
  <c r="L150" i="16" s="1"/>
  <c r="M150" i="16" s="1"/>
  <c r="C149" i="16"/>
  <c r="L149" i="16" s="1"/>
  <c r="C145" i="16"/>
  <c r="L145" i="16" s="1"/>
  <c r="M145" i="16" s="1"/>
  <c r="C144" i="16"/>
  <c r="L144" i="16" s="1"/>
  <c r="M144" i="16" s="1"/>
  <c r="C143" i="16"/>
  <c r="L143" i="16" s="1"/>
  <c r="C139" i="16"/>
  <c r="L139" i="16" s="1"/>
  <c r="M139" i="16" s="1"/>
  <c r="C138" i="16"/>
  <c r="L138" i="16" s="1"/>
  <c r="M138" i="16" s="1"/>
  <c r="C137" i="16"/>
  <c r="L137" i="16" s="1"/>
  <c r="C133" i="16"/>
  <c r="L133" i="16" s="1"/>
  <c r="M133" i="16" s="1"/>
  <c r="C132" i="16"/>
  <c r="L132" i="16" s="1"/>
  <c r="M132" i="16" s="1"/>
  <c r="C131" i="16"/>
  <c r="L131" i="16" s="1"/>
  <c r="C127" i="16"/>
  <c r="L127" i="16" s="1"/>
  <c r="M127" i="16" s="1"/>
  <c r="C126" i="16"/>
  <c r="L126" i="16" s="1"/>
  <c r="M126" i="16" s="1"/>
  <c r="C125" i="16"/>
  <c r="L125" i="16" s="1"/>
  <c r="C121" i="16"/>
  <c r="L121" i="16" s="1"/>
  <c r="M121" i="16" s="1"/>
  <c r="C120" i="16"/>
  <c r="L120" i="16" s="1"/>
  <c r="M120" i="16" s="1"/>
  <c r="C119" i="16"/>
  <c r="L119" i="16" s="1"/>
  <c r="C11" i="15"/>
  <c r="K11" i="15" s="1"/>
  <c r="L11" i="15" s="1"/>
  <c r="C9" i="15"/>
  <c r="K9" i="15" s="1"/>
  <c r="L9" i="15" s="1"/>
  <c r="C7" i="15"/>
  <c r="K7" i="15" s="1"/>
  <c r="L7" i="15" s="1"/>
  <c r="E49" i="8"/>
  <c r="E26" i="8"/>
  <c r="L409" i="5"/>
  <c r="L407" i="5"/>
  <c r="L386" i="5"/>
  <c r="L374" i="5"/>
  <c r="L356" i="5"/>
  <c r="L352" i="5"/>
  <c r="L335" i="5"/>
  <c r="L334" i="5"/>
  <c r="L320" i="5"/>
  <c r="L307" i="5"/>
  <c r="L290" i="5"/>
  <c r="L274" i="5"/>
  <c r="L260" i="5"/>
  <c r="L243" i="5"/>
  <c r="L231" i="5"/>
  <c r="L186" i="5"/>
  <c r="L123" i="5"/>
  <c r="L122" i="5"/>
  <c r="L62" i="5"/>
  <c r="F50" i="4"/>
  <c r="F27" i="4"/>
  <c r="C115" i="16"/>
  <c r="L115" i="16" s="1"/>
  <c r="M115" i="16" s="1"/>
  <c r="C114" i="16"/>
  <c r="L114" i="16" s="1"/>
  <c r="M114" i="16" s="1"/>
  <c r="C113" i="16"/>
  <c r="L113" i="16" s="1"/>
  <c r="M113" i="16" s="1"/>
  <c r="C112" i="16"/>
  <c r="L112" i="16" s="1"/>
  <c r="C108" i="16"/>
  <c r="L108" i="16" s="1"/>
  <c r="M108" i="16" s="1"/>
  <c r="C107" i="16"/>
  <c r="L107" i="16" s="1"/>
  <c r="M107" i="16" s="1"/>
  <c r="C106" i="16"/>
  <c r="L106" i="16" s="1"/>
  <c r="C102" i="16"/>
  <c r="L102" i="16" s="1"/>
  <c r="M102" i="16" s="1"/>
  <c r="C101" i="16"/>
  <c r="L101" i="16" s="1"/>
  <c r="M101" i="16" s="1"/>
  <c r="C100" i="16"/>
  <c r="L100" i="16" s="1"/>
  <c r="C96" i="16"/>
  <c r="L96" i="16" s="1"/>
  <c r="M96" i="16" s="1"/>
  <c r="C95" i="16"/>
  <c r="L95" i="16" s="1"/>
  <c r="M95" i="16" s="1"/>
  <c r="C94" i="16"/>
  <c r="L94" i="16" s="1"/>
  <c r="C90" i="16"/>
  <c r="L90" i="16" s="1"/>
  <c r="M90" i="16" s="1"/>
  <c r="C89" i="16"/>
  <c r="L89" i="16" s="1"/>
  <c r="M89" i="16" s="1"/>
  <c r="C88" i="16"/>
  <c r="L88" i="16" s="1"/>
  <c r="C84" i="16"/>
  <c r="L84" i="16" s="1"/>
  <c r="M84" i="16" s="1"/>
  <c r="C83" i="16"/>
  <c r="L83" i="16" s="1"/>
  <c r="M83" i="16" s="1"/>
  <c r="C82" i="16"/>
  <c r="L82" i="16" s="1"/>
  <c r="C78" i="16"/>
  <c r="L78" i="16" s="1"/>
  <c r="M78" i="16" s="1"/>
  <c r="C77" i="16"/>
  <c r="L77" i="16" s="1"/>
  <c r="M77" i="16" s="1"/>
  <c r="C76" i="16"/>
  <c r="L76" i="16" s="1"/>
  <c r="C72" i="16"/>
  <c r="L72" i="16" s="1"/>
  <c r="M72" i="16" s="1"/>
  <c r="C71" i="16"/>
  <c r="L71" i="16" s="1"/>
  <c r="M71" i="16" s="1"/>
  <c r="C70" i="16"/>
  <c r="L70" i="16" s="1"/>
  <c r="C66" i="16"/>
  <c r="L66" i="16" s="1"/>
  <c r="M66" i="16" s="1"/>
  <c r="C65" i="16"/>
  <c r="L65" i="16" s="1"/>
  <c r="M65" i="16" s="1"/>
  <c r="C64" i="16"/>
  <c r="L64" i="16" s="1"/>
  <c r="C60" i="16"/>
  <c r="L60" i="16" s="1"/>
  <c r="M60" i="16" s="1"/>
  <c r="C59" i="16"/>
  <c r="L59" i="16" s="1"/>
  <c r="M59" i="16" s="1"/>
  <c r="C58" i="16"/>
  <c r="L58" i="16" s="1"/>
  <c r="C54" i="16"/>
  <c r="L54" i="16" s="1"/>
  <c r="M54" i="16" s="1"/>
  <c r="C53" i="16"/>
  <c r="L53" i="16" s="1"/>
  <c r="M53" i="16" s="1"/>
  <c r="C52" i="16"/>
  <c r="L52" i="16" s="1"/>
  <c r="C48" i="16"/>
  <c r="L48" i="16" s="1"/>
  <c r="M48" i="16" s="1"/>
  <c r="C47" i="16"/>
  <c r="L47" i="16" s="1"/>
  <c r="M47" i="16" s="1"/>
  <c r="C46" i="16"/>
  <c r="L46" i="16" s="1"/>
  <c r="C42" i="16"/>
  <c r="L42" i="16" s="1"/>
  <c r="M42" i="16" s="1"/>
  <c r="C41" i="16"/>
  <c r="L41" i="16" s="1"/>
  <c r="M41" i="16" s="1"/>
  <c r="C40" i="16"/>
  <c r="L40" i="16" s="1"/>
  <c r="C36" i="16"/>
  <c r="L36" i="16" s="1"/>
  <c r="M36" i="16" s="1"/>
  <c r="C35" i="16"/>
  <c r="L35" i="16" s="1"/>
  <c r="M35" i="16" s="1"/>
  <c r="C34" i="16"/>
  <c r="L34" i="16" s="1"/>
  <c r="C30" i="16"/>
  <c r="L30" i="16" s="1"/>
  <c r="M30" i="16" s="1"/>
  <c r="C29" i="16"/>
  <c r="L29" i="16" s="1"/>
  <c r="M29" i="16" s="1"/>
  <c r="C28" i="16"/>
  <c r="L28" i="16" s="1"/>
  <c r="M28" i="16" s="1"/>
  <c r="C27" i="16"/>
  <c r="L27" i="16" s="1"/>
  <c r="C23" i="16"/>
  <c r="L23" i="16" s="1"/>
  <c r="M23" i="16" s="1"/>
  <c r="C22" i="16"/>
  <c r="L22" i="16" s="1"/>
  <c r="M22" i="16" s="1"/>
  <c r="C21" i="16"/>
  <c r="L21" i="16" s="1"/>
  <c r="M21" i="16" s="1"/>
  <c r="C20" i="16"/>
  <c r="L20" i="16" s="1"/>
  <c r="C16" i="16"/>
  <c r="L16" i="16" s="1"/>
  <c r="M16" i="16" s="1"/>
  <c r="C15" i="16"/>
  <c r="L15" i="16" s="1"/>
  <c r="M15" i="16" s="1"/>
  <c r="C14" i="16"/>
  <c r="L14" i="16" s="1"/>
  <c r="M14" i="16" s="1"/>
  <c r="C13" i="16"/>
  <c r="L13" i="16" s="1"/>
  <c r="C9" i="16"/>
  <c r="L9" i="16" s="1"/>
  <c r="M9" i="16" s="1"/>
  <c r="C8" i="16"/>
  <c r="L8" i="16" s="1"/>
  <c r="M8" i="16" s="1"/>
  <c r="C7" i="16"/>
  <c r="L7" i="16" s="1"/>
  <c r="M7" i="16" s="1"/>
  <c r="C6" i="16"/>
  <c r="L6" i="16" s="1"/>
  <c r="C30" i="15"/>
  <c r="K30" i="15" s="1"/>
  <c r="L30" i="15" s="1"/>
  <c r="C29" i="15"/>
  <c r="K29" i="15" s="1"/>
  <c r="L29" i="15" s="1"/>
  <c r="C28" i="15"/>
  <c r="K28" i="15" s="1"/>
  <c r="L28" i="15" s="1"/>
  <c r="C27" i="15"/>
  <c r="K27" i="15" s="1"/>
  <c r="L27" i="15" s="1"/>
  <c r="C26" i="15"/>
  <c r="K26" i="15" s="1"/>
  <c r="L26" i="15" s="1"/>
  <c r="C25" i="15"/>
  <c r="K25" i="15" s="1"/>
  <c r="L25" i="15" s="1"/>
  <c r="C24" i="15"/>
  <c r="K24" i="15" s="1"/>
  <c r="L24" i="15" s="1"/>
  <c r="C23" i="15"/>
  <c r="K23" i="15" s="1"/>
  <c r="L23" i="15" s="1"/>
  <c r="C22" i="15"/>
  <c r="K22" i="15" s="1"/>
  <c r="L22" i="15" s="1"/>
  <c r="C21" i="15"/>
  <c r="K21" i="15" s="1"/>
  <c r="L21" i="15" s="1"/>
  <c r="C20" i="15"/>
  <c r="K20" i="15" s="1"/>
  <c r="L20" i="15" s="1"/>
  <c r="C19" i="15"/>
  <c r="K19" i="15" s="1"/>
  <c r="L19" i="15" s="1"/>
  <c r="C18" i="15"/>
  <c r="K18" i="15" s="1"/>
  <c r="L18" i="15" s="1"/>
  <c r="C17" i="15"/>
  <c r="K17" i="15" s="1"/>
  <c r="L17" i="15" s="1"/>
  <c r="C16" i="15"/>
  <c r="K16" i="15" s="1"/>
  <c r="L16" i="15" s="1"/>
  <c r="C15" i="15"/>
  <c r="K15" i="15" s="1"/>
  <c r="L15" i="15" s="1"/>
  <c r="C14" i="15"/>
  <c r="K14" i="15" s="1"/>
  <c r="L14" i="15" s="1"/>
  <c r="C13" i="15"/>
  <c r="K13" i="15" s="1"/>
  <c r="L13" i="15" s="1"/>
  <c r="C12" i="15"/>
  <c r="K12" i="15" s="1"/>
  <c r="L12" i="15" s="1"/>
  <c r="C10" i="15"/>
  <c r="K10" i="15" s="1"/>
  <c r="L10" i="15" s="1"/>
  <c r="C8" i="15"/>
  <c r="K8" i="15" s="1"/>
  <c r="L8" i="15" s="1"/>
  <c r="C6" i="15"/>
  <c r="K6" i="15" s="1"/>
  <c r="C34" i="12"/>
  <c r="C30" i="12"/>
  <c r="C26" i="12"/>
  <c r="C22" i="12"/>
  <c r="C18" i="12"/>
  <c r="C14" i="12"/>
  <c r="C10" i="12"/>
  <c r="C6" i="12"/>
  <c r="C6" i="11"/>
  <c r="K6" i="11" s="1"/>
  <c r="E74" i="8"/>
  <c r="E73" i="8"/>
  <c r="E72" i="8"/>
  <c r="E71" i="8"/>
  <c r="E70" i="8"/>
  <c r="E69" i="8"/>
  <c r="E68" i="8"/>
  <c r="E67" i="8"/>
  <c r="E66" i="8"/>
  <c r="E65" i="8"/>
  <c r="E64" i="8"/>
  <c r="L99" i="6"/>
  <c r="L98" i="6"/>
  <c r="L97" i="6"/>
  <c r="L96" i="6"/>
  <c r="L95" i="6"/>
  <c r="L94" i="6"/>
  <c r="L93" i="6"/>
  <c r="L92" i="6"/>
  <c r="L91" i="6"/>
  <c r="L90" i="6"/>
  <c r="L89" i="6"/>
  <c r="L88" i="6"/>
  <c r="L87" i="6"/>
  <c r="L86" i="6"/>
  <c r="L85" i="6"/>
  <c r="L84" i="6"/>
  <c r="L83" i="6"/>
  <c r="L82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F79" i="4"/>
  <c r="F78" i="4"/>
  <c r="F77" i="4"/>
  <c r="F76" i="4"/>
  <c r="F75" i="4"/>
  <c r="F74" i="4"/>
  <c r="F73" i="4"/>
  <c r="F72" i="4"/>
  <c r="F71" i="4"/>
  <c r="F70" i="4"/>
  <c r="F69" i="4"/>
  <c r="E96" i="8"/>
  <c r="E94" i="8"/>
  <c r="E92" i="8"/>
  <c r="E90" i="8"/>
  <c r="E89" i="8"/>
  <c r="E88" i="8"/>
  <c r="E86" i="8"/>
  <c r="E84" i="8"/>
  <c r="E82" i="8"/>
  <c r="E80" i="8"/>
  <c r="E78" i="8"/>
  <c r="L99" i="7"/>
  <c r="L98" i="7"/>
  <c r="L97" i="7"/>
  <c r="L96" i="7"/>
  <c r="L95" i="7"/>
  <c r="L94" i="7"/>
  <c r="L93" i="7"/>
  <c r="L92" i="7"/>
  <c r="L91" i="7"/>
  <c r="L90" i="7"/>
  <c r="L89" i="7"/>
  <c r="L88" i="7"/>
  <c r="L87" i="7"/>
  <c r="L86" i="7"/>
  <c r="L85" i="7"/>
  <c r="L84" i="7"/>
  <c r="L83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F105" i="4"/>
  <c r="F103" i="4"/>
  <c r="F101" i="4"/>
  <c r="F99" i="4"/>
  <c r="F98" i="4"/>
  <c r="F97" i="4"/>
  <c r="F95" i="4"/>
  <c r="F93" i="4"/>
  <c r="F91" i="4"/>
  <c r="F89" i="4"/>
  <c r="F87" i="4"/>
  <c r="E95" i="8"/>
  <c r="E93" i="8"/>
  <c r="E91" i="8"/>
  <c r="E87" i="8"/>
  <c r="E85" i="8"/>
  <c r="E83" i="8"/>
  <c r="E81" i="8"/>
  <c r="E79" i="8"/>
  <c r="E77" i="8"/>
  <c r="L141" i="7"/>
  <c r="L140" i="7"/>
  <c r="L139" i="7"/>
  <c r="L138" i="7"/>
  <c r="L137" i="7"/>
  <c r="L136" i="7"/>
  <c r="L135" i="7"/>
  <c r="L134" i="7"/>
  <c r="L133" i="7"/>
  <c r="L132" i="7"/>
  <c r="L131" i="7"/>
  <c r="L130" i="7"/>
  <c r="L129" i="7"/>
  <c r="L128" i="7"/>
  <c r="L127" i="7"/>
  <c r="L126" i="7"/>
  <c r="L125" i="7"/>
  <c r="L124" i="7"/>
  <c r="L123" i="7"/>
  <c r="L122" i="7"/>
  <c r="L121" i="7"/>
  <c r="L120" i="7"/>
  <c r="L119" i="7"/>
  <c r="L118" i="7"/>
  <c r="L117" i="7"/>
  <c r="L116" i="7"/>
  <c r="L115" i="7"/>
  <c r="L114" i="7"/>
  <c r="L113" i="7"/>
  <c r="L112" i="7"/>
  <c r="L111" i="7"/>
  <c r="L110" i="7"/>
  <c r="L109" i="7"/>
  <c r="L108" i="7"/>
  <c r="L107" i="7"/>
  <c r="L106" i="7"/>
  <c r="L105" i="7"/>
  <c r="L104" i="7"/>
  <c r="F104" i="4"/>
  <c r="F102" i="4"/>
  <c r="F100" i="4"/>
  <c r="F96" i="4"/>
  <c r="F94" i="4"/>
  <c r="F92" i="4"/>
  <c r="F90" i="4"/>
  <c r="F88" i="4"/>
  <c r="F86" i="4"/>
  <c r="E97" i="8"/>
  <c r="L102" i="7"/>
  <c r="Q102" i="7" s="1"/>
  <c r="F106" i="4"/>
  <c r="K106" i="4" s="1"/>
  <c r="M106" i="4" s="1"/>
  <c r="C15" i="13"/>
  <c r="K15" i="13" s="1"/>
  <c r="L15" i="13" s="1"/>
  <c r="C14" i="13"/>
  <c r="K14" i="13" s="1"/>
  <c r="L14" i="13" s="1"/>
  <c r="C13" i="13"/>
  <c r="K13" i="13" s="1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G5" i="8"/>
  <c r="M577" i="5"/>
  <c r="M483" i="5"/>
  <c r="M473" i="5"/>
  <c r="M415" i="5"/>
  <c r="M400" i="5"/>
  <c r="K6" i="4"/>
  <c r="H5" i="8"/>
  <c r="N577" i="5"/>
  <c r="N483" i="5"/>
  <c r="N473" i="5"/>
  <c r="N415" i="5"/>
  <c r="N400" i="5"/>
  <c r="I5" i="8"/>
  <c r="P577" i="5"/>
  <c r="P483" i="5"/>
  <c r="P473" i="5"/>
  <c r="P415" i="5"/>
  <c r="P400" i="5"/>
  <c r="L6" i="4"/>
  <c r="G6" i="8"/>
  <c r="M172" i="5"/>
  <c r="K7" i="4"/>
  <c r="M7" i="4" s="1"/>
  <c r="N7" i="4" s="1"/>
  <c r="H6" i="8"/>
  <c r="N172" i="5"/>
  <c r="I6" i="8"/>
  <c r="P172" i="5"/>
  <c r="L7" i="4"/>
  <c r="G7" i="8"/>
  <c r="M437" i="5"/>
  <c r="K8" i="4"/>
  <c r="M8" i="4" s="1"/>
  <c r="N8" i="4" s="1"/>
  <c r="H7" i="8"/>
  <c r="N437" i="5"/>
  <c r="I7" i="8"/>
  <c r="P437" i="5"/>
  <c r="L8" i="4"/>
  <c r="G8" i="8"/>
  <c r="M557" i="5"/>
  <c r="M548" i="5"/>
  <c r="M527" i="5"/>
  <c r="M520" i="5"/>
  <c r="M503" i="5"/>
  <c r="M401" i="5"/>
  <c r="M161" i="5"/>
  <c r="M158" i="5"/>
  <c r="M157" i="5"/>
  <c r="M156" i="5"/>
  <c r="M155" i="5"/>
  <c r="M154" i="5"/>
  <c r="M153" i="5"/>
  <c r="M149" i="5"/>
  <c r="M139" i="5"/>
  <c r="M133" i="5"/>
  <c r="M132" i="5"/>
  <c r="M131" i="5"/>
  <c r="M130" i="5"/>
  <c r="M129" i="5"/>
  <c r="M114" i="5"/>
  <c r="M72" i="5"/>
  <c r="M34" i="5"/>
  <c r="K9" i="4"/>
  <c r="M9" i="4" s="1"/>
  <c r="N9" i="4" s="1"/>
  <c r="H8" i="8"/>
  <c r="N557" i="5"/>
  <c r="N548" i="5"/>
  <c r="N527" i="5"/>
  <c r="N520" i="5"/>
  <c r="N503" i="5"/>
  <c r="N401" i="5"/>
  <c r="N161" i="5"/>
  <c r="N158" i="5"/>
  <c r="N157" i="5"/>
  <c r="N156" i="5"/>
  <c r="N155" i="5"/>
  <c r="N154" i="5"/>
  <c r="N153" i="5"/>
  <c r="N149" i="5"/>
  <c r="N139" i="5"/>
  <c r="N133" i="5"/>
  <c r="N132" i="5"/>
  <c r="N131" i="5"/>
  <c r="N130" i="5"/>
  <c r="N129" i="5"/>
  <c r="N114" i="5"/>
  <c r="N72" i="5"/>
  <c r="N34" i="5"/>
  <c r="I8" i="8"/>
  <c r="P557" i="5"/>
  <c r="P548" i="5"/>
  <c r="P527" i="5"/>
  <c r="P520" i="5"/>
  <c r="P503" i="5"/>
  <c r="P401" i="5"/>
  <c r="P161" i="5"/>
  <c r="P158" i="5"/>
  <c r="P157" i="5"/>
  <c r="P156" i="5"/>
  <c r="P155" i="5"/>
  <c r="P154" i="5"/>
  <c r="P153" i="5"/>
  <c r="P149" i="5"/>
  <c r="P139" i="5"/>
  <c r="P133" i="5"/>
  <c r="P132" i="5"/>
  <c r="P131" i="5"/>
  <c r="P130" i="5"/>
  <c r="P129" i="5"/>
  <c r="P114" i="5"/>
  <c r="P72" i="5"/>
  <c r="P34" i="5"/>
  <c r="L9" i="4"/>
  <c r="G9" i="8"/>
  <c r="M257" i="5"/>
  <c r="M244" i="5"/>
  <c r="M223" i="5"/>
  <c r="K10" i="4"/>
  <c r="M10" i="4" s="1"/>
  <c r="N10" i="4" s="1"/>
  <c r="H9" i="8"/>
  <c r="N257" i="5"/>
  <c r="N244" i="5"/>
  <c r="N223" i="5"/>
  <c r="I9" i="8"/>
  <c r="P257" i="5"/>
  <c r="P244" i="5"/>
  <c r="P223" i="5"/>
  <c r="L10" i="4"/>
  <c r="G10" i="8"/>
  <c r="M178" i="5"/>
  <c r="M174" i="5"/>
  <c r="K11" i="4"/>
  <c r="M11" i="4" s="1"/>
  <c r="N11" i="4" s="1"/>
  <c r="H10" i="8"/>
  <c r="N178" i="5"/>
  <c r="N174" i="5"/>
  <c r="I10" i="8"/>
  <c r="P178" i="5"/>
  <c r="P174" i="5"/>
  <c r="L11" i="4"/>
  <c r="G11" i="8"/>
  <c r="M460" i="5"/>
  <c r="M459" i="5"/>
  <c r="M455" i="5"/>
  <c r="M452" i="5"/>
  <c r="M449" i="5"/>
  <c r="M445" i="5"/>
  <c r="M442" i="5"/>
  <c r="M440" i="5"/>
  <c r="K12" i="4"/>
  <c r="M12" i="4" s="1"/>
  <c r="N12" i="4" s="1"/>
  <c r="H11" i="8"/>
  <c r="N460" i="5"/>
  <c r="N459" i="5"/>
  <c r="N455" i="5"/>
  <c r="N452" i="5"/>
  <c r="N449" i="5"/>
  <c r="N445" i="5"/>
  <c r="N442" i="5"/>
  <c r="N440" i="5"/>
  <c r="I11" i="8"/>
  <c r="P460" i="5"/>
  <c r="P459" i="5"/>
  <c r="P455" i="5"/>
  <c r="P452" i="5"/>
  <c r="P449" i="5"/>
  <c r="P445" i="5"/>
  <c r="P442" i="5"/>
  <c r="P440" i="5"/>
  <c r="L12" i="4"/>
  <c r="G12" i="8"/>
  <c r="M575" i="5"/>
  <c r="M574" i="5"/>
  <c r="M572" i="5"/>
  <c r="M560" i="5"/>
  <c r="M555" i="5"/>
  <c r="M541" i="5"/>
  <c r="M539" i="5"/>
  <c r="M529" i="5"/>
  <c r="M528" i="5"/>
  <c r="M519" i="5"/>
  <c r="M514" i="5"/>
  <c r="M504" i="5"/>
  <c r="M502" i="5"/>
  <c r="M496" i="5"/>
  <c r="M479" i="5"/>
  <c r="M475" i="5"/>
  <c r="M411" i="5"/>
  <c r="M404" i="5"/>
  <c r="M109" i="5"/>
  <c r="M107" i="5"/>
  <c r="M105" i="5"/>
  <c r="M103" i="5"/>
  <c r="M101" i="5"/>
  <c r="M99" i="5"/>
  <c r="M97" i="5"/>
  <c r="M95" i="5"/>
  <c r="M93" i="5"/>
  <c r="M91" i="5"/>
  <c r="M89" i="5"/>
  <c r="M87" i="5"/>
  <c r="M81" i="5"/>
  <c r="M77" i="5"/>
  <c r="K13" i="4"/>
  <c r="M13" i="4" s="1"/>
  <c r="N13" i="4" s="1"/>
  <c r="H12" i="8"/>
  <c r="N575" i="5"/>
  <c r="N574" i="5"/>
  <c r="N572" i="5"/>
  <c r="N560" i="5"/>
  <c r="N555" i="5"/>
  <c r="N541" i="5"/>
  <c r="N539" i="5"/>
  <c r="N529" i="5"/>
  <c r="N528" i="5"/>
  <c r="N519" i="5"/>
  <c r="N514" i="5"/>
  <c r="N504" i="5"/>
  <c r="N502" i="5"/>
  <c r="N496" i="5"/>
  <c r="N479" i="5"/>
  <c r="N475" i="5"/>
  <c r="N411" i="5"/>
  <c r="N404" i="5"/>
  <c r="N109" i="5"/>
  <c r="N107" i="5"/>
  <c r="N105" i="5"/>
  <c r="N103" i="5"/>
  <c r="N101" i="5"/>
  <c r="N99" i="5"/>
  <c r="N97" i="5"/>
  <c r="N95" i="5"/>
  <c r="N93" i="5"/>
  <c r="N91" i="5"/>
  <c r="N89" i="5"/>
  <c r="N87" i="5"/>
  <c r="N81" i="5"/>
  <c r="N77" i="5"/>
  <c r="I12" i="8"/>
  <c r="P575" i="5"/>
  <c r="P574" i="5"/>
  <c r="P572" i="5"/>
  <c r="P560" i="5"/>
  <c r="P555" i="5"/>
  <c r="P541" i="5"/>
  <c r="P539" i="5"/>
  <c r="P529" i="5"/>
  <c r="P528" i="5"/>
  <c r="P519" i="5"/>
  <c r="P514" i="5"/>
  <c r="P504" i="5"/>
  <c r="P502" i="5"/>
  <c r="P496" i="5"/>
  <c r="P479" i="5"/>
  <c r="P475" i="5"/>
  <c r="P411" i="5"/>
  <c r="P404" i="5"/>
  <c r="P109" i="5"/>
  <c r="P107" i="5"/>
  <c r="P105" i="5"/>
  <c r="P103" i="5"/>
  <c r="P101" i="5"/>
  <c r="P99" i="5"/>
  <c r="P97" i="5"/>
  <c r="P95" i="5"/>
  <c r="P93" i="5"/>
  <c r="P91" i="5"/>
  <c r="P89" i="5"/>
  <c r="P87" i="5"/>
  <c r="P81" i="5"/>
  <c r="P77" i="5"/>
  <c r="L13" i="4"/>
  <c r="G13" i="8"/>
  <c r="M392" i="5"/>
  <c r="M388" i="5"/>
  <c r="M383" i="5"/>
  <c r="M377" i="5"/>
  <c r="M372" i="5"/>
  <c r="M363" i="5"/>
  <c r="M362" i="5"/>
  <c r="M361" i="5"/>
  <c r="M360" i="5"/>
  <c r="M350" i="5"/>
  <c r="M349" i="5"/>
  <c r="M348" i="5"/>
  <c r="M344" i="5"/>
  <c r="M343" i="5"/>
  <c r="M342" i="5"/>
  <c r="M331" i="5"/>
  <c r="M328" i="5"/>
  <c r="M325" i="5"/>
  <c r="M316" i="5"/>
  <c r="M314" i="5"/>
  <c r="M304" i="5"/>
  <c r="M301" i="5"/>
  <c r="M287" i="5"/>
  <c r="M284" i="5"/>
  <c r="M282" i="5"/>
  <c r="M270" i="5"/>
  <c r="M267" i="5"/>
  <c r="M255" i="5"/>
  <c r="M252" i="5"/>
  <c r="M245" i="5"/>
  <c r="M241" i="5"/>
  <c r="M238" i="5"/>
  <c r="M224" i="5"/>
  <c r="M218" i="5"/>
  <c r="M213" i="5"/>
  <c r="M207" i="5"/>
  <c r="M201" i="5"/>
  <c r="K14" i="4"/>
  <c r="M14" i="4" s="1"/>
  <c r="N14" i="4" s="1"/>
  <c r="H13" i="8"/>
  <c r="N392" i="5"/>
  <c r="N388" i="5"/>
  <c r="N383" i="5"/>
  <c r="N377" i="5"/>
  <c r="N372" i="5"/>
  <c r="N363" i="5"/>
  <c r="N362" i="5"/>
  <c r="N361" i="5"/>
  <c r="N360" i="5"/>
  <c r="N350" i="5"/>
  <c r="N349" i="5"/>
  <c r="N348" i="5"/>
  <c r="N344" i="5"/>
  <c r="N343" i="5"/>
  <c r="N342" i="5"/>
  <c r="N331" i="5"/>
  <c r="N328" i="5"/>
  <c r="N325" i="5"/>
  <c r="N316" i="5"/>
  <c r="N314" i="5"/>
  <c r="N304" i="5"/>
  <c r="N301" i="5"/>
  <c r="N287" i="5"/>
  <c r="N284" i="5"/>
  <c r="N282" i="5"/>
  <c r="N270" i="5"/>
  <c r="N267" i="5"/>
  <c r="N255" i="5"/>
  <c r="N252" i="5"/>
  <c r="N245" i="5"/>
  <c r="N241" i="5"/>
  <c r="N238" i="5"/>
  <c r="N224" i="5"/>
  <c r="N218" i="5"/>
  <c r="N213" i="5"/>
  <c r="N207" i="5"/>
  <c r="N201" i="5"/>
  <c r="I13" i="8"/>
  <c r="P392" i="5"/>
  <c r="P388" i="5"/>
  <c r="P383" i="5"/>
  <c r="P377" i="5"/>
  <c r="P372" i="5"/>
  <c r="P363" i="5"/>
  <c r="P362" i="5"/>
  <c r="P361" i="5"/>
  <c r="P360" i="5"/>
  <c r="P350" i="5"/>
  <c r="P349" i="5"/>
  <c r="P348" i="5"/>
  <c r="P344" i="5"/>
  <c r="P343" i="5"/>
  <c r="P342" i="5"/>
  <c r="P331" i="5"/>
  <c r="P328" i="5"/>
  <c r="P325" i="5"/>
  <c r="P316" i="5"/>
  <c r="P314" i="5"/>
  <c r="P304" i="5"/>
  <c r="P301" i="5"/>
  <c r="P287" i="5"/>
  <c r="P284" i="5"/>
  <c r="P282" i="5"/>
  <c r="P270" i="5"/>
  <c r="P267" i="5"/>
  <c r="P255" i="5"/>
  <c r="P252" i="5"/>
  <c r="P245" i="5"/>
  <c r="P241" i="5"/>
  <c r="P238" i="5"/>
  <c r="P224" i="5"/>
  <c r="P218" i="5"/>
  <c r="P213" i="5"/>
  <c r="P207" i="5"/>
  <c r="P201" i="5"/>
  <c r="L14" i="4"/>
  <c r="G14" i="8"/>
  <c r="M432" i="5"/>
  <c r="K15" i="4"/>
  <c r="M15" i="4" s="1"/>
  <c r="N15" i="4" s="1"/>
  <c r="H14" i="8"/>
  <c r="N432" i="5"/>
  <c r="I14" i="8"/>
  <c r="P432" i="5"/>
  <c r="L15" i="4"/>
  <c r="G15" i="8"/>
  <c r="M552" i="5"/>
  <c r="M543" i="5"/>
  <c r="M525" i="5"/>
  <c r="M490" i="5"/>
  <c r="M396" i="5"/>
  <c r="M66" i="5"/>
  <c r="K16" i="4"/>
  <c r="M16" i="4" s="1"/>
  <c r="N16" i="4" s="1"/>
  <c r="H15" i="8"/>
  <c r="N552" i="5"/>
  <c r="N543" i="5"/>
  <c r="N525" i="5"/>
  <c r="N490" i="5"/>
  <c r="N396" i="5"/>
  <c r="N66" i="5"/>
  <c r="I15" i="8"/>
  <c r="P552" i="5"/>
  <c r="P543" i="5"/>
  <c r="P525" i="5"/>
  <c r="P490" i="5"/>
  <c r="P396" i="5"/>
  <c r="P66" i="5"/>
  <c r="L16" i="4"/>
  <c r="G16" i="8"/>
  <c r="M338" i="5"/>
  <c r="M323" i="5"/>
  <c r="M310" i="5"/>
  <c r="M298" i="5"/>
  <c r="M279" i="5"/>
  <c r="M277" i="5"/>
  <c r="M263" i="5"/>
  <c r="M248" i="5"/>
  <c r="M234" i="5"/>
  <c r="M222" i="5"/>
  <c r="M211" i="5"/>
  <c r="M199" i="5"/>
  <c r="K17" i="4"/>
  <c r="M17" i="4" s="1"/>
  <c r="N17" i="4" s="1"/>
  <c r="H16" i="8"/>
  <c r="N338" i="5"/>
  <c r="N323" i="5"/>
  <c r="N310" i="5"/>
  <c r="N298" i="5"/>
  <c r="N279" i="5"/>
  <c r="N277" i="5"/>
  <c r="N263" i="5"/>
  <c r="N248" i="5"/>
  <c r="N234" i="5"/>
  <c r="N222" i="5"/>
  <c r="N211" i="5"/>
  <c r="N199" i="5"/>
  <c r="I16" i="8"/>
  <c r="P338" i="5"/>
  <c r="P323" i="5"/>
  <c r="P310" i="5"/>
  <c r="P298" i="5"/>
  <c r="P279" i="5"/>
  <c r="P277" i="5"/>
  <c r="P263" i="5"/>
  <c r="P248" i="5"/>
  <c r="P234" i="5"/>
  <c r="P222" i="5"/>
  <c r="P211" i="5"/>
  <c r="P199" i="5"/>
  <c r="L17" i="4"/>
  <c r="G17" i="8"/>
  <c r="M60" i="5"/>
  <c r="K18" i="4"/>
  <c r="M18" i="4" s="1"/>
  <c r="N18" i="4" s="1"/>
  <c r="H17" i="8"/>
  <c r="N60" i="5"/>
  <c r="I17" i="8"/>
  <c r="P60" i="5"/>
  <c r="L18" i="4"/>
  <c r="G18" i="8"/>
  <c r="M510" i="5"/>
  <c r="K19" i="4"/>
  <c r="M19" i="4" s="1"/>
  <c r="N19" i="4" s="1"/>
  <c r="H18" i="8"/>
  <c r="N510" i="5"/>
  <c r="I18" i="8"/>
  <c r="P510" i="5"/>
  <c r="L19" i="4"/>
  <c r="G19" i="8"/>
  <c r="M167" i="5"/>
  <c r="K20" i="4"/>
  <c r="M20" i="4" s="1"/>
  <c r="N20" i="4" s="1"/>
  <c r="H19" i="8"/>
  <c r="N167" i="5"/>
  <c r="I19" i="8"/>
  <c r="P167" i="5"/>
  <c r="L20" i="4"/>
  <c r="G20" i="8"/>
  <c r="M433" i="5"/>
  <c r="K21" i="4"/>
  <c r="M21" i="4" s="1"/>
  <c r="N21" i="4" s="1"/>
  <c r="H20" i="8"/>
  <c r="N433" i="5"/>
  <c r="I20" i="8"/>
  <c r="P433" i="5"/>
  <c r="L21" i="4"/>
  <c r="G21" i="8"/>
  <c r="M141" i="5"/>
  <c r="K22" i="4"/>
  <c r="M22" i="4" s="1"/>
  <c r="N22" i="4" s="1"/>
  <c r="H21" i="8"/>
  <c r="N141" i="5"/>
  <c r="I21" i="8"/>
  <c r="P141" i="5"/>
  <c r="L22" i="4"/>
  <c r="G22" i="8"/>
  <c r="M189" i="5"/>
  <c r="M187" i="5"/>
  <c r="M183" i="5"/>
  <c r="K23" i="4"/>
  <c r="M23" i="4" s="1"/>
  <c r="N23" i="4" s="1"/>
  <c r="H22" i="8"/>
  <c r="N189" i="5"/>
  <c r="N187" i="5"/>
  <c r="N183" i="5"/>
  <c r="I22" i="8"/>
  <c r="P189" i="5"/>
  <c r="P187" i="5"/>
  <c r="P183" i="5"/>
  <c r="L23" i="4"/>
  <c r="G23" i="8"/>
  <c r="M465" i="5"/>
  <c r="M464" i="5"/>
  <c r="K24" i="4"/>
  <c r="M24" i="4" s="1"/>
  <c r="N24" i="4" s="1"/>
  <c r="H23" i="8"/>
  <c r="N465" i="5"/>
  <c r="N464" i="5"/>
  <c r="I23" i="8"/>
  <c r="P465" i="5"/>
  <c r="P464" i="5"/>
  <c r="L24" i="4"/>
  <c r="G24" i="8"/>
  <c r="M569" i="5"/>
  <c r="M563" i="5"/>
  <c r="M562" i="5"/>
  <c r="M546" i="5"/>
  <c r="M545" i="5"/>
  <c r="M533" i="5"/>
  <c r="M532" i="5"/>
  <c r="M516" i="5"/>
  <c r="M515" i="5"/>
  <c r="M498" i="5"/>
  <c r="M497" i="5"/>
  <c r="M485" i="5"/>
  <c r="M484" i="5"/>
  <c r="M482" i="5"/>
  <c r="M417" i="5"/>
  <c r="M416" i="5"/>
  <c r="M414" i="5"/>
  <c r="M113" i="5"/>
  <c r="M112" i="5"/>
  <c r="M111" i="5"/>
  <c r="K25" i="4"/>
  <c r="M25" i="4" s="1"/>
  <c r="N25" i="4" s="1"/>
  <c r="H24" i="8"/>
  <c r="N569" i="5"/>
  <c r="N563" i="5"/>
  <c r="N562" i="5"/>
  <c r="N546" i="5"/>
  <c r="N545" i="5"/>
  <c r="N533" i="5"/>
  <c r="N532" i="5"/>
  <c r="N516" i="5"/>
  <c r="N515" i="5"/>
  <c r="N498" i="5"/>
  <c r="N497" i="5"/>
  <c r="N485" i="5"/>
  <c r="N484" i="5"/>
  <c r="N482" i="5"/>
  <c r="N417" i="5"/>
  <c r="N416" i="5"/>
  <c r="N414" i="5"/>
  <c r="N113" i="5"/>
  <c r="N112" i="5"/>
  <c r="N111" i="5"/>
  <c r="I24" i="8"/>
  <c r="P569" i="5"/>
  <c r="P563" i="5"/>
  <c r="P562" i="5"/>
  <c r="P546" i="5"/>
  <c r="P545" i="5"/>
  <c r="P533" i="5"/>
  <c r="P532" i="5"/>
  <c r="P516" i="5"/>
  <c r="P515" i="5"/>
  <c r="P498" i="5"/>
  <c r="P497" i="5"/>
  <c r="P485" i="5"/>
  <c r="P484" i="5"/>
  <c r="P482" i="5"/>
  <c r="P417" i="5"/>
  <c r="P416" i="5"/>
  <c r="P414" i="5"/>
  <c r="P113" i="5"/>
  <c r="P112" i="5"/>
  <c r="P111" i="5"/>
  <c r="L25" i="4"/>
  <c r="G25" i="8"/>
  <c r="M405" i="5"/>
  <c r="M385" i="5"/>
  <c r="M373" i="5"/>
  <c r="M355" i="5"/>
  <c r="M351" i="5"/>
  <c r="M333" i="5"/>
  <c r="M319" i="5"/>
  <c r="M306" i="5"/>
  <c r="M289" i="5"/>
  <c r="M273" i="5"/>
  <c r="M259" i="5"/>
  <c r="M242" i="5"/>
  <c r="M230" i="5"/>
  <c r="M216" i="5"/>
  <c r="M204" i="5"/>
  <c r="K26" i="4"/>
  <c r="M26" i="4" s="1"/>
  <c r="N26" i="4" s="1"/>
  <c r="H25" i="8"/>
  <c r="N405" i="5"/>
  <c r="N385" i="5"/>
  <c r="N373" i="5"/>
  <c r="N355" i="5"/>
  <c r="N351" i="5"/>
  <c r="N333" i="5"/>
  <c r="N319" i="5"/>
  <c r="N306" i="5"/>
  <c r="N289" i="5"/>
  <c r="N273" i="5"/>
  <c r="N259" i="5"/>
  <c r="N242" i="5"/>
  <c r="N230" i="5"/>
  <c r="N216" i="5"/>
  <c r="N204" i="5"/>
  <c r="I25" i="8"/>
  <c r="P405" i="5"/>
  <c r="P385" i="5"/>
  <c r="P373" i="5"/>
  <c r="P355" i="5"/>
  <c r="P351" i="5"/>
  <c r="P333" i="5"/>
  <c r="P319" i="5"/>
  <c r="P306" i="5"/>
  <c r="P289" i="5"/>
  <c r="P273" i="5"/>
  <c r="P259" i="5"/>
  <c r="P242" i="5"/>
  <c r="P230" i="5"/>
  <c r="P216" i="5"/>
  <c r="P204" i="5"/>
  <c r="L26" i="4"/>
  <c r="G26" i="8"/>
  <c r="M409" i="5"/>
  <c r="M407" i="5"/>
  <c r="M386" i="5"/>
  <c r="M374" i="5"/>
  <c r="M356" i="5"/>
  <c r="M352" i="5"/>
  <c r="M334" i="5"/>
  <c r="M320" i="5"/>
  <c r="M307" i="5"/>
  <c r="M290" i="5"/>
  <c r="M274" i="5"/>
  <c r="M260" i="5"/>
  <c r="M123" i="5"/>
  <c r="K27" i="4"/>
  <c r="M27" i="4" s="1"/>
  <c r="H26" i="8"/>
  <c r="N409" i="5"/>
  <c r="N407" i="5"/>
  <c r="N386" i="5"/>
  <c r="N374" i="5"/>
  <c r="N356" i="5"/>
  <c r="N352" i="5"/>
  <c r="N334" i="5"/>
  <c r="N320" i="5"/>
  <c r="N307" i="5"/>
  <c r="N290" i="5"/>
  <c r="N274" i="5"/>
  <c r="N260" i="5"/>
  <c r="N123" i="5"/>
  <c r="G27" i="8"/>
  <c r="M567" i="5"/>
  <c r="K28" i="4"/>
  <c r="M28" i="4" s="1"/>
  <c r="N28" i="4" s="1"/>
  <c r="H27" i="8"/>
  <c r="N567" i="5"/>
  <c r="I27" i="8"/>
  <c r="P567" i="5"/>
  <c r="L28" i="4"/>
  <c r="G28" i="8"/>
  <c r="M177" i="5"/>
  <c r="M175" i="5"/>
  <c r="K29" i="4"/>
  <c r="M29" i="4" s="1"/>
  <c r="N29" i="4" s="1"/>
  <c r="H28" i="8"/>
  <c r="N177" i="5"/>
  <c r="N175" i="5"/>
  <c r="I28" i="8"/>
  <c r="P177" i="5"/>
  <c r="P175" i="5"/>
  <c r="L29" i="4"/>
  <c r="G29" i="8"/>
  <c r="M461" i="5"/>
  <c r="M458" i="5"/>
  <c r="M456" i="5"/>
  <c r="M454" i="5"/>
  <c r="M453" i="5"/>
  <c r="M451" i="5"/>
  <c r="M448" i="5"/>
  <c r="M444" i="5"/>
  <c r="M443" i="5"/>
  <c r="M441" i="5"/>
  <c r="M439" i="5"/>
  <c r="K30" i="4"/>
  <c r="M30" i="4" s="1"/>
  <c r="N30" i="4" s="1"/>
  <c r="H29" i="8"/>
  <c r="N461" i="5"/>
  <c r="N458" i="5"/>
  <c r="N456" i="5"/>
  <c r="N454" i="5"/>
  <c r="N453" i="5"/>
  <c r="N451" i="5"/>
  <c r="N448" i="5"/>
  <c r="N444" i="5"/>
  <c r="N443" i="5"/>
  <c r="N441" i="5"/>
  <c r="N439" i="5"/>
  <c r="I29" i="8"/>
  <c r="P461" i="5"/>
  <c r="P458" i="5"/>
  <c r="P456" i="5"/>
  <c r="P454" i="5"/>
  <c r="P453" i="5"/>
  <c r="P451" i="5"/>
  <c r="P448" i="5"/>
  <c r="P444" i="5"/>
  <c r="P443" i="5"/>
  <c r="P441" i="5"/>
  <c r="P439" i="5"/>
  <c r="L30" i="4"/>
  <c r="G30" i="8"/>
  <c r="M576" i="5"/>
  <c r="M573" i="5"/>
  <c r="M571" i="5"/>
  <c r="M559" i="5"/>
  <c r="M554" i="5"/>
  <c r="M547" i="5"/>
  <c r="M544" i="5"/>
  <c r="M534" i="5"/>
  <c r="M530" i="5"/>
  <c r="M517" i="5"/>
  <c r="M512" i="5"/>
  <c r="M501" i="5"/>
  <c r="M495" i="5"/>
  <c r="M480" i="5"/>
  <c r="M477" i="5"/>
  <c r="M474" i="5"/>
  <c r="M412" i="5"/>
  <c r="M408" i="5"/>
  <c r="M402" i="5"/>
  <c r="M108" i="5"/>
  <c r="M106" i="5"/>
  <c r="M104" i="5"/>
  <c r="M102" i="5"/>
  <c r="M100" i="5"/>
  <c r="M98" i="5"/>
  <c r="M96" i="5"/>
  <c r="M94" i="5"/>
  <c r="M92" i="5"/>
  <c r="M90" i="5"/>
  <c r="M88" i="5"/>
  <c r="M86" i="5"/>
  <c r="M80" i="5"/>
  <c r="M76" i="5"/>
  <c r="K31" i="4"/>
  <c r="M31" i="4" s="1"/>
  <c r="N31" i="4" s="1"/>
  <c r="H30" i="8"/>
  <c r="N576" i="5"/>
  <c r="N573" i="5"/>
  <c r="N571" i="5"/>
  <c r="N559" i="5"/>
  <c r="N554" i="5"/>
  <c r="N547" i="5"/>
  <c r="N544" i="5"/>
  <c r="N534" i="5"/>
  <c r="N530" i="5"/>
  <c r="N517" i="5"/>
  <c r="N512" i="5"/>
  <c r="N501" i="5"/>
  <c r="N495" i="5"/>
  <c r="N480" i="5"/>
  <c r="N477" i="5"/>
  <c r="N474" i="5"/>
  <c r="N412" i="5"/>
  <c r="N408" i="5"/>
  <c r="N402" i="5"/>
  <c r="N108" i="5"/>
  <c r="N106" i="5"/>
  <c r="N104" i="5"/>
  <c r="N102" i="5"/>
  <c r="N100" i="5"/>
  <c r="N98" i="5"/>
  <c r="N96" i="5"/>
  <c r="N94" i="5"/>
  <c r="N92" i="5"/>
  <c r="N90" i="5"/>
  <c r="N88" i="5"/>
  <c r="N86" i="5"/>
  <c r="N80" i="5"/>
  <c r="N76" i="5"/>
  <c r="I30" i="8"/>
  <c r="P576" i="5"/>
  <c r="P573" i="5"/>
  <c r="P571" i="5"/>
  <c r="P559" i="5"/>
  <c r="P554" i="5"/>
  <c r="P547" i="5"/>
  <c r="P544" i="5"/>
  <c r="P534" i="5"/>
  <c r="P530" i="5"/>
  <c r="P517" i="5"/>
  <c r="P512" i="5"/>
  <c r="P501" i="5"/>
  <c r="P495" i="5"/>
  <c r="P480" i="5"/>
  <c r="P477" i="5"/>
  <c r="P474" i="5"/>
  <c r="P412" i="5"/>
  <c r="P408" i="5"/>
  <c r="P402" i="5"/>
  <c r="P108" i="5"/>
  <c r="P106" i="5"/>
  <c r="P104" i="5"/>
  <c r="P102" i="5"/>
  <c r="P100" i="5"/>
  <c r="P98" i="5"/>
  <c r="P96" i="5"/>
  <c r="P94" i="5"/>
  <c r="P92" i="5"/>
  <c r="P90" i="5"/>
  <c r="P88" i="5"/>
  <c r="P86" i="5"/>
  <c r="P80" i="5"/>
  <c r="P76" i="5"/>
  <c r="L31" i="4"/>
  <c r="G31" i="8"/>
  <c r="M390" i="5"/>
  <c r="M382" i="5"/>
  <c r="M375" i="5"/>
  <c r="M370" i="5"/>
  <c r="M359" i="5"/>
  <c r="M358" i="5"/>
  <c r="M346" i="5"/>
  <c r="M341" i="5"/>
  <c r="M330" i="5"/>
  <c r="M327" i="5"/>
  <c r="M326" i="5"/>
  <c r="M315" i="5"/>
  <c r="M313" i="5"/>
  <c r="M303" i="5"/>
  <c r="M300" i="5"/>
  <c r="M286" i="5"/>
  <c r="M283" i="5"/>
  <c r="M272" i="5"/>
  <c r="M269" i="5"/>
  <c r="M266" i="5"/>
  <c r="M254" i="5"/>
  <c r="M251" i="5"/>
  <c r="M239" i="5"/>
  <c r="M236" i="5"/>
  <c r="M225" i="5"/>
  <c r="M217" i="5"/>
  <c r="M212" i="5"/>
  <c r="M206" i="5"/>
  <c r="M200" i="5"/>
  <c r="K32" i="4"/>
  <c r="M32" i="4" s="1"/>
  <c r="N32" i="4" s="1"/>
  <c r="H31" i="8"/>
  <c r="N390" i="5"/>
  <c r="N382" i="5"/>
  <c r="N375" i="5"/>
  <c r="N370" i="5"/>
  <c r="N359" i="5"/>
  <c r="N358" i="5"/>
  <c r="N346" i="5"/>
  <c r="N341" i="5"/>
  <c r="N330" i="5"/>
  <c r="N327" i="5"/>
  <c r="N326" i="5"/>
  <c r="N315" i="5"/>
  <c r="N313" i="5"/>
  <c r="N303" i="5"/>
  <c r="N300" i="5"/>
  <c r="N286" i="5"/>
  <c r="N283" i="5"/>
  <c r="N272" i="5"/>
  <c r="N269" i="5"/>
  <c r="N266" i="5"/>
  <c r="N254" i="5"/>
  <c r="N251" i="5"/>
  <c r="N239" i="5"/>
  <c r="N236" i="5"/>
  <c r="N225" i="5"/>
  <c r="N217" i="5"/>
  <c r="N212" i="5"/>
  <c r="N206" i="5"/>
  <c r="N200" i="5"/>
  <c r="I31" i="8"/>
  <c r="P390" i="5"/>
  <c r="P382" i="5"/>
  <c r="P375" i="5"/>
  <c r="P370" i="5"/>
  <c r="P359" i="5"/>
  <c r="P358" i="5"/>
  <c r="P346" i="5"/>
  <c r="P341" i="5"/>
  <c r="P330" i="5"/>
  <c r="P327" i="5"/>
  <c r="P326" i="5"/>
  <c r="P315" i="5"/>
  <c r="P313" i="5"/>
  <c r="P303" i="5"/>
  <c r="P300" i="5"/>
  <c r="P286" i="5"/>
  <c r="P283" i="5"/>
  <c r="P272" i="5"/>
  <c r="P269" i="5"/>
  <c r="P266" i="5"/>
  <c r="P254" i="5"/>
  <c r="P251" i="5"/>
  <c r="P239" i="5"/>
  <c r="P236" i="5"/>
  <c r="P225" i="5"/>
  <c r="P217" i="5"/>
  <c r="P212" i="5"/>
  <c r="P206" i="5"/>
  <c r="P200" i="5"/>
  <c r="L32" i="4"/>
  <c r="G32" i="8"/>
  <c r="M148" i="5"/>
  <c r="M147" i="5"/>
  <c r="M146" i="5"/>
  <c r="M138" i="5"/>
  <c r="M137" i="5"/>
  <c r="M136" i="5"/>
  <c r="M125" i="5"/>
  <c r="M124" i="5"/>
  <c r="M83" i="5"/>
  <c r="M82" i="5"/>
  <c r="K33" i="4"/>
  <c r="M33" i="4" s="1"/>
  <c r="N33" i="4" s="1"/>
  <c r="H32" i="8"/>
  <c r="N148" i="5"/>
  <c r="N147" i="5"/>
  <c r="N146" i="5"/>
  <c r="N138" i="5"/>
  <c r="N137" i="5"/>
  <c r="N136" i="5"/>
  <c r="N125" i="5"/>
  <c r="N124" i="5"/>
  <c r="N83" i="5"/>
  <c r="N82" i="5"/>
  <c r="I32" i="8"/>
  <c r="P148" i="5"/>
  <c r="P147" i="5"/>
  <c r="P146" i="5"/>
  <c r="P138" i="5"/>
  <c r="P137" i="5"/>
  <c r="P136" i="5"/>
  <c r="P125" i="5"/>
  <c r="P124" i="5"/>
  <c r="P83" i="5"/>
  <c r="P82" i="5"/>
  <c r="L33" i="4"/>
  <c r="G33" i="8"/>
  <c r="M551" i="5"/>
  <c r="M542" i="5"/>
  <c r="M524" i="5"/>
  <c r="M509" i="5"/>
  <c r="M489" i="5"/>
  <c r="K34" i="4"/>
  <c r="M34" i="4" s="1"/>
  <c r="N34" i="4" s="1"/>
  <c r="H33" i="8"/>
  <c r="N551" i="5"/>
  <c r="N542" i="5"/>
  <c r="N524" i="5"/>
  <c r="N509" i="5"/>
  <c r="N489" i="5"/>
  <c r="I33" i="8"/>
  <c r="P551" i="5"/>
  <c r="P542" i="5"/>
  <c r="P524" i="5"/>
  <c r="P509" i="5"/>
  <c r="P489" i="5"/>
  <c r="L34" i="4"/>
  <c r="G34" i="8"/>
  <c r="M73" i="5"/>
  <c r="M33" i="5"/>
  <c r="K35" i="4"/>
  <c r="M35" i="4" s="1"/>
  <c r="N35" i="4" s="1"/>
  <c r="H34" i="8"/>
  <c r="N73" i="5"/>
  <c r="N33" i="5"/>
  <c r="I34" i="8"/>
  <c r="P73" i="5"/>
  <c r="P33" i="5"/>
  <c r="L35" i="4"/>
  <c r="G35" i="8"/>
  <c r="M196" i="5"/>
  <c r="M195" i="5"/>
  <c r="M194" i="5"/>
  <c r="M179" i="5"/>
  <c r="M176" i="5"/>
  <c r="M173" i="5"/>
  <c r="M170" i="5"/>
  <c r="M169" i="5"/>
  <c r="M168" i="5"/>
  <c r="K36" i="4"/>
  <c r="M36" i="4" s="1"/>
  <c r="N36" i="4" s="1"/>
  <c r="H35" i="8"/>
  <c r="N196" i="5"/>
  <c r="N195" i="5"/>
  <c r="N194" i="5"/>
  <c r="N179" i="5"/>
  <c r="N176" i="5"/>
  <c r="N173" i="5"/>
  <c r="N170" i="5"/>
  <c r="N169" i="5"/>
  <c r="N168" i="5"/>
  <c r="I35" i="8"/>
  <c r="P196" i="5"/>
  <c r="P195" i="5"/>
  <c r="P194" i="5"/>
  <c r="P179" i="5"/>
  <c r="P176" i="5"/>
  <c r="P173" i="5"/>
  <c r="P170" i="5"/>
  <c r="P169" i="5"/>
  <c r="P168" i="5"/>
  <c r="L36" i="4"/>
  <c r="G36" i="8"/>
  <c r="M450" i="5"/>
  <c r="M447" i="5"/>
  <c r="M446" i="5"/>
  <c r="K37" i="4"/>
  <c r="M37" i="4" s="1"/>
  <c r="N37" i="4" s="1"/>
  <c r="H36" i="8"/>
  <c r="N450" i="5"/>
  <c r="N447" i="5"/>
  <c r="N446" i="5"/>
  <c r="I36" i="8"/>
  <c r="P450" i="5"/>
  <c r="P447" i="5"/>
  <c r="P446" i="5"/>
  <c r="L37" i="4"/>
  <c r="G37" i="8"/>
  <c r="M570" i="5"/>
  <c r="M561" i="5"/>
  <c r="M558" i="5"/>
  <c r="M556" i="5"/>
  <c r="M540" i="5"/>
  <c r="M538" i="5"/>
  <c r="M535" i="5"/>
  <c r="M531" i="5"/>
  <c r="M521" i="5"/>
  <c r="M518" i="5"/>
  <c r="M513" i="5"/>
  <c r="M506" i="5"/>
  <c r="M505" i="5"/>
  <c r="M499" i="5"/>
  <c r="M491" i="5"/>
  <c r="M472" i="5"/>
  <c r="M426" i="5"/>
  <c r="M425" i="5"/>
  <c r="M424" i="5"/>
  <c r="M422" i="5"/>
  <c r="M421" i="5"/>
  <c r="M420" i="5"/>
  <c r="M403" i="5"/>
  <c r="M399" i="5"/>
  <c r="M398" i="5"/>
  <c r="M159" i="5"/>
  <c r="M150" i="5"/>
  <c r="M140" i="5"/>
  <c r="M121" i="5"/>
  <c r="M117" i="5"/>
  <c r="M116" i="5"/>
  <c r="M79" i="5"/>
  <c r="M78" i="5"/>
  <c r="M75" i="5"/>
  <c r="M70" i="5"/>
  <c r="M69" i="5"/>
  <c r="M68" i="5"/>
  <c r="K38" i="4"/>
  <c r="M38" i="4" s="1"/>
  <c r="N38" i="4" s="1"/>
  <c r="H37" i="8"/>
  <c r="N570" i="5"/>
  <c r="N561" i="5"/>
  <c r="N558" i="5"/>
  <c r="N556" i="5"/>
  <c r="N540" i="5"/>
  <c r="N538" i="5"/>
  <c r="N535" i="5"/>
  <c r="N531" i="5"/>
  <c r="N521" i="5"/>
  <c r="N518" i="5"/>
  <c r="N513" i="5"/>
  <c r="N506" i="5"/>
  <c r="N505" i="5"/>
  <c r="N499" i="5"/>
  <c r="N491" i="5"/>
  <c r="N472" i="5"/>
  <c r="N426" i="5"/>
  <c r="N425" i="5"/>
  <c r="N424" i="5"/>
  <c r="N422" i="5"/>
  <c r="N421" i="5"/>
  <c r="N420" i="5"/>
  <c r="N403" i="5"/>
  <c r="N399" i="5"/>
  <c r="N398" i="5"/>
  <c r="N159" i="5"/>
  <c r="N150" i="5"/>
  <c r="N140" i="5"/>
  <c r="N121" i="5"/>
  <c r="N117" i="5"/>
  <c r="N116" i="5"/>
  <c r="N79" i="5"/>
  <c r="N78" i="5"/>
  <c r="N75" i="5"/>
  <c r="N70" i="5"/>
  <c r="N69" i="5"/>
  <c r="N68" i="5"/>
  <c r="I37" i="8"/>
  <c r="P570" i="5"/>
  <c r="P561" i="5"/>
  <c r="P558" i="5"/>
  <c r="P556" i="5"/>
  <c r="P540" i="5"/>
  <c r="P538" i="5"/>
  <c r="P535" i="5"/>
  <c r="P531" i="5"/>
  <c r="P521" i="5"/>
  <c r="P518" i="5"/>
  <c r="P513" i="5"/>
  <c r="P506" i="5"/>
  <c r="P505" i="5"/>
  <c r="P499" i="5"/>
  <c r="P491" i="5"/>
  <c r="P472" i="5"/>
  <c r="P426" i="5"/>
  <c r="P425" i="5"/>
  <c r="P424" i="5"/>
  <c r="P422" i="5"/>
  <c r="P421" i="5"/>
  <c r="P420" i="5"/>
  <c r="P403" i="5"/>
  <c r="P399" i="5"/>
  <c r="P398" i="5"/>
  <c r="P159" i="5"/>
  <c r="P150" i="5"/>
  <c r="P140" i="5"/>
  <c r="P121" i="5"/>
  <c r="P117" i="5"/>
  <c r="P116" i="5"/>
  <c r="P79" i="5"/>
  <c r="P78" i="5"/>
  <c r="P75" i="5"/>
  <c r="P70" i="5"/>
  <c r="P69" i="5"/>
  <c r="P68" i="5"/>
  <c r="L38" i="4"/>
  <c r="G38" i="8"/>
  <c r="M391" i="5"/>
  <c r="M389" i="5"/>
  <c r="M384" i="5"/>
  <c r="M376" i="5"/>
  <c r="M371" i="5"/>
  <c r="M366" i="5"/>
  <c r="M365" i="5"/>
  <c r="M364" i="5"/>
  <c r="M347" i="5"/>
  <c r="M345" i="5"/>
  <c r="M339" i="5"/>
  <c r="M332" i="5"/>
  <c r="M329" i="5"/>
  <c r="M324" i="5"/>
  <c r="M318" i="5"/>
  <c r="M317" i="5"/>
  <c r="M312" i="5"/>
  <c r="M311" i="5"/>
  <c r="M305" i="5"/>
  <c r="M302" i="5"/>
  <c r="M295" i="5"/>
  <c r="M294" i="5"/>
  <c r="M293" i="5"/>
  <c r="M292" i="5"/>
  <c r="M288" i="5"/>
  <c r="M285" i="5"/>
  <c r="M281" i="5"/>
  <c r="M271" i="5"/>
  <c r="M268" i="5"/>
  <c r="M265" i="5"/>
  <c r="M258" i="5"/>
  <c r="M256" i="5"/>
  <c r="M253" i="5"/>
  <c r="M250" i="5"/>
  <c r="M240" i="5"/>
  <c r="M237" i="5"/>
  <c r="M235" i="5"/>
  <c r="M229" i="5"/>
  <c r="M228" i="5"/>
  <c r="M227" i="5"/>
  <c r="M226" i="5"/>
  <c r="M208" i="5"/>
  <c r="M205" i="5"/>
  <c r="K39" i="4"/>
  <c r="M39" i="4" s="1"/>
  <c r="N39" i="4" s="1"/>
  <c r="H38" i="8"/>
  <c r="N391" i="5"/>
  <c r="N389" i="5"/>
  <c r="N384" i="5"/>
  <c r="N376" i="5"/>
  <c r="N371" i="5"/>
  <c r="N366" i="5"/>
  <c r="N365" i="5"/>
  <c r="N364" i="5"/>
  <c r="N347" i="5"/>
  <c r="N345" i="5"/>
  <c r="N339" i="5"/>
  <c r="N332" i="5"/>
  <c r="N329" i="5"/>
  <c r="N324" i="5"/>
  <c r="N318" i="5"/>
  <c r="N317" i="5"/>
  <c r="N312" i="5"/>
  <c r="N311" i="5"/>
  <c r="N305" i="5"/>
  <c r="N302" i="5"/>
  <c r="N295" i="5"/>
  <c r="N294" i="5"/>
  <c r="N293" i="5"/>
  <c r="N292" i="5"/>
  <c r="N288" i="5"/>
  <c r="N285" i="5"/>
  <c r="N281" i="5"/>
  <c r="N271" i="5"/>
  <c r="N268" i="5"/>
  <c r="N265" i="5"/>
  <c r="N258" i="5"/>
  <c r="N256" i="5"/>
  <c r="N253" i="5"/>
  <c r="N250" i="5"/>
  <c r="N240" i="5"/>
  <c r="N237" i="5"/>
  <c r="N235" i="5"/>
  <c r="N229" i="5"/>
  <c r="N228" i="5"/>
  <c r="N227" i="5"/>
  <c r="N226" i="5"/>
  <c r="N208" i="5"/>
  <c r="N205" i="5"/>
  <c r="I38" i="8"/>
  <c r="P391" i="5"/>
  <c r="P389" i="5"/>
  <c r="P384" i="5"/>
  <c r="P376" i="5"/>
  <c r="P371" i="5"/>
  <c r="P366" i="5"/>
  <c r="P365" i="5"/>
  <c r="P364" i="5"/>
  <c r="P347" i="5"/>
  <c r="P345" i="5"/>
  <c r="P339" i="5"/>
  <c r="P332" i="5"/>
  <c r="P329" i="5"/>
  <c r="P324" i="5"/>
  <c r="P318" i="5"/>
  <c r="P317" i="5"/>
  <c r="P312" i="5"/>
  <c r="P311" i="5"/>
  <c r="P305" i="5"/>
  <c r="P302" i="5"/>
  <c r="P295" i="5"/>
  <c r="P294" i="5"/>
  <c r="P293" i="5"/>
  <c r="P292" i="5"/>
  <c r="P288" i="5"/>
  <c r="P285" i="5"/>
  <c r="P281" i="5"/>
  <c r="P271" i="5"/>
  <c r="P268" i="5"/>
  <c r="P265" i="5"/>
  <c r="P258" i="5"/>
  <c r="P256" i="5"/>
  <c r="P253" i="5"/>
  <c r="P250" i="5"/>
  <c r="P240" i="5"/>
  <c r="P237" i="5"/>
  <c r="P235" i="5"/>
  <c r="P229" i="5"/>
  <c r="P228" i="5"/>
  <c r="P227" i="5"/>
  <c r="P226" i="5"/>
  <c r="P208" i="5"/>
  <c r="P205" i="5"/>
  <c r="L39" i="4"/>
  <c r="G39" i="8"/>
  <c r="M185" i="5"/>
  <c r="M182" i="5"/>
  <c r="M180" i="5"/>
  <c r="M166" i="5"/>
  <c r="K40" i="4"/>
  <c r="M40" i="4" s="1"/>
  <c r="N40" i="4" s="1"/>
  <c r="H39" i="8"/>
  <c r="N185" i="5"/>
  <c r="N182" i="5"/>
  <c r="N180" i="5"/>
  <c r="N166" i="5"/>
  <c r="I39" i="8"/>
  <c r="P185" i="5"/>
  <c r="P182" i="5"/>
  <c r="P180" i="5"/>
  <c r="P166" i="5"/>
  <c r="L40" i="4"/>
  <c r="G40" i="8"/>
  <c r="M463" i="5"/>
  <c r="M462" i="5"/>
  <c r="M436" i="5"/>
  <c r="K41" i="4"/>
  <c r="M41" i="4" s="1"/>
  <c r="N41" i="4" s="1"/>
  <c r="H40" i="8"/>
  <c r="N463" i="5"/>
  <c r="N462" i="5"/>
  <c r="N436" i="5"/>
  <c r="I40" i="8"/>
  <c r="P463" i="5"/>
  <c r="P462" i="5"/>
  <c r="P436" i="5"/>
  <c r="L41" i="4"/>
  <c r="G41" i="8"/>
  <c r="M568" i="5"/>
  <c r="M566" i="5"/>
  <c r="M493" i="5"/>
  <c r="M152" i="5"/>
  <c r="M151" i="5"/>
  <c r="M144" i="5"/>
  <c r="M143" i="5"/>
  <c r="M128" i="5"/>
  <c r="M127" i="5"/>
  <c r="M85" i="5"/>
  <c r="K42" i="4"/>
  <c r="M42" i="4" s="1"/>
  <c r="N42" i="4" s="1"/>
  <c r="H41" i="8"/>
  <c r="N568" i="5"/>
  <c r="N566" i="5"/>
  <c r="N493" i="5"/>
  <c r="N152" i="5"/>
  <c r="N151" i="5"/>
  <c r="N144" i="5"/>
  <c r="N143" i="5"/>
  <c r="N128" i="5"/>
  <c r="N127" i="5"/>
  <c r="N85" i="5"/>
  <c r="I41" i="8"/>
  <c r="P568" i="5"/>
  <c r="P566" i="5"/>
  <c r="P493" i="5"/>
  <c r="P152" i="5"/>
  <c r="P151" i="5"/>
  <c r="P144" i="5"/>
  <c r="P143" i="5"/>
  <c r="P128" i="5"/>
  <c r="P127" i="5"/>
  <c r="P85" i="5"/>
  <c r="L42" i="4"/>
  <c r="G42" i="8"/>
  <c r="M280" i="5"/>
  <c r="M215" i="5"/>
  <c r="M203" i="5"/>
  <c r="K43" i="4"/>
  <c r="M43" i="4" s="1"/>
  <c r="N43" i="4" s="1"/>
  <c r="H42" i="8"/>
  <c r="N280" i="5"/>
  <c r="N215" i="5"/>
  <c r="N203" i="5"/>
  <c r="I42" i="8"/>
  <c r="P280" i="5"/>
  <c r="P215" i="5"/>
  <c r="P203" i="5"/>
  <c r="L43" i="4"/>
  <c r="G43" i="8"/>
  <c r="M486" i="5"/>
  <c r="M418" i="5"/>
  <c r="K44" i="4"/>
  <c r="M44" i="4" s="1"/>
  <c r="N44" i="4" s="1"/>
  <c r="H43" i="8"/>
  <c r="N486" i="5"/>
  <c r="N418" i="5"/>
  <c r="I43" i="8"/>
  <c r="P486" i="5"/>
  <c r="P418" i="5"/>
  <c r="L44" i="4"/>
  <c r="G44" i="8"/>
  <c r="M193" i="5"/>
  <c r="M192" i="5"/>
  <c r="M191" i="5"/>
  <c r="M190" i="5"/>
  <c r="M188" i="5"/>
  <c r="M181" i="5"/>
  <c r="M171" i="5"/>
  <c r="M165" i="5"/>
  <c r="K45" i="4"/>
  <c r="M45" i="4" s="1"/>
  <c r="N45" i="4" s="1"/>
  <c r="H44" i="8"/>
  <c r="N193" i="5"/>
  <c r="N192" i="5"/>
  <c r="N191" i="5"/>
  <c r="N190" i="5"/>
  <c r="N188" i="5"/>
  <c r="N181" i="5"/>
  <c r="N171" i="5"/>
  <c r="N165" i="5"/>
  <c r="I44" i="8"/>
  <c r="P193" i="5"/>
  <c r="P192" i="5"/>
  <c r="P191" i="5"/>
  <c r="P190" i="5"/>
  <c r="P188" i="5"/>
  <c r="P181" i="5"/>
  <c r="P171" i="5"/>
  <c r="P165" i="5"/>
  <c r="L45" i="4"/>
  <c r="G45" i="8"/>
  <c r="M468" i="5"/>
  <c r="M467" i="5"/>
  <c r="M466" i="5"/>
  <c r="M457" i="5"/>
  <c r="M438" i="5"/>
  <c r="M435" i="5"/>
  <c r="M434" i="5"/>
  <c r="M431" i="5"/>
  <c r="K46" i="4"/>
  <c r="M46" i="4" s="1"/>
  <c r="N46" i="4" s="1"/>
  <c r="H45" i="8"/>
  <c r="N468" i="5"/>
  <c r="N467" i="5"/>
  <c r="N466" i="5"/>
  <c r="N457" i="5"/>
  <c r="N438" i="5"/>
  <c r="N435" i="5"/>
  <c r="N434" i="5"/>
  <c r="N431" i="5"/>
  <c r="I45" i="8"/>
  <c r="P468" i="5"/>
  <c r="P467" i="5"/>
  <c r="P466" i="5"/>
  <c r="P457" i="5"/>
  <c r="P438" i="5"/>
  <c r="P435" i="5"/>
  <c r="P434" i="5"/>
  <c r="P431" i="5"/>
  <c r="L46" i="4"/>
  <c r="G46" i="8"/>
  <c r="M553" i="5"/>
  <c r="M526" i="5"/>
  <c r="M511" i="5"/>
  <c r="M500" i="5"/>
  <c r="M494" i="5"/>
  <c r="M492" i="5"/>
  <c r="M428" i="5"/>
  <c r="M427" i="5"/>
  <c r="M423" i="5"/>
  <c r="M419" i="5"/>
  <c r="M162" i="5"/>
  <c r="M160" i="5"/>
  <c r="M145" i="5"/>
  <c r="M142" i="5"/>
  <c r="M135" i="5"/>
  <c r="M134" i="5"/>
  <c r="M126" i="5"/>
  <c r="M120" i="5"/>
  <c r="M119" i="5"/>
  <c r="M118" i="5"/>
  <c r="M115" i="5"/>
  <c r="M110" i="5"/>
  <c r="M84" i="5"/>
  <c r="M74" i="5"/>
  <c r="M71" i="5"/>
  <c r="M67" i="5"/>
  <c r="M32" i="5"/>
  <c r="M20" i="5"/>
  <c r="M19" i="5"/>
  <c r="K47" i="4"/>
  <c r="M47" i="4" s="1"/>
  <c r="N47" i="4" s="1"/>
  <c r="H46" i="8"/>
  <c r="N553" i="5"/>
  <c r="N526" i="5"/>
  <c r="N511" i="5"/>
  <c r="N500" i="5"/>
  <c r="N494" i="5"/>
  <c r="N492" i="5"/>
  <c r="N428" i="5"/>
  <c r="N427" i="5"/>
  <c r="N423" i="5"/>
  <c r="N419" i="5"/>
  <c r="N162" i="5"/>
  <c r="N160" i="5"/>
  <c r="N145" i="5"/>
  <c r="N142" i="5"/>
  <c r="N135" i="5"/>
  <c r="N134" i="5"/>
  <c r="N126" i="5"/>
  <c r="N120" i="5"/>
  <c r="N119" i="5"/>
  <c r="N118" i="5"/>
  <c r="N115" i="5"/>
  <c r="N110" i="5"/>
  <c r="N84" i="5"/>
  <c r="N74" i="5"/>
  <c r="N71" i="5"/>
  <c r="N67" i="5"/>
  <c r="N32" i="5"/>
  <c r="N20" i="5"/>
  <c r="N19" i="5"/>
  <c r="I46" i="8"/>
  <c r="P553" i="5"/>
  <c r="P526" i="5"/>
  <c r="P511" i="5"/>
  <c r="P500" i="5"/>
  <c r="P494" i="5"/>
  <c r="P492" i="5"/>
  <c r="P428" i="5"/>
  <c r="P427" i="5"/>
  <c r="P423" i="5"/>
  <c r="P419" i="5"/>
  <c r="P162" i="5"/>
  <c r="P160" i="5"/>
  <c r="P145" i="5"/>
  <c r="P142" i="5"/>
  <c r="P135" i="5"/>
  <c r="P134" i="5"/>
  <c r="P126" i="5"/>
  <c r="P120" i="5"/>
  <c r="P119" i="5"/>
  <c r="P118" i="5"/>
  <c r="P115" i="5"/>
  <c r="P110" i="5"/>
  <c r="P84" i="5"/>
  <c r="P74" i="5"/>
  <c r="P71" i="5"/>
  <c r="P67" i="5"/>
  <c r="P32" i="5"/>
  <c r="P20" i="5"/>
  <c r="P19" i="5"/>
  <c r="L47" i="4"/>
  <c r="G47" i="8"/>
  <c r="M393" i="5"/>
  <c r="M387" i="5"/>
  <c r="M369" i="5"/>
  <c r="M357" i="5"/>
  <c r="M340" i="5"/>
  <c r="M299" i="5"/>
  <c r="M291" i="5"/>
  <c r="M264" i="5"/>
  <c r="M249" i="5"/>
  <c r="M219" i="5"/>
  <c r="M214" i="5"/>
  <c r="M202" i="5"/>
  <c r="K48" i="4"/>
  <c r="M48" i="4" s="1"/>
  <c r="N48" i="4" s="1"/>
  <c r="H47" i="8"/>
  <c r="N393" i="5"/>
  <c r="N387" i="5"/>
  <c r="N369" i="5"/>
  <c r="N357" i="5"/>
  <c r="N340" i="5"/>
  <c r="N299" i="5"/>
  <c r="N291" i="5"/>
  <c r="N264" i="5"/>
  <c r="N249" i="5"/>
  <c r="N219" i="5"/>
  <c r="N214" i="5"/>
  <c r="N202" i="5"/>
  <c r="I47" i="8"/>
  <c r="P393" i="5"/>
  <c r="P387" i="5"/>
  <c r="P369" i="5"/>
  <c r="P357" i="5"/>
  <c r="P340" i="5"/>
  <c r="P299" i="5"/>
  <c r="P291" i="5"/>
  <c r="P264" i="5"/>
  <c r="P249" i="5"/>
  <c r="P219" i="5"/>
  <c r="P214" i="5"/>
  <c r="P202" i="5"/>
  <c r="L48" i="4"/>
  <c r="G48" i="8"/>
  <c r="M63" i="5"/>
  <c r="M61" i="5"/>
  <c r="M57" i="5"/>
  <c r="K49" i="4"/>
  <c r="M49" i="4" s="1"/>
  <c r="N49" i="4" s="1"/>
  <c r="H48" i="8"/>
  <c r="N63" i="5"/>
  <c r="N61" i="5"/>
  <c r="N57" i="5"/>
  <c r="I48" i="8"/>
  <c r="P63" i="5"/>
  <c r="P61" i="5"/>
  <c r="P57" i="5"/>
  <c r="L49" i="4"/>
  <c r="G49" i="8"/>
  <c r="M335" i="5"/>
  <c r="M243" i="5"/>
  <c r="M231" i="5"/>
  <c r="M186" i="5"/>
  <c r="M122" i="5"/>
  <c r="M62" i="5"/>
  <c r="K50" i="4"/>
  <c r="M50" i="4" s="1"/>
  <c r="H49" i="8"/>
  <c r="N335" i="5"/>
  <c r="N243" i="5"/>
  <c r="N231" i="5"/>
  <c r="N186" i="5"/>
  <c r="N122" i="5"/>
  <c r="N62" i="5"/>
  <c r="G50" i="8"/>
  <c r="M278" i="5"/>
  <c r="K51" i="4"/>
  <c r="M51" i="4" s="1"/>
  <c r="N51" i="4" s="1"/>
  <c r="H50" i="8"/>
  <c r="N278" i="5"/>
  <c r="I50" i="8"/>
  <c r="P278" i="5"/>
  <c r="L51" i="4"/>
  <c r="G51" i="8"/>
  <c r="M184" i="5"/>
  <c r="K52" i="4"/>
  <c r="M52" i="4" s="1"/>
  <c r="N52" i="4" s="1"/>
  <c r="H51" i="8"/>
  <c r="N184" i="5"/>
  <c r="I51" i="8"/>
  <c r="P184" i="5"/>
  <c r="L52" i="4"/>
  <c r="G52" i="8"/>
  <c r="M58" i="5"/>
  <c r="K53" i="4"/>
  <c r="M53" i="4" s="1"/>
  <c r="N53" i="4" s="1"/>
  <c r="H52" i="8"/>
  <c r="N58" i="5"/>
  <c r="I52" i="8"/>
  <c r="P58" i="5"/>
  <c r="L53" i="4"/>
  <c r="G53" i="8"/>
  <c r="M13" i="5"/>
  <c r="M12" i="5"/>
  <c r="M11" i="5"/>
  <c r="M10" i="5"/>
  <c r="M9" i="5"/>
  <c r="M8" i="5"/>
  <c r="K54" i="4"/>
  <c r="M54" i="4" s="1"/>
  <c r="N54" i="4" s="1"/>
  <c r="H53" i="8"/>
  <c r="N13" i="5"/>
  <c r="N12" i="5"/>
  <c r="N11" i="5"/>
  <c r="N10" i="5"/>
  <c r="N9" i="5"/>
  <c r="N8" i="5"/>
  <c r="I53" i="8"/>
  <c r="P13" i="5"/>
  <c r="P12" i="5"/>
  <c r="P11" i="5"/>
  <c r="P10" i="5"/>
  <c r="P9" i="5"/>
  <c r="P8" i="5"/>
  <c r="L54" i="4"/>
  <c r="G54" i="8"/>
  <c r="M56" i="5"/>
  <c r="M55" i="5"/>
  <c r="M54" i="5"/>
  <c r="M53" i="5"/>
  <c r="M51" i="5"/>
  <c r="M49" i="5"/>
  <c r="M43" i="5"/>
  <c r="K55" i="4"/>
  <c r="M55" i="4" s="1"/>
  <c r="N55" i="4" s="1"/>
  <c r="H54" i="8"/>
  <c r="N56" i="5"/>
  <c r="N55" i="5"/>
  <c r="N54" i="5"/>
  <c r="N53" i="5"/>
  <c r="N51" i="5"/>
  <c r="N49" i="5"/>
  <c r="N43" i="5"/>
  <c r="I54" i="8"/>
  <c r="P56" i="5"/>
  <c r="P55" i="5"/>
  <c r="P54" i="5"/>
  <c r="P53" i="5"/>
  <c r="P51" i="5"/>
  <c r="P49" i="5"/>
  <c r="P43" i="5"/>
  <c r="L55" i="4"/>
  <c r="G55" i="8"/>
  <c r="M52" i="5"/>
  <c r="M50" i="5"/>
  <c r="M44" i="5"/>
  <c r="K56" i="4"/>
  <c r="M56" i="4" s="1"/>
  <c r="H55" i="8"/>
  <c r="N52" i="5"/>
  <c r="N50" i="5"/>
  <c r="N44" i="5"/>
  <c r="G56" i="8"/>
  <c r="M39" i="5"/>
  <c r="M38" i="5"/>
  <c r="M37" i="5"/>
  <c r="M36" i="5"/>
  <c r="M35" i="5"/>
  <c r="M31" i="5"/>
  <c r="M30" i="5"/>
  <c r="M29" i="5"/>
  <c r="M28" i="5"/>
  <c r="M27" i="5"/>
  <c r="M26" i="5"/>
  <c r="M25" i="5"/>
  <c r="M24" i="5"/>
  <c r="M23" i="5"/>
  <c r="M22" i="5"/>
  <c r="M21" i="5"/>
  <c r="M16" i="5"/>
  <c r="M15" i="5"/>
  <c r="M14" i="5"/>
  <c r="K57" i="4"/>
  <c r="M57" i="4" s="1"/>
  <c r="N57" i="4" s="1"/>
  <c r="H56" i="8"/>
  <c r="N39" i="5"/>
  <c r="N38" i="5"/>
  <c r="N37" i="5"/>
  <c r="N36" i="5"/>
  <c r="N35" i="5"/>
  <c r="N31" i="5"/>
  <c r="N30" i="5"/>
  <c r="N29" i="5"/>
  <c r="N28" i="5"/>
  <c r="N27" i="5"/>
  <c r="N26" i="5"/>
  <c r="N25" i="5"/>
  <c r="N24" i="5"/>
  <c r="N23" i="5"/>
  <c r="N22" i="5"/>
  <c r="N21" i="5"/>
  <c r="N16" i="5"/>
  <c r="N15" i="5"/>
  <c r="N14" i="5"/>
  <c r="I56" i="8"/>
  <c r="P39" i="5"/>
  <c r="P38" i="5"/>
  <c r="P37" i="5"/>
  <c r="P36" i="5"/>
  <c r="P35" i="5"/>
  <c r="P31" i="5"/>
  <c r="P30" i="5"/>
  <c r="P29" i="5"/>
  <c r="P28" i="5"/>
  <c r="P27" i="5"/>
  <c r="P26" i="5"/>
  <c r="P25" i="5"/>
  <c r="P24" i="5"/>
  <c r="P23" i="5"/>
  <c r="P22" i="5"/>
  <c r="P21" i="5"/>
  <c r="P16" i="5"/>
  <c r="P15" i="5"/>
  <c r="P14" i="5"/>
  <c r="L57" i="4"/>
  <c r="G57" i="8"/>
  <c r="M47" i="5"/>
  <c r="M45" i="5"/>
  <c r="K58" i="4"/>
  <c r="M58" i="4" s="1"/>
  <c r="N58" i="4" s="1"/>
  <c r="H57" i="8"/>
  <c r="N47" i="5"/>
  <c r="N45" i="5"/>
  <c r="I57" i="8"/>
  <c r="P47" i="5"/>
  <c r="P45" i="5"/>
  <c r="L58" i="4"/>
  <c r="G58" i="8"/>
  <c r="M48" i="5"/>
  <c r="M46" i="5"/>
  <c r="K59" i="4"/>
  <c r="M59" i="4" s="1"/>
  <c r="H58" i="8"/>
  <c r="N48" i="5"/>
  <c r="N46" i="5"/>
  <c r="G59" i="8"/>
  <c r="M18" i="5"/>
  <c r="M17" i="5"/>
  <c r="M7" i="5"/>
  <c r="M6" i="5"/>
  <c r="M5" i="5"/>
  <c r="K60" i="4"/>
  <c r="M60" i="4" s="1"/>
  <c r="N60" i="4" s="1"/>
  <c r="H59" i="8"/>
  <c r="N18" i="5"/>
  <c r="N17" i="5"/>
  <c r="N7" i="5"/>
  <c r="N6" i="5"/>
  <c r="N5" i="5"/>
  <c r="I59" i="8"/>
  <c r="P18" i="5"/>
  <c r="P17" i="5"/>
  <c r="P7" i="5"/>
  <c r="P6" i="5"/>
  <c r="P5" i="5"/>
  <c r="L60" i="4"/>
  <c r="G60" i="8"/>
  <c r="M59" i="5"/>
  <c r="K61" i="4"/>
  <c r="M61" i="4" s="1"/>
  <c r="N61" i="4" s="1"/>
  <c r="H60" i="8"/>
  <c r="N59" i="5"/>
  <c r="I60" i="8"/>
  <c r="P59" i="5"/>
  <c r="L61" i="4"/>
  <c r="G64" i="8"/>
  <c r="M98" i="6"/>
  <c r="M95" i="6"/>
  <c r="M94" i="6"/>
  <c r="M93" i="6"/>
  <c r="M92" i="6"/>
  <c r="M91" i="6"/>
  <c r="M90" i="6"/>
  <c r="M86" i="6"/>
  <c r="M76" i="6"/>
  <c r="M70" i="6"/>
  <c r="M69" i="6"/>
  <c r="M68" i="6"/>
  <c r="M67" i="6"/>
  <c r="M66" i="6"/>
  <c r="M53" i="6"/>
  <c r="M11" i="6"/>
  <c r="K69" i="4"/>
  <c r="H64" i="8"/>
  <c r="N98" i="6"/>
  <c r="N95" i="6"/>
  <c r="N94" i="6"/>
  <c r="N93" i="6"/>
  <c r="N92" i="6"/>
  <c r="N91" i="6"/>
  <c r="N90" i="6"/>
  <c r="N86" i="6"/>
  <c r="N76" i="6"/>
  <c r="N70" i="6"/>
  <c r="N69" i="6"/>
  <c r="N68" i="6"/>
  <c r="N67" i="6"/>
  <c r="N66" i="6"/>
  <c r="N53" i="6"/>
  <c r="N11" i="6"/>
  <c r="G65" i="8"/>
  <c r="M48" i="6"/>
  <c r="M46" i="6"/>
  <c r="M44" i="6"/>
  <c r="M42" i="6"/>
  <c r="M40" i="6"/>
  <c r="M38" i="6"/>
  <c r="M36" i="6"/>
  <c r="M34" i="6"/>
  <c r="M32" i="6"/>
  <c r="M30" i="6"/>
  <c r="M28" i="6"/>
  <c r="M26" i="6"/>
  <c r="M20" i="6"/>
  <c r="M16" i="6"/>
  <c r="K70" i="4"/>
  <c r="M70" i="4" s="1"/>
  <c r="H65" i="8"/>
  <c r="N48" i="6"/>
  <c r="N46" i="6"/>
  <c r="N44" i="6"/>
  <c r="N42" i="6"/>
  <c r="N40" i="6"/>
  <c r="N38" i="6"/>
  <c r="N36" i="6"/>
  <c r="N34" i="6"/>
  <c r="N32" i="6"/>
  <c r="N30" i="6"/>
  <c r="N28" i="6"/>
  <c r="N26" i="6"/>
  <c r="N20" i="6"/>
  <c r="N16" i="6"/>
  <c r="G66" i="8"/>
  <c r="M5" i="6"/>
  <c r="K71" i="4"/>
  <c r="M71" i="4" s="1"/>
  <c r="H66" i="8"/>
  <c r="N5" i="6"/>
  <c r="G67" i="8"/>
  <c r="M78" i="6"/>
  <c r="K72" i="4"/>
  <c r="M72" i="4" s="1"/>
  <c r="H67" i="8"/>
  <c r="N78" i="6"/>
  <c r="G68" i="8"/>
  <c r="M52" i="6"/>
  <c r="M51" i="6"/>
  <c r="M50" i="6"/>
  <c r="K73" i="4"/>
  <c r="M73" i="4" s="1"/>
  <c r="H68" i="8"/>
  <c r="N52" i="6"/>
  <c r="N51" i="6"/>
  <c r="N50" i="6"/>
  <c r="G69" i="8"/>
  <c r="M47" i="6"/>
  <c r="M45" i="6"/>
  <c r="M43" i="6"/>
  <c r="M41" i="6"/>
  <c r="M39" i="6"/>
  <c r="M37" i="6"/>
  <c r="M35" i="6"/>
  <c r="M33" i="6"/>
  <c r="M31" i="6"/>
  <c r="M29" i="6"/>
  <c r="M27" i="6"/>
  <c r="M25" i="6"/>
  <c r="M19" i="6"/>
  <c r="M15" i="6"/>
  <c r="K74" i="4"/>
  <c r="M74" i="4" s="1"/>
  <c r="H69" i="8"/>
  <c r="N47" i="6"/>
  <c r="N45" i="6"/>
  <c r="N43" i="6"/>
  <c r="N41" i="6"/>
  <c r="N39" i="6"/>
  <c r="N37" i="6"/>
  <c r="N35" i="6"/>
  <c r="N33" i="6"/>
  <c r="N31" i="6"/>
  <c r="N29" i="6"/>
  <c r="N27" i="6"/>
  <c r="N25" i="6"/>
  <c r="N19" i="6"/>
  <c r="N15" i="6"/>
  <c r="G70" i="8"/>
  <c r="M85" i="6"/>
  <c r="M84" i="6"/>
  <c r="M83" i="6"/>
  <c r="M75" i="6"/>
  <c r="M74" i="6"/>
  <c r="M73" i="6"/>
  <c r="M62" i="6"/>
  <c r="M61" i="6"/>
  <c r="M22" i="6"/>
  <c r="M21" i="6"/>
  <c r="K75" i="4"/>
  <c r="M75" i="4" s="1"/>
  <c r="H70" i="8"/>
  <c r="N85" i="6"/>
  <c r="N84" i="6"/>
  <c r="N83" i="6"/>
  <c r="N75" i="6"/>
  <c r="N74" i="6"/>
  <c r="N73" i="6"/>
  <c r="N62" i="6"/>
  <c r="N61" i="6"/>
  <c r="N22" i="6"/>
  <c r="N21" i="6"/>
  <c r="G71" i="8"/>
  <c r="M12" i="6"/>
  <c r="K76" i="4"/>
  <c r="M76" i="4" s="1"/>
  <c r="H71" i="8"/>
  <c r="N12" i="6"/>
  <c r="G72" i="8"/>
  <c r="M96" i="6"/>
  <c r="M87" i="6"/>
  <c r="M77" i="6"/>
  <c r="M60" i="6"/>
  <c r="M56" i="6"/>
  <c r="M55" i="6"/>
  <c r="M18" i="6"/>
  <c r="M17" i="6"/>
  <c r="M14" i="6"/>
  <c r="M9" i="6"/>
  <c r="M8" i="6"/>
  <c r="M7" i="6"/>
  <c r="K77" i="4"/>
  <c r="M77" i="4" s="1"/>
  <c r="H72" i="8"/>
  <c r="N96" i="6"/>
  <c r="N87" i="6"/>
  <c r="N77" i="6"/>
  <c r="N60" i="6"/>
  <c r="N56" i="6"/>
  <c r="N55" i="6"/>
  <c r="N18" i="6"/>
  <c r="N17" i="6"/>
  <c r="N14" i="6"/>
  <c r="N9" i="6"/>
  <c r="N8" i="6"/>
  <c r="N7" i="6"/>
  <c r="G73" i="8"/>
  <c r="M89" i="6"/>
  <c r="M88" i="6"/>
  <c r="M81" i="6"/>
  <c r="M80" i="6"/>
  <c r="M65" i="6"/>
  <c r="M64" i="6"/>
  <c r="M24" i="6"/>
  <c r="K78" i="4"/>
  <c r="M78" i="4" s="1"/>
  <c r="H73" i="8"/>
  <c r="N89" i="6"/>
  <c r="N88" i="6"/>
  <c r="N81" i="6"/>
  <c r="N80" i="6"/>
  <c r="N65" i="6"/>
  <c r="N64" i="6"/>
  <c r="N24" i="6"/>
  <c r="G74" i="8"/>
  <c r="M99" i="6"/>
  <c r="M97" i="6"/>
  <c r="M82" i="6"/>
  <c r="M79" i="6"/>
  <c r="M72" i="6"/>
  <c r="M71" i="6"/>
  <c r="M63" i="6"/>
  <c r="M59" i="6"/>
  <c r="M58" i="6"/>
  <c r="M57" i="6"/>
  <c r="M54" i="6"/>
  <c r="M49" i="6"/>
  <c r="M23" i="6"/>
  <c r="M13" i="6"/>
  <c r="M10" i="6"/>
  <c r="M6" i="6"/>
  <c r="K79" i="4"/>
  <c r="M79" i="4" s="1"/>
  <c r="H74" i="8"/>
  <c r="N99" i="6"/>
  <c r="N97" i="6"/>
  <c r="N82" i="6"/>
  <c r="N79" i="6"/>
  <c r="N72" i="6"/>
  <c r="N71" i="6"/>
  <c r="N63" i="6"/>
  <c r="N59" i="6"/>
  <c r="N58" i="6"/>
  <c r="N57" i="6"/>
  <c r="N54" i="6"/>
  <c r="N49" i="6"/>
  <c r="N23" i="6"/>
  <c r="N13" i="6"/>
  <c r="N10" i="6"/>
  <c r="N6" i="6"/>
  <c r="G77" i="8"/>
  <c r="M110" i="7"/>
  <c r="K86" i="4"/>
  <c r="H77" i="8"/>
  <c r="N110" i="7"/>
  <c r="G78" i="8"/>
  <c r="M98" i="7"/>
  <c r="M95" i="7"/>
  <c r="M94" i="7"/>
  <c r="M93" i="7"/>
  <c r="M92" i="7"/>
  <c r="M91" i="7"/>
  <c r="M90" i="7"/>
  <c r="M86" i="7"/>
  <c r="M76" i="7"/>
  <c r="M70" i="7"/>
  <c r="M69" i="7"/>
  <c r="M68" i="7"/>
  <c r="M67" i="7"/>
  <c r="M66" i="7"/>
  <c r="M53" i="7"/>
  <c r="M11" i="7"/>
  <c r="K87" i="4"/>
  <c r="M87" i="4" s="1"/>
  <c r="H78" i="8"/>
  <c r="N98" i="7"/>
  <c r="N95" i="7"/>
  <c r="N94" i="7"/>
  <c r="N93" i="7"/>
  <c r="N92" i="7"/>
  <c r="N91" i="7"/>
  <c r="N90" i="7"/>
  <c r="N86" i="7"/>
  <c r="N76" i="7"/>
  <c r="N70" i="7"/>
  <c r="N69" i="7"/>
  <c r="N68" i="7"/>
  <c r="N67" i="7"/>
  <c r="N66" i="7"/>
  <c r="N53" i="7"/>
  <c r="N11" i="7"/>
  <c r="G79" i="8"/>
  <c r="M133" i="7"/>
  <c r="M132" i="7"/>
  <c r="M128" i="7"/>
  <c r="M125" i="7"/>
  <c r="M122" i="7"/>
  <c r="M118" i="7"/>
  <c r="M115" i="7"/>
  <c r="M113" i="7"/>
  <c r="K88" i="4"/>
  <c r="M88" i="4" s="1"/>
  <c r="H79" i="8"/>
  <c r="N133" i="7"/>
  <c r="N132" i="7"/>
  <c r="N128" i="7"/>
  <c r="N125" i="7"/>
  <c r="N122" i="7"/>
  <c r="N118" i="7"/>
  <c r="N115" i="7"/>
  <c r="N113" i="7"/>
  <c r="G80" i="8"/>
  <c r="M48" i="7"/>
  <c r="M46" i="7"/>
  <c r="M44" i="7"/>
  <c r="M42" i="7"/>
  <c r="M40" i="7"/>
  <c r="M38" i="7"/>
  <c r="M36" i="7"/>
  <c r="M34" i="7"/>
  <c r="M32" i="7"/>
  <c r="M30" i="7"/>
  <c r="M28" i="7"/>
  <c r="M26" i="7"/>
  <c r="M20" i="7"/>
  <c r="M16" i="7"/>
  <c r="K89" i="4"/>
  <c r="M89" i="4" s="1"/>
  <c r="H80" i="8"/>
  <c r="N48" i="7"/>
  <c r="N46" i="7"/>
  <c r="N44" i="7"/>
  <c r="N42" i="7"/>
  <c r="N40" i="7"/>
  <c r="N38" i="7"/>
  <c r="N36" i="7"/>
  <c r="N34" i="7"/>
  <c r="N32" i="7"/>
  <c r="N30" i="7"/>
  <c r="N28" i="7"/>
  <c r="N26" i="7"/>
  <c r="N20" i="7"/>
  <c r="N16" i="7"/>
  <c r="G81" i="8"/>
  <c r="M105" i="7"/>
  <c r="K90" i="4"/>
  <c r="M90" i="4" s="1"/>
  <c r="H81" i="8"/>
  <c r="N105" i="7"/>
  <c r="G82" i="8"/>
  <c r="M5" i="7"/>
  <c r="K91" i="4"/>
  <c r="M91" i="4" s="1"/>
  <c r="H82" i="8"/>
  <c r="N5" i="7"/>
  <c r="G83" i="8"/>
  <c r="M106" i="7"/>
  <c r="K92" i="4"/>
  <c r="M92" i="4" s="1"/>
  <c r="H83" i="8"/>
  <c r="N106" i="7"/>
  <c r="G84" i="8"/>
  <c r="M78" i="7"/>
  <c r="K93" i="4"/>
  <c r="M93" i="4" s="1"/>
  <c r="H84" i="8"/>
  <c r="N78" i="7"/>
  <c r="G85" i="8"/>
  <c r="M138" i="7"/>
  <c r="M137" i="7"/>
  <c r="K94" i="4"/>
  <c r="M94" i="4" s="1"/>
  <c r="H85" i="8"/>
  <c r="N138" i="7"/>
  <c r="N137" i="7"/>
  <c r="G86" i="8"/>
  <c r="M52" i="7"/>
  <c r="M51" i="7"/>
  <c r="M50" i="7"/>
  <c r="K95" i="4"/>
  <c r="M95" i="4" s="1"/>
  <c r="H86" i="8"/>
  <c r="N52" i="7"/>
  <c r="N51" i="7"/>
  <c r="N50" i="7"/>
  <c r="G87" i="8"/>
  <c r="M134" i="7"/>
  <c r="M131" i="7"/>
  <c r="M129" i="7"/>
  <c r="M127" i="7"/>
  <c r="M126" i="7"/>
  <c r="M124" i="7"/>
  <c r="M121" i="7"/>
  <c r="M117" i="7"/>
  <c r="M116" i="7"/>
  <c r="M114" i="7"/>
  <c r="M112" i="7"/>
  <c r="K96" i="4"/>
  <c r="M96" i="4" s="1"/>
  <c r="H87" i="8"/>
  <c r="N134" i="7"/>
  <c r="N131" i="7"/>
  <c r="N129" i="7"/>
  <c r="N127" i="7"/>
  <c r="N126" i="7"/>
  <c r="N124" i="7"/>
  <c r="N121" i="7"/>
  <c r="N117" i="7"/>
  <c r="N116" i="7"/>
  <c r="N114" i="7"/>
  <c r="N112" i="7"/>
  <c r="G88" i="8"/>
  <c r="M47" i="7"/>
  <c r="M45" i="7"/>
  <c r="M43" i="7"/>
  <c r="M41" i="7"/>
  <c r="M39" i="7"/>
  <c r="M37" i="7"/>
  <c r="M35" i="7"/>
  <c r="M33" i="7"/>
  <c r="M31" i="7"/>
  <c r="M29" i="7"/>
  <c r="M27" i="7"/>
  <c r="M25" i="7"/>
  <c r="M19" i="7"/>
  <c r="M15" i="7"/>
  <c r="K97" i="4"/>
  <c r="M97" i="4" s="1"/>
  <c r="H88" i="8"/>
  <c r="N47" i="7"/>
  <c r="N45" i="7"/>
  <c r="N43" i="7"/>
  <c r="N41" i="7"/>
  <c r="N39" i="7"/>
  <c r="N37" i="7"/>
  <c r="N35" i="7"/>
  <c r="N33" i="7"/>
  <c r="N31" i="7"/>
  <c r="N29" i="7"/>
  <c r="N27" i="7"/>
  <c r="N25" i="7"/>
  <c r="N19" i="7"/>
  <c r="N15" i="7"/>
  <c r="G89" i="8"/>
  <c r="M85" i="7"/>
  <c r="M84" i="7"/>
  <c r="M83" i="7"/>
  <c r="M75" i="7"/>
  <c r="M74" i="7"/>
  <c r="M73" i="7"/>
  <c r="M62" i="7"/>
  <c r="M61" i="7"/>
  <c r="M22" i="7"/>
  <c r="M21" i="7"/>
  <c r="K98" i="4"/>
  <c r="M98" i="4" s="1"/>
  <c r="H89" i="8"/>
  <c r="N85" i="7"/>
  <c r="N84" i="7"/>
  <c r="N83" i="7"/>
  <c r="N75" i="7"/>
  <c r="N74" i="7"/>
  <c r="N73" i="7"/>
  <c r="N62" i="7"/>
  <c r="N61" i="7"/>
  <c r="N22" i="7"/>
  <c r="N21" i="7"/>
  <c r="G90" i="8"/>
  <c r="M12" i="7"/>
  <c r="K99" i="4"/>
  <c r="M99" i="4" s="1"/>
  <c r="H90" i="8"/>
  <c r="N12" i="7"/>
  <c r="G91" i="8"/>
  <c r="M123" i="7"/>
  <c r="M120" i="7"/>
  <c r="M119" i="7"/>
  <c r="K100" i="4"/>
  <c r="M100" i="4" s="1"/>
  <c r="H91" i="8"/>
  <c r="N123" i="7"/>
  <c r="N120" i="7"/>
  <c r="N119" i="7"/>
  <c r="G92" i="8"/>
  <c r="M96" i="7"/>
  <c r="M87" i="7"/>
  <c r="M77" i="7"/>
  <c r="M60" i="7"/>
  <c r="M56" i="7"/>
  <c r="M55" i="7"/>
  <c r="M18" i="7"/>
  <c r="M17" i="7"/>
  <c r="M14" i="7"/>
  <c r="M9" i="7"/>
  <c r="M8" i="7"/>
  <c r="M7" i="7"/>
  <c r="K101" i="4"/>
  <c r="M101" i="4" s="1"/>
  <c r="H92" i="8"/>
  <c r="N96" i="7"/>
  <c r="N87" i="7"/>
  <c r="N77" i="7"/>
  <c r="N60" i="7"/>
  <c r="N56" i="7"/>
  <c r="N55" i="7"/>
  <c r="N18" i="7"/>
  <c r="N17" i="7"/>
  <c r="N14" i="7"/>
  <c r="N9" i="7"/>
  <c r="N8" i="7"/>
  <c r="N7" i="7"/>
  <c r="G93" i="8"/>
  <c r="M136" i="7"/>
  <c r="M135" i="7"/>
  <c r="M109" i="7"/>
  <c r="K102" i="4"/>
  <c r="M102" i="4" s="1"/>
  <c r="H93" i="8"/>
  <c r="N136" i="7"/>
  <c r="N135" i="7"/>
  <c r="N109" i="7"/>
  <c r="G94" i="8"/>
  <c r="M89" i="7"/>
  <c r="M88" i="7"/>
  <c r="M81" i="7"/>
  <c r="M80" i="7"/>
  <c r="M65" i="7"/>
  <c r="M64" i="7"/>
  <c r="M24" i="7"/>
  <c r="K103" i="4"/>
  <c r="M103" i="4" s="1"/>
  <c r="H94" i="8"/>
  <c r="N89" i="7"/>
  <c r="N88" i="7"/>
  <c r="N81" i="7"/>
  <c r="N80" i="7"/>
  <c r="N65" i="7"/>
  <c r="N64" i="7"/>
  <c r="N24" i="7"/>
  <c r="G95" i="8"/>
  <c r="M141" i="7"/>
  <c r="M140" i="7"/>
  <c r="M139" i="7"/>
  <c r="M130" i="7"/>
  <c r="M111" i="7"/>
  <c r="M108" i="7"/>
  <c r="M107" i="7"/>
  <c r="M104" i="7"/>
  <c r="K104" i="4"/>
  <c r="M104" i="4" s="1"/>
  <c r="H95" i="8"/>
  <c r="N141" i="7"/>
  <c r="N140" i="7"/>
  <c r="N139" i="7"/>
  <c r="N130" i="7"/>
  <c r="N111" i="7"/>
  <c r="N108" i="7"/>
  <c r="N107" i="7"/>
  <c r="N104" i="7"/>
  <c r="G96" i="8"/>
  <c r="M99" i="7"/>
  <c r="M97" i="7"/>
  <c r="M82" i="7"/>
  <c r="M79" i="7"/>
  <c r="M72" i="7"/>
  <c r="M71" i="7"/>
  <c r="M63" i="7"/>
  <c r="M59" i="7"/>
  <c r="M58" i="7"/>
  <c r="M57" i="7"/>
  <c r="M54" i="7"/>
  <c r="M49" i="7"/>
  <c r="M23" i="7"/>
  <c r="M13" i="7"/>
  <c r="M10" i="7"/>
  <c r="M6" i="7"/>
  <c r="K105" i="4"/>
  <c r="M105" i="4" s="1"/>
  <c r="H96" i="8"/>
  <c r="N99" i="7"/>
  <c r="N97" i="7"/>
  <c r="N82" i="7"/>
  <c r="N79" i="7"/>
  <c r="N72" i="7"/>
  <c r="N71" i="7"/>
  <c r="N63" i="7"/>
  <c r="N59" i="7"/>
  <c r="N58" i="7"/>
  <c r="N57" i="7"/>
  <c r="N54" i="7"/>
  <c r="N49" i="7"/>
  <c r="N23" i="7"/>
  <c r="N13" i="7"/>
  <c r="N10" i="7"/>
  <c r="N6" i="7"/>
  <c r="T397" i="5"/>
  <c r="U397" i="5" s="1"/>
  <c r="S397" i="5"/>
  <c r="T406" i="5"/>
  <c r="U406" i="5" s="1"/>
  <c r="S406" i="5"/>
  <c r="T410" i="5"/>
  <c r="U410" i="5" s="1"/>
  <c r="S410" i="5"/>
  <c r="T413" i="5"/>
  <c r="U413" i="5" s="1"/>
  <c r="S413" i="5"/>
  <c r="T471" i="5"/>
  <c r="S471" i="5"/>
  <c r="T476" i="5"/>
  <c r="U476" i="5" s="1"/>
  <c r="S476" i="5"/>
  <c r="T478" i="5"/>
  <c r="U478" i="5" s="1"/>
  <c r="S478" i="5"/>
  <c r="T481" i="5"/>
  <c r="U481" i="5" s="1"/>
  <c r="S481" i="5"/>
  <c r="K6" i="12"/>
  <c r="K7" i="12" s="1"/>
  <c r="K10" i="12"/>
  <c r="K11" i="12" s="1"/>
  <c r="K14" i="12"/>
  <c r="K15" i="12" s="1"/>
  <c r="K18" i="12"/>
  <c r="K19" i="12" s="1"/>
  <c r="K22" i="12"/>
  <c r="K23" i="12" s="1"/>
  <c r="K26" i="12"/>
  <c r="K27" i="12" s="1"/>
  <c r="K30" i="12"/>
  <c r="K31" i="12" s="1"/>
  <c r="K34" i="12"/>
  <c r="K35" i="12" s="1"/>
  <c r="U471" i="5" l="1"/>
  <c r="Q6" i="7"/>
  <c r="Q10" i="7"/>
  <c r="Q13" i="7"/>
  <c r="Q23" i="7"/>
  <c r="Q49" i="7"/>
  <c r="Q54" i="7"/>
  <c r="Q57" i="7"/>
  <c r="Q58" i="7"/>
  <c r="Q59" i="7"/>
  <c r="Q63" i="7"/>
  <c r="Q71" i="7"/>
  <c r="Q72" i="7"/>
  <c r="Q79" i="7"/>
  <c r="Q82" i="7"/>
  <c r="Q97" i="7"/>
  <c r="Q99" i="7"/>
  <c r="Q104" i="7"/>
  <c r="Q107" i="7"/>
  <c r="Q108" i="7"/>
  <c r="Q111" i="7"/>
  <c r="Q130" i="7"/>
  <c r="Q139" i="7"/>
  <c r="Q140" i="7"/>
  <c r="Q141" i="7"/>
  <c r="Q24" i="7"/>
  <c r="Q64" i="7"/>
  <c r="Q65" i="7"/>
  <c r="Q80" i="7"/>
  <c r="Q81" i="7"/>
  <c r="Q88" i="7"/>
  <c r="Q89" i="7"/>
  <c r="Q109" i="7"/>
  <c r="Q135" i="7"/>
  <c r="Q136" i="7"/>
  <c r="Q7" i="7"/>
  <c r="Q8" i="7"/>
  <c r="Q9" i="7"/>
  <c r="Q14" i="7"/>
  <c r="Q17" i="7"/>
  <c r="Q18" i="7"/>
  <c r="Q55" i="7"/>
  <c r="Q56" i="7"/>
  <c r="Q60" i="7"/>
  <c r="Q77" i="7"/>
  <c r="Q87" i="7"/>
  <c r="Q96" i="7"/>
  <c r="Q119" i="7"/>
  <c r="Q120" i="7"/>
  <c r="Q123" i="7"/>
  <c r="Q12" i="7"/>
  <c r="Q21" i="7"/>
  <c r="Q22" i="7"/>
  <c r="Q61" i="7"/>
  <c r="Q62" i="7"/>
  <c r="Q73" i="7"/>
  <c r="Q74" i="7"/>
  <c r="Q75" i="7"/>
  <c r="Q83" i="7"/>
  <c r="Q84" i="7"/>
  <c r="Q85" i="7"/>
  <c r="Q15" i="7"/>
  <c r="Q19" i="7"/>
  <c r="Q25" i="7"/>
  <c r="Q27" i="7"/>
  <c r="Q29" i="7"/>
  <c r="Q31" i="7"/>
  <c r="Q33" i="7"/>
  <c r="Q35" i="7"/>
  <c r="Q37" i="7"/>
  <c r="Q39" i="7"/>
  <c r="Q41" i="7"/>
  <c r="Q43" i="7"/>
  <c r="Q45" i="7"/>
  <c r="Q47" i="7"/>
  <c r="Q112" i="7"/>
  <c r="Q114" i="7"/>
  <c r="Q116" i="7"/>
  <c r="Q117" i="7"/>
  <c r="Q121" i="7"/>
  <c r="Q124" i="7"/>
  <c r="Q126" i="7"/>
  <c r="Q127" i="7"/>
  <c r="Q129" i="7"/>
  <c r="Q131" i="7"/>
  <c r="Q134" i="7"/>
  <c r="Q50" i="7"/>
  <c r="Q51" i="7"/>
  <c r="Q52" i="7"/>
  <c r="Q137" i="7"/>
  <c r="Q138" i="7"/>
  <c r="Q78" i="7"/>
  <c r="Q106" i="7"/>
  <c r="Q5" i="7"/>
  <c r="Q105" i="7"/>
  <c r="Q16" i="7"/>
  <c r="Q20" i="7"/>
  <c r="Q26" i="7"/>
  <c r="Q28" i="7"/>
  <c r="Q30" i="7"/>
  <c r="Q32" i="7"/>
  <c r="Q34" i="7"/>
  <c r="Q36" i="7"/>
  <c r="Q38" i="7"/>
  <c r="Q40" i="7"/>
  <c r="Q42" i="7"/>
  <c r="Q44" i="7"/>
  <c r="Q46" i="7"/>
  <c r="Q48" i="7"/>
  <c r="Q113" i="7"/>
  <c r="Q115" i="7"/>
  <c r="Q118" i="7"/>
  <c r="Q122" i="7"/>
  <c r="Q125" i="7"/>
  <c r="Q128" i="7"/>
  <c r="Q132" i="7"/>
  <c r="Q133" i="7"/>
  <c r="Q11" i="7"/>
  <c r="Q53" i="7"/>
  <c r="Q66" i="7"/>
  <c r="Q67" i="7"/>
  <c r="Q68" i="7"/>
  <c r="Q69" i="7"/>
  <c r="Q70" i="7"/>
  <c r="Q76" i="7"/>
  <c r="Q86" i="7"/>
  <c r="Q90" i="7"/>
  <c r="Q91" i="7"/>
  <c r="Q92" i="7"/>
  <c r="Q93" i="7"/>
  <c r="Q94" i="7"/>
  <c r="Q95" i="7"/>
  <c r="Q98" i="7"/>
  <c r="K107" i="4"/>
  <c r="M86" i="4"/>
  <c r="Q110" i="7"/>
  <c r="Q6" i="6"/>
  <c r="Q10" i="6"/>
  <c r="Q13" i="6"/>
  <c r="Q23" i="6"/>
  <c r="Q49" i="6"/>
  <c r="Q54" i="6"/>
  <c r="Q57" i="6"/>
  <c r="Q58" i="6"/>
  <c r="Q59" i="6"/>
  <c r="Q63" i="6"/>
  <c r="Q71" i="6"/>
  <c r="Q72" i="6"/>
  <c r="Q79" i="6"/>
  <c r="Q82" i="6"/>
  <c r="Q97" i="6"/>
  <c r="Q99" i="6"/>
  <c r="Q24" i="6"/>
  <c r="Q64" i="6"/>
  <c r="Q65" i="6"/>
  <c r="Q80" i="6"/>
  <c r="Q81" i="6"/>
  <c r="Q88" i="6"/>
  <c r="Q89" i="6"/>
  <c r="Q7" i="6"/>
  <c r="Q8" i="6"/>
  <c r="Q9" i="6"/>
  <c r="Q14" i="6"/>
  <c r="Q17" i="6"/>
  <c r="Q18" i="6"/>
  <c r="Q55" i="6"/>
  <c r="Q56" i="6"/>
  <c r="Q60" i="6"/>
  <c r="Q77" i="6"/>
  <c r="Q87" i="6"/>
  <c r="Q96" i="6"/>
  <c r="Q12" i="6"/>
  <c r="Q21" i="6"/>
  <c r="Q22" i="6"/>
  <c r="Q61" i="6"/>
  <c r="Q62" i="6"/>
  <c r="Q73" i="6"/>
  <c r="Q74" i="6"/>
  <c r="Q75" i="6"/>
  <c r="Q83" i="6"/>
  <c r="Q84" i="6"/>
  <c r="Q85" i="6"/>
  <c r="Q15" i="6"/>
  <c r="Q19" i="6"/>
  <c r="Q25" i="6"/>
  <c r="Q27" i="6"/>
  <c r="Q29" i="6"/>
  <c r="Q31" i="6"/>
  <c r="Q33" i="6"/>
  <c r="Q35" i="6"/>
  <c r="Q37" i="6"/>
  <c r="Q39" i="6"/>
  <c r="Q41" i="6"/>
  <c r="Q43" i="6"/>
  <c r="Q45" i="6"/>
  <c r="Q47" i="6"/>
  <c r="Q50" i="6"/>
  <c r="Q51" i="6"/>
  <c r="Q52" i="6"/>
  <c r="Q78" i="6"/>
  <c r="Q5" i="6"/>
  <c r="Q16" i="6"/>
  <c r="Q20" i="6"/>
  <c r="Q26" i="6"/>
  <c r="Q28" i="6"/>
  <c r="Q30" i="6"/>
  <c r="Q32" i="6"/>
  <c r="Q34" i="6"/>
  <c r="Q36" i="6"/>
  <c r="Q38" i="6"/>
  <c r="Q40" i="6"/>
  <c r="Q42" i="6"/>
  <c r="Q44" i="6"/>
  <c r="Q46" i="6"/>
  <c r="Q48" i="6"/>
  <c r="K80" i="4"/>
  <c r="M69" i="4"/>
  <c r="Q11" i="6"/>
  <c r="Q53" i="6"/>
  <c r="Q66" i="6"/>
  <c r="Q67" i="6"/>
  <c r="Q68" i="6"/>
  <c r="Q69" i="6"/>
  <c r="Q70" i="6"/>
  <c r="Q76" i="6"/>
  <c r="Q86" i="6"/>
  <c r="Q90" i="6"/>
  <c r="Q91" i="6"/>
  <c r="Q92" i="6"/>
  <c r="Q93" i="6"/>
  <c r="Q94" i="6"/>
  <c r="Q95" i="6"/>
  <c r="Q98" i="6"/>
  <c r="Q59" i="5"/>
  <c r="Q5" i="5"/>
  <c r="Q6" i="5"/>
  <c r="Q7" i="5"/>
  <c r="Q17" i="5"/>
  <c r="Q18" i="5"/>
  <c r="Q46" i="5"/>
  <c r="Q48" i="5"/>
  <c r="Q45" i="5"/>
  <c r="Q47" i="5"/>
  <c r="Q14" i="5"/>
  <c r="Q15" i="5"/>
  <c r="Q16" i="5"/>
  <c r="Q21" i="5"/>
  <c r="Q22" i="5"/>
  <c r="Q23" i="5"/>
  <c r="Q24" i="5"/>
  <c r="Q25" i="5"/>
  <c r="Q26" i="5"/>
  <c r="Q27" i="5"/>
  <c r="Q28" i="5"/>
  <c r="Q29" i="5"/>
  <c r="Q30" i="5"/>
  <c r="Q31" i="5"/>
  <c r="Q35" i="5"/>
  <c r="Q36" i="5"/>
  <c r="Q37" i="5"/>
  <c r="Q38" i="5"/>
  <c r="Q39" i="5"/>
  <c r="Q44" i="5"/>
  <c r="Q50" i="5"/>
  <c r="Q52" i="5"/>
  <c r="Q43" i="5"/>
  <c r="Q49" i="5"/>
  <c r="Q51" i="5"/>
  <c r="Q53" i="5"/>
  <c r="Q54" i="5"/>
  <c r="Q55" i="5"/>
  <c r="Q56" i="5"/>
  <c r="Q8" i="5"/>
  <c r="Q9" i="5"/>
  <c r="Q10" i="5"/>
  <c r="Q11" i="5"/>
  <c r="Q12" i="5"/>
  <c r="Q13" i="5"/>
  <c r="Q58" i="5"/>
  <c r="Q184" i="5"/>
  <c r="Q278" i="5"/>
  <c r="Q62" i="5"/>
  <c r="Q122" i="5"/>
  <c r="Q186" i="5"/>
  <c r="Q231" i="5"/>
  <c r="Q243" i="5"/>
  <c r="Q335" i="5"/>
  <c r="Q57" i="5"/>
  <c r="Q61" i="5"/>
  <c r="Q63" i="5"/>
  <c r="Q202" i="5"/>
  <c r="Q214" i="5"/>
  <c r="Q219" i="5"/>
  <c r="Q249" i="5"/>
  <c r="Q264" i="5"/>
  <c r="Q291" i="5"/>
  <c r="Q299" i="5"/>
  <c r="Q340" i="5"/>
  <c r="Q357" i="5"/>
  <c r="Q369" i="5"/>
  <c r="Q387" i="5"/>
  <c r="Q393" i="5"/>
  <c r="Q19" i="5"/>
  <c r="Q20" i="5"/>
  <c r="Q32" i="5"/>
  <c r="Q67" i="5"/>
  <c r="Q71" i="5"/>
  <c r="Q74" i="5"/>
  <c r="Q84" i="5"/>
  <c r="Q110" i="5"/>
  <c r="Q115" i="5"/>
  <c r="Q118" i="5"/>
  <c r="Q119" i="5"/>
  <c r="Q120" i="5"/>
  <c r="Q126" i="5"/>
  <c r="Q134" i="5"/>
  <c r="Q135" i="5"/>
  <c r="Q142" i="5"/>
  <c r="Q145" i="5"/>
  <c r="Q160" i="5"/>
  <c r="Q162" i="5"/>
  <c r="Q419" i="5"/>
  <c r="Q423" i="5"/>
  <c r="Q427" i="5"/>
  <c r="Q428" i="5"/>
  <c r="Q492" i="5"/>
  <c r="Q494" i="5"/>
  <c r="Q500" i="5"/>
  <c r="Q511" i="5"/>
  <c r="Q526" i="5"/>
  <c r="Q553" i="5"/>
  <c r="Q431" i="5"/>
  <c r="Q434" i="5"/>
  <c r="Q435" i="5"/>
  <c r="Q438" i="5"/>
  <c r="Q457" i="5"/>
  <c r="Q466" i="5"/>
  <c r="Q467" i="5"/>
  <c r="Q468" i="5"/>
  <c r="Q165" i="5"/>
  <c r="Q171" i="5"/>
  <c r="Q181" i="5"/>
  <c r="Q188" i="5"/>
  <c r="Q190" i="5"/>
  <c r="Q191" i="5"/>
  <c r="Q192" i="5"/>
  <c r="Q193" i="5"/>
  <c r="Q418" i="5"/>
  <c r="Q486" i="5"/>
  <c r="Q203" i="5"/>
  <c r="Q215" i="5"/>
  <c r="Q280" i="5"/>
  <c r="Q85" i="5"/>
  <c r="Q127" i="5"/>
  <c r="Q128" i="5"/>
  <c r="Q143" i="5"/>
  <c r="Q144" i="5"/>
  <c r="Q151" i="5"/>
  <c r="Q152" i="5"/>
  <c r="Q493" i="5"/>
  <c r="Q566" i="5"/>
  <c r="Q568" i="5"/>
  <c r="Q436" i="5"/>
  <c r="Q462" i="5"/>
  <c r="Q463" i="5"/>
  <c r="Q166" i="5"/>
  <c r="Q180" i="5"/>
  <c r="Q182" i="5"/>
  <c r="Q185" i="5"/>
  <c r="Q205" i="5"/>
  <c r="Q208" i="5"/>
  <c r="Q226" i="5"/>
  <c r="Q227" i="5"/>
  <c r="Q228" i="5"/>
  <c r="Q229" i="5"/>
  <c r="Q235" i="5"/>
  <c r="Q237" i="5"/>
  <c r="Q240" i="5"/>
  <c r="Q250" i="5"/>
  <c r="Q253" i="5"/>
  <c r="Q256" i="5"/>
  <c r="Q258" i="5"/>
  <c r="Q265" i="5"/>
  <c r="Q268" i="5"/>
  <c r="Q271" i="5"/>
  <c r="Q281" i="5"/>
  <c r="Q285" i="5"/>
  <c r="Q288" i="5"/>
  <c r="Q292" i="5"/>
  <c r="Q293" i="5"/>
  <c r="Q294" i="5"/>
  <c r="Q295" i="5"/>
  <c r="Q302" i="5"/>
  <c r="Q305" i="5"/>
  <c r="Q311" i="5"/>
  <c r="Q312" i="5"/>
  <c r="Q317" i="5"/>
  <c r="Q318" i="5"/>
  <c r="Q324" i="5"/>
  <c r="Q329" i="5"/>
  <c r="Q332" i="5"/>
  <c r="Q339" i="5"/>
  <c r="Q345" i="5"/>
  <c r="Q347" i="5"/>
  <c r="Q364" i="5"/>
  <c r="Q365" i="5"/>
  <c r="Q366" i="5"/>
  <c r="Q371" i="5"/>
  <c r="Q376" i="5"/>
  <c r="Q384" i="5"/>
  <c r="Q389" i="5"/>
  <c r="Q391" i="5"/>
  <c r="Q68" i="5"/>
  <c r="Q69" i="5"/>
  <c r="Q70" i="5"/>
  <c r="Q75" i="5"/>
  <c r="Q78" i="5"/>
  <c r="Q79" i="5"/>
  <c r="Q116" i="5"/>
  <c r="Q117" i="5"/>
  <c r="Q121" i="5"/>
  <c r="Q140" i="5"/>
  <c r="Q150" i="5"/>
  <c r="Q159" i="5"/>
  <c r="Q398" i="5"/>
  <c r="Q399" i="5"/>
  <c r="Q403" i="5"/>
  <c r="Q420" i="5"/>
  <c r="Q421" i="5"/>
  <c r="Q422" i="5"/>
  <c r="Q424" i="5"/>
  <c r="Q425" i="5"/>
  <c r="Q426" i="5"/>
  <c r="Q472" i="5"/>
  <c r="Q491" i="5"/>
  <c r="Q499" i="5"/>
  <c r="Q505" i="5"/>
  <c r="Q506" i="5"/>
  <c r="Q513" i="5"/>
  <c r="Q518" i="5"/>
  <c r="Q521" i="5"/>
  <c r="Q531" i="5"/>
  <c r="Q535" i="5"/>
  <c r="Q538" i="5"/>
  <c r="Q540" i="5"/>
  <c r="Q556" i="5"/>
  <c r="Q558" i="5"/>
  <c r="Q561" i="5"/>
  <c r="Q570" i="5"/>
  <c r="Q446" i="5"/>
  <c r="Q447" i="5"/>
  <c r="Q450" i="5"/>
  <c r="Q168" i="5"/>
  <c r="Q169" i="5"/>
  <c r="Q170" i="5"/>
  <c r="Q173" i="5"/>
  <c r="Q176" i="5"/>
  <c r="Q179" i="5"/>
  <c r="Q194" i="5"/>
  <c r="Q195" i="5"/>
  <c r="Q196" i="5"/>
  <c r="Q33" i="5"/>
  <c r="Q73" i="5"/>
  <c r="Q489" i="5"/>
  <c r="Q509" i="5"/>
  <c r="Q524" i="5"/>
  <c r="Q542" i="5"/>
  <c r="Q551" i="5"/>
  <c r="Q82" i="5"/>
  <c r="Q83" i="5"/>
  <c r="Q124" i="5"/>
  <c r="Q125" i="5"/>
  <c r="Q136" i="5"/>
  <c r="Q137" i="5"/>
  <c r="Q138" i="5"/>
  <c r="Q146" i="5"/>
  <c r="Q147" i="5"/>
  <c r="Q148" i="5"/>
  <c r="Q200" i="5"/>
  <c r="Q206" i="5"/>
  <c r="Q212" i="5"/>
  <c r="Q217" i="5"/>
  <c r="Q225" i="5"/>
  <c r="Q236" i="5"/>
  <c r="Q239" i="5"/>
  <c r="Q251" i="5"/>
  <c r="Q254" i="5"/>
  <c r="Q266" i="5"/>
  <c r="Q269" i="5"/>
  <c r="Q272" i="5"/>
  <c r="Q283" i="5"/>
  <c r="Q286" i="5"/>
  <c r="Q300" i="5"/>
  <c r="Q303" i="5"/>
  <c r="Q313" i="5"/>
  <c r="Q315" i="5"/>
  <c r="Q326" i="5"/>
  <c r="Q327" i="5"/>
  <c r="Q330" i="5"/>
  <c r="Q341" i="5"/>
  <c r="Q346" i="5"/>
  <c r="Q358" i="5"/>
  <c r="Q359" i="5"/>
  <c r="Q370" i="5"/>
  <c r="Q375" i="5"/>
  <c r="Q382" i="5"/>
  <c r="Q390" i="5"/>
  <c r="Q76" i="5"/>
  <c r="Q80" i="5"/>
  <c r="Q86" i="5"/>
  <c r="Q88" i="5"/>
  <c r="Q90" i="5"/>
  <c r="Q92" i="5"/>
  <c r="Q94" i="5"/>
  <c r="Q96" i="5"/>
  <c r="Q98" i="5"/>
  <c r="Q100" i="5"/>
  <c r="Q102" i="5"/>
  <c r="Q104" i="5"/>
  <c r="Q106" i="5"/>
  <c r="Q108" i="5"/>
  <c r="Q402" i="5"/>
  <c r="Q408" i="5"/>
  <c r="Q412" i="5"/>
  <c r="Q474" i="5"/>
  <c r="Q477" i="5"/>
  <c r="Q480" i="5"/>
  <c r="Q495" i="5"/>
  <c r="Q501" i="5"/>
  <c r="Q512" i="5"/>
  <c r="Q517" i="5"/>
  <c r="Q530" i="5"/>
  <c r="Q534" i="5"/>
  <c r="Q544" i="5"/>
  <c r="Q547" i="5"/>
  <c r="Q554" i="5"/>
  <c r="Q559" i="5"/>
  <c r="Q571" i="5"/>
  <c r="Q573" i="5"/>
  <c r="Q576" i="5"/>
  <c r="Q439" i="5"/>
  <c r="Q441" i="5"/>
  <c r="Q443" i="5"/>
  <c r="Q444" i="5"/>
  <c r="Q448" i="5"/>
  <c r="Q451" i="5"/>
  <c r="Q453" i="5"/>
  <c r="Q454" i="5"/>
  <c r="Q456" i="5"/>
  <c r="Q458" i="5"/>
  <c r="Q461" i="5"/>
  <c r="Q175" i="5"/>
  <c r="Q177" i="5"/>
  <c r="Q567" i="5"/>
  <c r="Q123" i="5"/>
  <c r="Q260" i="5"/>
  <c r="Q274" i="5"/>
  <c r="Q290" i="5"/>
  <c r="Q307" i="5"/>
  <c r="Q320" i="5"/>
  <c r="Q334" i="5"/>
  <c r="Q352" i="5"/>
  <c r="Q356" i="5"/>
  <c r="Q374" i="5"/>
  <c r="Q386" i="5"/>
  <c r="Q407" i="5"/>
  <c r="Q409" i="5"/>
  <c r="Q204" i="5"/>
  <c r="Q216" i="5"/>
  <c r="Q230" i="5"/>
  <c r="Q242" i="5"/>
  <c r="Q259" i="5"/>
  <c r="Q273" i="5"/>
  <c r="Q289" i="5"/>
  <c r="Q306" i="5"/>
  <c r="Q319" i="5"/>
  <c r="Q333" i="5"/>
  <c r="Q351" i="5"/>
  <c r="Q355" i="5"/>
  <c r="Q373" i="5"/>
  <c r="Q385" i="5"/>
  <c r="Q405" i="5"/>
  <c r="Q111" i="5"/>
  <c r="Q112" i="5"/>
  <c r="Q113" i="5"/>
  <c r="Q414" i="5"/>
  <c r="Q416" i="5"/>
  <c r="Q417" i="5"/>
  <c r="Q482" i="5"/>
  <c r="Q484" i="5"/>
  <c r="Q485" i="5"/>
  <c r="Q497" i="5"/>
  <c r="Q498" i="5"/>
  <c r="Q515" i="5"/>
  <c r="Q516" i="5"/>
  <c r="Q532" i="5"/>
  <c r="Q533" i="5"/>
  <c r="Q545" i="5"/>
  <c r="Q546" i="5"/>
  <c r="Q562" i="5"/>
  <c r="Q563" i="5"/>
  <c r="Q569" i="5"/>
  <c r="Q464" i="5"/>
  <c r="Q465" i="5"/>
  <c r="Q183" i="5"/>
  <c r="Q187" i="5"/>
  <c r="Q189" i="5"/>
  <c r="Q141" i="5"/>
  <c r="Q433" i="5"/>
  <c r="Q167" i="5"/>
  <c r="Q510" i="5"/>
  <c r="Q60" i="5"/>
  <c r="Q199" i="5"/>
  <c r="Q211" i="5"/>
  <c r="Q222" i="5"/>
  <c r="Q234" i="5"/>
  <c r="Q248" i="5"/>
  <c r="Q263" i="5"/>
  <c r="Q277" i="5"/>
  <c r="Q279" i="5"/>
  <c r="Q298" i="5"/>
  <c r="Q310" i="5"/>
  <c r="Q323" i="5"/>
  <c r="Q338" i="5"/>
  <c r="Q66" i="5"/>
  <c r="Q396" i="5"/>
  <c r="Q490" i="5"/>
  <c r="Q525" i="5"/>
  <c r="Q543" i="5"/>
  <c r="Q552" i="5"/>
  <c r="Q432" i="5"/>
  <c r="Q201" i="5"/>
  <c r="Q207" i="5"/>
  <c r="Q213" i="5"/>
  <c r="Q218" i="5"/>
  <c r="Q224" i="5"/>
  <c r="Q238" i="5"/>
  <c r="Q241" i="5"/>
  <c r="Q245" i="5"/>
  <c r="Q252" i="5"/>
  <c r="Q255" i="5"/>
  <c r="Q267" i="5"/>
  <c r="Q270" i="5"/>
  <c r="Q282" i="5"/>
  <c r="Q284" i="5"/>
  <c r="Q287" i="5"/>
  <c r="Q301" i="5"/>
  <c r="Q304" i="5"/>
  <c r="Q314" i="5"/>
  <c r="Q316" i="5"/>
  <c r="Q325" i="5"/>
  <c r="Q328" i="5"/>
  <c r="Q331" i="5"/>
  <c r="Q342" i="5"/>
  <c r="Q343" i="5"/>
  <c r="Q344" i="5"/>
  <c r="Q348" i="5"/>
  <c r="Q349" i="5"/>
  <c r="Q350" i="5"/>
  <c r="Q360" i="5"/>
  <c r="Q361" i="5"/>
  <c r="Q362" i="5"/>
  <c r="Q363" i="5"/>
  <c r="Q372" i="5"/>
  <c r="Q377" i="5"/>
  <c r="Q383" i="5"/>
  <c r="Q388" i="5"/>
  <c r="Q392" i="5"/>
  <c r="Q77" i="5"/>
  <c r="Q81" i="5"/>
  <c r="Q87" i="5"/>
  <c r="Q89" i="5"/>
  <c r="Q91" i="5"/>
  <c r="Q93" i="5"/>
  <c r="Q95" i="5"/>
  <c r="Q97" i="5"/>
  <c r="Q99" i="5"/>
  <c r="Q101" i="5"/>
  <c r="Q103" i="5"/>
  <c r="Q105" i="5"/>
  <c r="Q107" i="5"/>
  <c r="Q109" i="5"/>
  <c r="Q404" i="5"/>
  <c r="Q411" i="5"/>
  <c r="Q475" i="5"/>
  <c r="Q479" i="5"/>
  <c r="Q496" i="5"/>
  <c r="Q502" i="5"/>
  <c r="Q504" i="5"/>
  <c r="Q514" i="5"/>
  <c r="Q519" i="5"/>
  <c r="Q528" i="5"/>
  <c r="Q529" i="5"/>
  <c r="Q539" i="5"/>
  <c r="Q541" i="5"/>
  <c r="Q555" i="5"/>
  <c r="Q560" i="5"/>
  <c r="Q572" i="5"/>
  <c r="Q574" i="5"/>
  <c r="Q575" i="5"/>
  <c r="Q440" i="5"/>
  <c r="Q442" i="5"/>
  <c r="Q445" i="5"/>
  <c r="Q449" i="5"/>
  <c r="Q452" i="5"/>
  <c r="Q455" i="5"/>
  <c r="Q459" i="5"/>
  <c r="Q460" i="5"/>
  <c r="Q174" i="5"/>
  <c r="Q178" i="5"/>
  <c r="Q223" i="5"/>
  <c r="Q244" i="5"/>
  <c r="Q257" i="5"/>
  <c r="Q34" i="5"/>
  <c r="Q72" i="5"/>
  <c r="Q114" i="5"/>
  <c r="Q129" i="5"/>
  <c r="Q130" i="5"/>
  <c r="Q131" i="5"/>
  <c r="Q132" i="5"/>
  <c r="Q133" i="5"/>
  <c r="Q139" i="5"/>
  <c r="Q149" i="5"/>
  <c r="Q153" i="5"/>
  <c r="Q154" i="5"/>
  <c r="Q155" i="5"/>
  <c r="Q156" i="5"/>
  <c r="Q157" i="5"/>
  <c r="Q158" i="5"/>
  <c r="Q161" i="5"/>
  <c r="Q401" i="5"/>
  <c r="Q503" i="5"/>
  <c r="Q520" i="5"/>
  <c r="Q527" i="5"/>
  <c r="Q548" i="5"/>
  <c r="Q557" i="5"/>
  <c r="Q437" i="5"/>
  <c r="Q172" i="5"/>
  <c r="K63" i="4"/>
  <c r="M6" i="4"/>
  <c r="Q400" i="5"/>
  <c r="Q415" i="5"/>
  <c r="Q473" i="5"/>
  <c r="Q483" i="5"/>
  <c r="Q577" i="5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K16" i="13"/>
  <c r="L16" i="13" s="1"/>
  <c r="L13" i="13"/>
  <c r="T102" i="7"/>
  <c r="R102" i="7"/>
  <c r="K7" i="11"/>
  <c r="L6" i="11"/>
  <c r="L6" i="12"/>
  <c r="L10" i="12"/>
  <c r="L14" i="12"/>
  <c r="L18" i="12"/>
  <c r="L22" i="12"/>
  <c r="L26" i="12"/>
  <c r="L30" i="12"/>
  <c r="L34" i="12"/>
  <c r="K31" i="15"/>
  <c r="L6" i="15"/>
  <c r="L10" i="16"/>
  <c r="M10" i="16" s="1"/>
  <c r="M6" i="16"/>
  <c r="L17" i="16"/>
  <c r="M17" i="16" s="1"/>
  <c r="M13" i="16"/>
  <c r="L24" i="16"/>
  <c r="M24" i="16" s="1"/>
  <c r="M20" i="16"/>
  <c r="L31" i="16"/>
  <c r="M31" i="16" s="1"/>
  <c r="M27" i="16"/>
  <c r="L37" i="16"/>
  <c r="M37" i="16" s="1"/>
  <c r="M34" i="16"/>
  <c r="L43" i="16"/>
  <c r="M43" i="16" s="1"/>
  <c r="M40" i="16"/>
  <c r="L49" i="16"/>
  <c r="M49" i="16" s="1"/>
  <c r="M46" i="16"/>
  <c r="L55" i="16"/>
  <c r="M55" i="16" s="1"/>
  <c r="M52" i="16"/>
  <c r="L61" i="16"/>
  <c r="M61" i="16" s="1"/>
  <c r="M58" i="16"/>
  <c r="L67" i="16"/>
  <c r="M67" i="16" s="1"/>
  <c r="M64" i="16"/>
  <c r="L73" i="16"/>
  <c r="M73" i="16" s="1"/>
  <c r="M70" i="16"/>
  <c r="L79" i="16"/>
  <c r="M79" i="16" s="1"/>
  <c r="M76" i="16"/>
  <c r="L85" i="16"/>
  <c r="M85" i="16" s="1"/>
  <c r="M82" i="16"/>
  <c r="L91" i="16"/>
  <c r="M91" i="16" s="1"/>
  <c r="M88" i="16"/>
  <c r="L97" i="16"/>
  <c r="M97" i="16" s="1"/>
  <c r="M94" i="16"/>
  <c r="L103" i="16"/>
  <c r="M103" i="16" s="1"/>
  <c r="M100" i="16"/>
  <c r="L109" i="16"/>
  <c r="M109" i="16" s="1"/>
  <c r="M106" i="16"/>
  <c r="L116" i="16"/>
  <c r="M116" i="16" s="1"/>
  <c r="M112" i="16"/>
  <c r="L122" i="16"/>
  <c r="M122" i="16" s="1"/>
  <c r="M119" i="16"/>
  <c r="L128" i="16"/>
  <c r="M128" i="16" s="1"/>
  <c r="M125" i="16"/>
  <c r="L134" i="16"/>
  <c r="M134" i="16" s="1"/>
  <c r="M131" i="16"/>
  <c r="L140" i="16"/>
  <c r="M140" i="16" s="1"/>
  <c r="M137" i="16"/>
  <c r="L146" i="16"/>
  <c r="M146" i="16" s="1"/>
  <c r="M143" i="16"/>
  <c r="L151" i="16"/>
  <c r="M151" i="16" s="1"/>
  <c r="M149" i="16"/>
  <c r="L157" i="16"/>
  <c r="M157" i="16" s="1"/>
  <c r="M154" i="16"/>
  <c r="L163" i="16"/>
  <c r="M163" i="16" s="1"/>
  <c r="M160" i="16"/>
  <c r="K10" i="13"/>
  <c r="L6" i="13"/>
  <c r="T380" i="5"/>
  <c r="R380" i="5"/>
  <c r="Q64" i="5"/>
  <c r="T42" i="5"/>
  <c r="S42" i="5"/>
  <c r="U42" i="5" l="1"/>
  <c r="K18" i="13"/>
  <c r="L10" i="13"/>
  <c r="K33" i="15"/>
  <c r="L31" i="15"/>
  <c r="L35" i="12"/>
  <c r="M35" i="12" s="1"/>
  <c r="M34" i="12"/>
  <c r="L31" i="12"/>
  <c r="M31" i="12" s="1"/>
  <c r="M30" i="12"/>
  <c r="L27" i="12"/>
  <c r="M27" i="12" s="1"/>
  <c r="M26" i="12"/>
  <c r="L23" i="12"/>
  <c r="M23" i="12" s="1"/>
  <c r="M22" i="12"/>
  <c r="L19" i="12"/>
  <c r="M19" i="12" s="1"/>
  <c r="M18" i="12"/>
  <c r="L15" i="12"/>
  <c r="M15" i="12" s="1"/>
  <c r="M14" i="12"/>
  <c r="L11" i="12"/>
  <c r="M11" i="12" s="1"/>
  <c r="M10" i="12"/>
  <c r="L7" i="12"/>
  <c r="M7" i="12" s="1"/>
  <c r="M6" i="12"/>
  <c r="K9" i="11"/>
  <c r="L7" i="11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T577" i="5"/>
  <c r="U577" i="5" s="1"/>
  <c r="S577" i="5"/>
  <c r="R577" i="5"/>
  <c r="T483" i="5"/>
  <c r="U483" i="5" s="1"/>
  <c r="S483" i="5"/>
  <c r="R483" i="5"/>
  <c r="T473" i="5"/>
  <c r="U473" i="5" s="1"/>
  <c r="S473" i="5"/>
  <c r="R473" i="5"/>
  <c r="T415" i="5"/>
  <c r="U415" i="5" s="1"/>
  <c r="S415" i="5"/>
  <c r="R415" i="5"/>
  <c r="T400" i="5"/>
  <c r="U400" i="5" s="1"/>
  <c r="S400" i="5"/>
  <c r="R400" i="5"/>
  <c r="M63" i="4"/>
  <c r="N6" i="4"/>
  <c r="T172" i="5"/>
  <c r="U172" i="5" s="1"/>
  <c r="S172" i="5"/>
  <c r="R172" i="5"/>
  <c r="T437" i="5"/>
  <c r="U437" i="5" s="1"/>
  <c r="S437" i="5"/>
  <c r="R437" i="5"/>
  <c r="T557" i="5"/>
  <c r="U557" i="5" s="1"/>
  <c r="S557" i="5"/>
  <c r="R557" i="5"/>
  <c r="T548" i="5"/>
  <c r="U548" i="5" s="1"/>
  <c r="S548" i="5"/>
  <c r="R548" i="5"/>
  <c r="T527" i="5"/>
  <c r="U527" i="5" s="1"/>
  <c r="S527" i="5"/>
  <c r="R527" i="5"/>
  <c r="T520" i="5"/>
  <c r="U520" i="5" s="1"/>
  <c r="S520" i="5"/>
  <c r="R520" i="5"/>
  <c r="T503" i="5"/>
  <c r="U503" i="5" s="1"/>
  <c r="S503" i="5"/>
  <c r="R503" i="5"/>
  <c r="T401" i="5"/>
  <c r="U401" i="5" s="1"/>
  <c r="S401" i="5"/>
  <c r="R401" i="5"/>
  <c r="T161" i="5"/>
  <c r="U161" i="5" s="1"/>
  <c r="S161" i="5"/>
  <c r="R161" i="5"/>
  <c r="T158" i="5"/>
  <c r="U158" i="5" s="1"/>
  <c r="S158" i="5"/>
  <c r="R158" i="5"/>
  <c r="T157" i="5"/>
  <c r="U157" i="5" s="1"/>
  <c r="S157" i="5"/>
  <c r="R157" i="5"/>
  <c r="T156" i="5"/>
  <c r="U156" i="5" s="1"/>
  <c r="S156" i="5"/>
  <c r="R156" i="5"/>
  <c r="T155" i="5"/>
  <c r="U155" i="5" s="1"/>
  <c r="S155" i="5"/>
  <c r="R155" i="5"/>
  <c r="T154" i="5"/>
  <c r="U154" i="5" s="1"/>
  <c r="S154" i="5"/>
  <c r="R154" i="5"/>
  <c r="T153" i="5"/>
  <c r="U153" i="5" s="1"/>
  <c r="S153" i="5"/>
  <c r="R153" i="5"/>
  <c r="T149" i="5"/>
  <c r="U149" i="5" s="1"/>
  <c r="S149" i="5"/>
  <c r="R149" i="5"/>
  <c r="T139" i="5"/>
  <c r="U139" i="5" s="1"/>
  <c r="S139" i="5"/>
  <c r="R139" i="5"/>
  <c r="T133" i="5"/>
  <c r="U133" i="5" s="1"/>
  <c r="S133" i="5"/>
  <c r="R133" i="5"/>
  <c r="T132" i="5"/>
  <c r="U132" i="5" s="1"/>
  <c r="S132" i="5"/>
  <c r="R132" i="5"/>
  <c r="T131" i="5"/>
  <c r="U131" i="5" s="1"/>
  <c r="S131" i="5"/>
  <c r="R131" i="5"/>
  <c r="T130" i="5"/>
  <c r="U130" i="5" s="1"/>
  <c r="S130" i="5"/>
  <c r="R130" i="5"/>
  <c r="T129" i="5"/>
  <c r="U129" i="5" s="1"/>
  <c r="S129" i="5"/>
  <c r="R129" i="5"/>
  <c r="T114" i="5"/>
  <c r="U114" i="5" s="1"/>
  <c r="S114" i="5"/>
  <c r="R114" i="5"/>
  <c r="T72" i="5"/>
  <c r="U72" i="5" s="1"/>
  <c r="S72" i="5"/>
  <c r="R72" i="5"/>
  <c r="T34" i="5"/>
  <c r="U34" i="5" s="1"/>
  <c r="S34" i="5"/>
  <c r="R34" i="5"/>
  <c r="T257" i="5"/>
  <c r="U257" i="5" s="1"/>
  <c r="S257" i="5"/>
  <c r="R257" i="5"/>
  <c r="T244" i="5"/>
  <c r="U244" i="5" s="1"/>
  <c r="S244" i="5"/>
  <c r="R244" i="5"/>
  <c r="T223" i="5"/>
  <c r="U223" i="5" s="1"/>
  <c r="S223" i="5"/>
  <c r="R223" i="5"/>
  <c r="T178" i="5"/>
  <c r="U178" i="5" s="1"/>
  <c r="S178" i="5"/>
  <c r="R178" i="5"/>
  <c r="T174" i="5"/>
  <c r="U174" i="5" s="1"/>
  <c r="S174" i="5"/>
  <c r="R174" i="5"/>
  <c r="T460" i="5"/>
  <c r="U460" i="5" s="1"/>
  <c r="S460" i="5"/>
  <c r="R460" i="5"/>
  <c r="T459" i="5"/>
  <c r="U459" i="5" s="1"/>
  <c r="S459" i="5"/>
  <c r="R459" i="5"/>
  <c r="T455" i="5"/>
  <c r="U455" i="5" s="1"/>
  <c r="S455" i="5"/>
  <c r="R455" i="5"/>
  <c r="T452" i="5"/>
  <c r="U452" i="5" s="1"/>
  <c r="S452" i="5"/>
  <c r="R452" i="5"/>
  <c r="T449" i="5"/>
  <c r="U449" i="5" s="1"/>
  <c r="S449" i="5"/>
  <c r="R449" i="5"/>
  <c r="T445" i="5"/>
  <c r="U445" i="5" s="1"/>
  <c r="S445" i="5"/>
  <c r="R445" i="5"/>
  <c r="T442" i="5"/>
  <c r="U442" i="5" s="1"/>
  <c r="S442" i="5"/>
  <c r="R442" i="5"/>
  <c r="T440" i="5"/>
  <c r="U440" i="5" s="1"/>
  <c r="S440" i="5"/>
  <c r="R440" i="5"/>
  <c r="T575" i="5"/>
  <c r="U575" i="5" s="1"/>
  <c r="S575" i="5"/>
  <c r="R575" i="5"/>
  <c r="T574" i="5"/>
  <c r="U574" i="5" s="1"/>
  <c r="S574" i="5"/>
  <c r="R574" i="5"/>
  <c r="T572" i="5"/>
  <c r="U572" i="5" s="1"/>
  <c r="S572" i="5"/>
  <c r="R572" i="5"/>
  <c r="T560" i="5"/>
  <c r="U560" i="5" s="1"/>
  <c r="S560" i="5"/>
  <c r="R560" i="5"/>
  <c r="T555" i="5"/>
  <c r="U555" i="5" s="1"/>
  <c r="S555" i="5"/>
  <c r="R555" i="5"/>
  <c r="T541" i="5"/>
  <c r="U541" i="5" s="1"/>
  <c r="S541" i="5"/>
  <c r="R541" i="5"/>
  <c r="T539" i="5"/>
  <c r="U539" i="5" s="1"/>
  <c r="S539" i="5"/>
  <c r="R539" i="5"/>
  <c r="T529" i="5"/>
  <c r="U529" i="5" s="1"/>
  <c r="S529" i="5"/>
  <c r="R529" i="5"/>
  <c r="T528" i="5"/>
  <c r="U528" i="5" s="1"/>
  <c r="S528" i="5"/>
  <c r="R528" i="5"/>
  <c r="T519" i="5"/>
  <c r="U519" i="5" s="1"/>
  <c r="S519" i="5"/>
  <c r="R519" i="5"/>
  <c r="T514" i="5"/>
  <c r="U514" i="5" s="1"/>
  <c r="S514" i="5"/>
  <c r="R514" i="5"/>
  <c r="T504" i="5"/>
  <c r="U504" i="5" s="1"/>
  <c r="S504" i="5"/>
  <c r="R504" i="5"/>
  <c r="T502" i="5"/>
  <c r="U502" i="5" s="1"/>
  <c r="S502" i="5"/>
  <c r="R502" i="5"/>
  <c r="T496" i="5"/>
  <c r="U496" i="5" s="1"/>
  <c r="S496" i="5"/>
  <c r="R496" i="5"/>
  <c r="T479" i="5"/>
  <c r="U479" i="5" s="1"/>
  <c r="S479" i="5"/>
  <c r="R479" i="5"/>
  <c r="T475" i="5"/>
  <c r="U475" i="5" s="1"/>
  <c r="S475" i="5"/>
  <c r="R475" i="5"/>
  <c r="T411" i="5"/>
  <c r="U411" i="5" s="1"/>
  <c r="S411" i="5"/>
  <c r="R411" i="5"/>
  <c r="T404" i="5"/>
  <c r="U404" i="5" s="1"/>
  <c r="S404" i="5"/>
  <c r="R404" i="5"/>
  <c r="T109" i="5"/>
  <c r="U109" i="5" s="1"/>
  <c r="S109" i="5"/>
  <c r="R109" i="5"/>
  <c r="T107" i="5"/>
  <c r="U107" i="5" s="1"/>
  <c r="S107" i="5"/>
  <c r="R107" i="5"/>
  <c r="T105" i="5"/>
  <c r="U105" i="5" s="1"/>
  <c r="S105" i="5"/>
  <c r="R105" i="5"/>
  <c r="T103" i="5"/>
  <c r="U103" i="5" s="1"/>
  <c r="S103" i="5"/>
  <c r="R103" i="5"/>
  <c r="T101" i="5"/>
  <c r="U101" i="5" s="1"/>
  <c r="S101" i="5"/>
  <c r="R101" i="5"/>
  <c r="T99" i="5"/>
  <c r="U99" i="5" s="1"/>
  <c r="S99" i="5"/>
  <c r="R99" i="5"/>
  <c r="T97" i="5"/>
  <c r="U97" i="5" s="1"/>
  <c r="S97" i="5"/>
  <c r="R97" i="5"/>
  <c r="T95" i="5"/>
  <c r="U95" i="5" s="1"/>
  <c r="S95" i="5"/>
  <c r="R95" i="5"/>
  <c r="T93" i="5"/>
  <c r="U93" i="5" s="1"/>
  <c r="S93" i="5"/>
  <c r="R93" i="5"/>
  <c r="T91" i="5"/>
  <c r="U91" i="5" s="1"/>
  <c r="S91" i="5"/>
  <c r="R91" i="5"/>
  <c r="T89" i="5"/>
  <c r="U89" i="5" s="1"/>
  <c r="S89" i="5"/>
  <c r="R89" i="5"/>
  <c r="T87" i="5"/>
  <c r="U87" i="5" s="1"/>
  <c r="S87" i="5"/>
  <c r="R87" i="5"/>
  <c r="T81" i="5"/>
  <c r="U81" i="5" s="1"/>
  <c r="S81" i="5"/>
  <c r="R81" i="5"/>
  <c r="T77" i="5"/>
  <c r="U77" i="5" s="1"/>
  <c r="S77" i="5"/>
  <c r="R77" i="5"/>
  <c r="T392" i="5"/>
  <c r="U392" i="5" s="1"/>
  <c r="S392" i="5"/>
  <c r="R392" i="5"/>
  <c r="T388" i="5"/>
  <c r="U388" i="5" s="1"/>
  <c r="S388" i="5"/>
  <c r="R388" i="5"/>
  <c r="T383" i="5"/>
  <c r="U383" i="5" s="1"/>
  <c r="S383" i="5"/>
  <c r="R383" i="5"/>
  <c r="T377" i="5"/>
  <c r="U377" i="5" s="1"/>
  <c r="S377" i="5"/>
  <c r="R377" i="5"/>
  <c r="T372" i="5"/>
  <c r="U372" i="5" s="1"/>
  <c r="S372" i="5"/>
  <c r="R372" i="5"/>
  <c r="T363" i="5"/>
  <c r="U363" i="5" s="1"/>
  <c r="S363" i="5"/>
  <c r="R363" i="5"/>
  <c r="T362" i="5"/>
  <c r="U362" i="5" s="1"/>
  <c r="S362" i="5"/>
  <c r="R362" i="5"/>
  <c r="T361" i="5"/>
  <c r="U361" i="5" s="1"/>
  <c r="S361" i="5"/>
  <c r="R361" i="5"/>
  <c r="T360" i="5"/>
  <c r="U360" i="5" s="1"/>
  <c r="S360" i="5"/>
  <c r="R360" i="5"/>
  <c r="T350" i="5"/>
  <c r="U350" i="5" s="1"/>
  <c r="S350" i="5"/>
  <c r="R350" i="5"/>
  <c r="T349" i="5"/>
  <c r="U349" i="5" s="1"/>
  <c r="S349" i="5"/>
  <c r="R349" i="5"/>
  <c r="T348" i="5"/>
  <c r="U348" i="5" s="1"/>
  <c r="S348" i="5"/>
  <c r="R348" i="5"/>
  <c r="T344" i="5"/>
  <c r="U344" i="5" s="1"/>
  <c r="S344" i="5"/>
  <c r="R344" i="5"/>
  <c r="T343" i="5"/>
  <c r="U343" i="5" s="1"/>
  <c r="S343" i="5"/>
  <c r="R343" i="5"/>
  <c r="T342" i="5"/>
  <c r="U342" i="5" s="1"/>
  <c r="S342" i="5"/>
  <c r="R342" i="5"/>
  <c r="T331" i="5"/>
  <c r="U331" i="5" s="1"/>
  <c r="S331" i="5"/>
  <c r="R331" i="5"/>
  <c r="T328" i="5"/>
  <c r="U328" i="5" s="1"/>
  <c r="S328" i="5"/>
  <c r="R328" i="5"/>
  <c r="T325" i="5"/>
  <c r="U325" i="5" s="1"/>
  <c r="S325" i="5"/>
  <c r="R325" i="5"/>
  <c r="T316" i="5"/>
  <c r="U316" i="5" s="1"/>
  <c r="S316" i="5"/>
  <c r="R316" i="5"/>
  <c r="T314" i="5"/>
  <c r="U314" i="5" s="1"/>
  <c r="S314" i="5"/>
  <c r="R314" i="5"/>
  <c r="T304" i="5"/>
  <c r="U304" i="5" s="1"/>
  <c r="S304" i="5"/>
  <c r="R304" i="5"/>
  <c r="T301" i="5"/>
  <c r="U301" i="5" s="1"/>
  <c r="S301" i="5"/>
  <c r="R301" i="5"/>
  <c r="T287" i="5"/>
  <c r="U287" i="5" s="1"/>
  <c r="S287" i="5"/>
  <c r="R287" i="5"/>
  <c r="T284" i="5"/>
  <c r="U284" i="5" s="1"/>
  <c r="S284" i="5"/>
  <c r="R284" i="5"/>
  <c r="T282" i="5"/>
  <c r="U282" i="5" s="1"/>
  <c r="S282" i="5"/>
  <c r="R282" i="5"/>
  <c r="T270" i="5"/>
  <c r="U270" i="5" s="1"/>
  <c r="S270" i="5"/>
  <c r="R270" i="5"/>
  <c r="T267" i="5"/>
  <c r="U267" i="5" s="1"/>
  <c r="S267" i="5"/>
  <c r="R267" i="5"/>
  <c r="T255" i="5"/>
  <c r="U255" i="5" s="1"/>
  <c r="S255" i="5"/>
  <c r="R255" i="5"/>
  <c r="T252" i="5"/>
  <c r="U252" i="5" s="1"/>
  <c r="S252" i="5"/>
  <c r="R252" i="5"/>
  <c r="T245" i="5"/>
  <c r="U245" i="5" s="1"/>
  <c r="S245" i="5"/>
  <c r="R245" i="5"/>
  <c r="T241" i="5"/>
  <c r="U241" i="5" s="1"/>
  <c r="S241" i="5"/>
  <c r="R241" i="5"/>
  <c r="T238" i="5"/>
  <c r="U238" i="5" s="1"/>
  <c r="S238" i="5"/>
  <c r="R238" i="5"/>
  <c r="T224" i="5"/>
  <c r="U224" i="5" s="1"/>
  <c r="S224" i="5"/>
  <c r="R224" i="5"/>
  <c r="T218" i="5"/>
  <c r="U218" i="5" s="1"/>
  <c r="S218" i="5"/>
  <c r="R218" i="5"/>
  <c r="T213" i="5"/>
  <c r="U213" i="5" s="1"/>
  <c r="S213" i="5"/>
  <c r="R213" i="5"/>
  <c r="T207" i="5"/>
  <c r="U207" i="5" s="1"/>
  <c r="S207" i="5"/>
  <c r="R207" i="5"/>
  <c r="T201" i="5"/>
  <c r="U201" i="5" s="1"/>
  <c r="S201" i="5"/>
  <c r="R201" i="5"/>
  <c r="T432" i="5"/>
  <c r="U432" i="5" s="1"/>
  <c r="S432" i="5"/>
  <c r="R432" i="5"/>
  <c r="T552" i="5"/>
  <c r="U552" i="5" s="1"/>
  <c r="S552" i="5"/>
  <c r="R552" i="5"/>
  <c r="T543" i="5"/>
  <c r="U543" i="5" s="1"/>
  <c r="S543" i="5"/>
  <c r="R543" i="5"/>
  <c r="T525" i="5"/>
  <c r="U525" i="5" s="1"/>
  <c r="S525" i="5"/>
  <c r="R525" i="5"/>
  <c r="T490" i="5"/>
  <c r="U490" i="5" s="1"/>
  <c r="S490" i="5"/>
  <c r="R490" i="5"/>
  <c r="Q429" i="5"/>
  <c r="T396" i="5"/>
  <c r="S396" i="5"/>
  <c r="S429" i="5" s="1"/>
  <c r="R396" i="5"/>
  <c r="R429" i="5" s="1"/>
  <c r="Q163" i="5"/>
  <c r="T66" i="5"/>
  <c r="S66" i="5"/>
  <c r="S163" i="5" s="1"/>
  <c r="R66" i="5"/>
  <c r="R163" i="5" s="1"/>
  <c r="Q353" i="5"/>
  <c r="T338" i="5"/>
  <c r="S338" i="5"/>
  <c r="S353" i="5" s="1"/>
  <c r="R338" i="5"/>
  <c r="R353" i="5" s="1"/>
  <c r="Q336" i="5"/>
  <c r="T323" i="5"/>
  <c r="S323" i="5"/>
  <c r="S336" i="5" s="1"/>
  <c r="R323" i="5"/>
  <c r="R336" i="5" s="1"/>
  <c r="Q321" i="5"/>
  <c r="T310" i="5"/>
  <c r="S310" i="5"/>
  <c r="S321" i="5" s="1"/>
  <c r="R310" i="5"/>
  <c r="R321" i="5" s="1"/>
  <c r="Q308" i="5"/>
  <c r="T298" i="5"/>
  <c r="S298" i="5"/>
  <c r="S308" i="5" s="1"/>
  <c r="R298" i="5"/>
  <c r="R308" i="5" s="1"/>
  <c r="T279" i="5"/>
  <c r="U279" i="5" s="1"/>
  <c r="S279" i="5"/>
  <c r="R279" i="5"/>
  <c r="Q296" i="5"/>
  <c r="T277" i="5"/>
  <c r="S277" i="5"/>
  <c r="S296" i="5" s="1"/>
  <c r="R277" i="5"/>
  <c r="R296" i="5" s="1"/>
  <c r="Q275" i="5"/>
  <c r="T263" i="5"/>
  <c r="S263" i="5"/>
  <c r="S275" i="5" s="1"/>
  <c r="R263" i="5"/>
  <c r="R275" i="5" s="1"/>
  <c r="Q261" i="5"/>
  <c r="T248" i="5"/>
  <c r="S248" i="5"/>
  <c r="S261" i="5" s="1"/>
  <c r="R248" i="5"/>
  <c r="R261" i="5" s="1"/>
  <c r="Q246" i="5"/>
  <c r="T234" i="5"/>
  <c r="S234" i="5"/>
  <c r="S246" i="5" s="1"/>
  <c r="R234" i="5"/>
  <c r="R246" i="5" s="1"/>
  <c r="Q232" i="5"/>
  <c r="T222" i="5"/>
  <c r="S222" i="5"/>
  <c r="S232" i="5" s="1"/>
  <c r="R222" i="5"/>
  <c r="R232" i="5" s="1"/>
  <c r="Q220" i="5"/>
  <c r="T211" i="5"/>
  <c r="S211" i="5"/>
  <c r="S220" i="5" s="1"/>
  <c r="R211" i="5"/>
  <c r="R220" i="5" s="1"/>
  <c r="Q209" i="5"/>
  <c r="T199" i="5"/>
  <c r="S199" i="5"/>
  <c r="S209" i="5" s="1"/>
  <c r="R199" i="5"/>
  <c r="R209" i="5" s="1"/>
  <c r="T60" i="5"/>
  <c r="U60" i="5" s="1"/>
  <c r="S60" i="5"/>
  <c r="R60" i="5"/>
  <c r="T510" i="5"/>
  <c r="U510" i="5" s="1"/>
  <c r="S510" i="5"/>
  <c r="R510" i="5"/>
  <c r="T167" i="5"/>
  <c r="U167" i="5" s="1"/>
  <c r="S167" i="5"/>
  <c r="R167" i="5"/>
  <c r="T433" i="5"/>
  <c r="U433" i="5" s="1"/>
  <c r="S433" i="5"/>
  <c r="R433" i="5"/>
  <c r="T141" i="5"/>
  <c r="U141" i="5" s="1"/>
  <c r="S141" i="5"/>
  <c r="R141" i="5"/>
  <c r="T189" i="5"/>
  <c r="U189" i="5" s="1"/>
  <c r="S189" i="5"/>
  <c r="R189" i="5"/>
  <c r="T187" i="5"/>
  <c r="U187" i="5" s="1"/>
  <c r="S187" i="5"/>
  <c r="R187" i="5"/>
  <c r="T183" i="5"/>
  <c r="U183" i="5" s="1"/>
  <c r="S183" i="5"/>
  <c r="R183" i="5"/>
  <c r="T465" i="5"/>
  <c r="U465" i="5" s="1"/>
  <c r="S465" i="5"/>
  <c r="R465" i="5"/>
  <c r="T464" i="5"/>
  <c r="U464" i="5" s="1"/>
  <c r="S464" i="5"/>
  <c r="R464" i="5"/>
  <c r="T569" i="5"/>
  <c r="U569" i="5" s="1"/>
  <c r="S569" i="5"/>
  <c r="R569" i="5"/>
  <c r="T563" i="5"/>
  <c r="U563" i="5" s="1"/>
  <c r="S563" i="5"/>
  <c r="R563" i="5"/>
  <c r="T562" i="5"/>
  <c r="U562" i="5" s="1"/>
  <c r="S562" i="5"/>
  <c r="R562" i="5"/>
  <c r="T546" i="5"/>
  <c r="U546" i="5" s="1"/>
  <c r="S546" i="5"/>
  <c r="R546" i="5"/>
  <c r="T545" i="5"/>
  <c r="U545" i="5" s="1"/>
  <c r="S545" i="5"/>
  <c r="R545" i="5"/>
  <c r="T533" i="5"/>
  <c r="U533" i="5" s="1"/>
  <c r="S533" i="5"/>
  <c r="R533" i="5"/>
  <c r="T532" i="5"/>
  <c r="U532" i="5" s="1"/>
  <c r="S532" i="5"/>
  <c r="R532" i="5"/>
  <c r="T516" i="5"/>
  <c r="U516" i="5" s="1"/>
  <c r="S516" i="5"/>
  <c r="R516" i="5"/>
  <c r="T515" i="5"/>
  <c r="U515" i="5" s="1"/>
  <c r="S515" i="5"/>
  <c r="R515" i="5"/>
  <c r="T498" i="5"/>
  <c r="U498" i="5" s="1"/>
  <c r="S498" i="5"/>
  <c r="R498" i="5"/>
  <c r="T497" i="5"/>
  <c r="U497" i="5" s="1"/>
  <c r="S497" i="5"/>
  <c r="R497" i="5"/>
  <c r="T485" i="5"/>
  <c r="U485" i="5" s="1"/>
  <c r="S485" i="5"/>
  <c r="R485" i="5"/>
  <c r="T484" i="5"/>
  <c r="U484" i="5" s="1"/>
  <c r="S484" i="5"/>
  <c r="R484" i="5"/>
  <c r="T482" i="5"/>
  <c r="U482" i="5" s="1"/>
  <c r="S482" i="5"/>
  <c r="R482" i="5"/>
  <c r="T417" i="5"/>
  <c r="U417" i="5" s="1"/>
  <c r="S417" i="5"/>
  <c r="R417" i="5"/>
  <c r="T416" i="5"/>
  <c r="U416" i="5" s="1"/>
  <c r="S416" i="5"/>
  <c r="R416" i="5"/>
  <c r="T414" i="5"/>
  <c r="U414" i="5" s="1"/>
  <c r="S414" i="5"/>
  <c r="R414" i="5"/>
  <c r="T113" i="5"/>
  <c r="U113" i="5" s="1"/>
  <c r="S113" i="5"/>
  <c r="R113" i="5"/>
  <c r="T112" i="5"/>
  <c r="U112" i="5" s="1"/>
  <c r="S112" i="5"/>
  <c r="R112" i="5"/>
  <c r="T111" i="5"/>
  <c r="U111" i="5" s="1"/>
  <c r="S111" i="5"/>
  <c r="R111" i="5"/>
  <c r="T405" i="5"/>
  <c r="U405" i="5" s="1"/>
  <c r="S405" i="5"/>
  <c r="R405" i="5"/>
  <c r="T385" i="5"/>
  <c r="U385" i="5" s="1"/>
  <c r="S385" i="5"/>
  <c r="R385" i="5"/>
  <c r="T373" i="5"/>
  <c r="U373" i="5" s="1"/>
  <c r="S373" i="5"/>
  <c r="R373" i="5"/>
  <c r="Q367" i="5"/>
  <c r="T355" i="5"/>
  <c r="S355" i="5"/>
  <c r="S367" i="5" s="1"/>
  <c r="R355" i="5"/>
  <c r="R367" i="5" s="1"/>
  <c r="T351" i="5"/>
  <c r="U351" i="5" s="1"/>
  <c r="S351" i="5"/>
  <c r="R351" i="5"/>
  <c r="T333" i="5"/>
  <c r="U333" i="5" s="1"/>
  <c r="S333" i="5"/>
  <c r="R333" i="5"/>
  <c r="T319" i="5"/>
  <c r="U319" i="5" s="1"/>
  <c r="S319" i="5"/>
  <c r="R319" i="5"/>
  <c r="T306" i="5"/>
  <c r="U306" i="5" s="1"/>
  <c r="S306" i="5"/>
  <c r="R306" i="5"/>
  <c r="T289" i="5"/>
  <c r="U289" i="5" s="1"/>
  <c r="S289" i="5"/>
  <c r="R289" i="5"/>
  <c r="T273" i="5"/>
  <c r="U273" i="5" s="1"/>
  <c r="S273" i="5"/>
  <c r="R273" i="5"/>
  <c r="T259" i="5"/>
  <c r="U259" i="5" s="1"/>
  <c r="S259" i="5"/>
  <c r="R259" i="5"/>
  <c r="T242" i="5"/>
  <c r="U242" i="5" s="1"/>
  <c r="S242" i="5"/>
  <c r="R242" i="5"/>
  <c r="T230" i="5"/>
  <c r="U230" i="5" s="1"/>
  <c r="S230" i="5"/>
  <c r="R230" i="5"/>
  <c r="T216" i="5"/>
  <c r="U216" i="5" s="1"/>
  <c r="S216" i="5"/>
  <c r="R216" i="5"/>
  <c r="T204" i="5"/>
  <c r="U204" i="5" s="1"/>
  <c r="S204" i="5"/>
  <c r="R204" i="5"/>
  <c r="T409" i="5"/>
  <c r="R409" i="5"/>
  <c r="T407" i="5"/>
  <c r="R407" i="5"/>
  <c r="T386" i="5"/>
  <c r="R386" i="5"/>
  <c r="T374" i="5"/>
  <c r="R374" i="5"/>
  <c r="T356" i="5"/>
  <c r="R356" i="5"/>
  <c r="T352" i="5"/>
  <c r="R352" i="5"/>
  <c r="T334" i="5"/>
  <c r="R334" i="5"/>
  <c r="T320" i="5"/>
  <c r="R320" i="5"/>
  <c r="T307" i="5"/>
  <c r="R307" i="5"/>
  <c r="T290" i="5"/>
  <c r="R290" i="5"/>
  <c r="T274" i="5"/>
  <c r="R274" i="5"/>
  <c r="T260" i="5"/>
  <c r="R260" i="5"/>
  <c r="T123" i="5"/>
  <c r="R123" i="5"/>
  <c r="T567" i="5"/>
  <c r="U567" i="5" s="1"/>
  <c r="S567" i="5"/>
  <c r="R567" i="5"/>
  <c r="T177" i="5"/>
  <c r="U177" i="5" s="1"/>
  <c r="S177" i="5"/>
  <c r="R177" i="5"/>
  <c r="T175" i="5"/>
  <c r="U175" i="5" s="1"/>
  <c r="S175" i="5"/>
  <c r="R175" i="5"/>
  <c r="T461" i="5"/>
  <c r="U461" i="5" s="1"/>
  <c r="S461" i="5"/>
  <c r="R461" i="5"/>
  <c r="T458" i="5"/>
  <c r="U458" i="5" s="1"/>
  <c r="S458" i="5"/>
  <c r="R458" i="5"/>
  <c r="T456" i="5"/>
  <c r="U456" i="5" s="1"/>
  <c r="S456" i="5"/>
  <c r="R456" i="5"/>
  <c r="T454" i="5"/>
  <c r="U454" i="5" s="1"/>
  <c r="S454" i="5"/>
  <c r="R454" i="5"/>
  <c r="T453" i="5"/>
  <c r="U453" i="5" s="1"/>
  <c r="S453" i="5"/>
  <c r="R453" i="5"/>
  <c r="T451" i="5"/>
  <c r="U451" i="5" s="1"/>
  <c r="S451" i="5"/>
  <c r="R451" i="5"/>
  <c r="T448" i="5"/>
  <c r="U448" i="5" s="1"/>
  <c r="S448" i="5"/>
  <c r="R448" i="5"/>
  <c r="T444" i="5"/>
  <c r="U444" i="5" s="1"/>
  <c r="S444" i="5"/>
  <c r="R444" i="5"/>
  <c r="T443" i="5"/>
  <c r="U443" i="5" s="1"/>
  <c r="S443" i="5"/>
  <c r="R443" i="5"/>
  <c r="T441" i="5"/>
  <c r="U441" i="5" s="1"/>
  <c r="S441" i="5"/>
  <c r="R441" i="5"/>
  <c r="T439" i="5"/>
  <c r="U439" i="5" s="1"/>
  <c r="S439" i="5"/>
  <c r="R439" i="5"/>
  <c r="T576" i="5"/>
  <c r="U576" i="5" s="1"/>
  <c r="S576" i="5"/>
  <c r="R576" i="5"/>
  <c r="T573" i="5"/>
  <c r="U573" i="5" s="1"/>
  <c r="S573" i="5"/>
  <c r="R573" i="5"/>
  <c r="T571" i="5"/>
  <c r="U571" i="5" s="1"/>
  <c r="S571" i="5"/>
  <c r="R571" i="5"/>
  <c r="T559" i="5"/>
  <c r="U559" i="5" s="1"/>
  <c r="S559" i="5"/>
  <c r="R559" i="5"/>
  <c r="T554" i="5"/>
  <c r="U554" i="5" s="1"/>
  <c r="S554" i="5"/>
  <c r="R554" i="5"/>
  <c r="T547" i="5"/>
  <c r="U547" i="5" s="1"/>
  <c r="S547" i="5"/>
  <c r="R547" i="5"/>
  <c r="T544" i="5"/>
  <c r="U544" i="5" s="1"/>
  <c r="S544" i="5"/>
  <c r="R544" i="5"/>
  <c r="T534" i="5"/>
  <c r="U534" i="5" s="1"/>
  <c r="S534" i="5"/>
  <c r="R534" i="5"/>
  <c r="T530" i="5"/>
  <c r="U530" i="5" s="1"/>
  <c r="S530" i="5"/>
  <c r="R530" i="5"/>
  <c r="T517" i="5"/>
  <c r="U517" i="5" s="1"/>
  <c r="S517" i="5"/>
  <c r="R517" i="5"/>
  <c r="T512" i="5"/>
  <c r="U512" i="5" s="1"/>
  <c r="S512" i="5"/>
  <c r="R512" i="5"/>
  <c r="T501" i="5"/>
  <c r="U501" i="5" s="1"/>
  <c r="S501" i="5"/>
  <c r="R501" i="5"/>
  <c r="T495" i="5"/>
  <c r="U495" i="5" s="1"/>
  <c r="S495" i="5"/>
  <c r="R495" i="5"/>
  <c r="T480" i="5"/>
  <c r="U480" i="5" s="1"/>
  <c r="S480" i="5"/>
  <c r="R480" i="5"/>
  <c r="T477" i="5"/>
  <c r="U477" i="5" s="1"/>
  <c r="S477" i="5"/>
  <c r="R477" i="5"/>
  <c r="T474" i="5"/>
  <c r="U474" i="5" s="1"/>
  <c r="S474" i="5"/>
  <c r="R474" i="5"/>
  <c r="T412" i="5"/>
  <c r="U412" i="5" s="1"/>
  <c r="S412" i="5"/>
  <c r="R412" i="5"/>
  <c r="T408" i="5"/>
  <c r="U408" i="5" s="1"/>
  <c r="S408" i="5"/>
  <c r="R408" i="5"/>
  <c r="T402" i="5"/>
  <c r="U402" i="5" s="1"/>
  <c r="S402" i="5"/>
  <c r="R402" i="5"/>
  <c r="T108" i="5"/>
  <c r="U108" i="5" s="1"/>
  <c r="S108" i="5"/>
  <c r="R108" i="5"/>
  <c r="T106" i="5"/>
  <c r="U106" i="5" s="1"/>
  <c r="S106" i="5"/>
  <c r="R106" i="5"/>
  <c r="T104" i="5"/>
  <c r="U104" i="5" s="1"/>
  <c r="S104" i="5"/>
  <c r="R104" i="5"/>
  <c r="T102" i="5"/>
  <c r="U102" i="5" s="1"/>
  <c r="S102" i="5"/>
  <c r="R102" i="5"/>
  <c r="T100" i="5"/>
  <c r="U100" i="5" s="1"/>
  <c r="S100" i="5"/>
  <c r="R100" i="5"/>
  <c r="T98" i="5"/>
  <c r="U98" i="5" s="1"/>
  <c r="S98" i="5"/>
  <c r="R98" i="5"/>
  <c r="T96" i="5"/>
  <c r="U96" i="5" s="1"/>
  <c r="S96" i="5"/>
  <c r="R96" i="5"/>
  <c r="T94" i="5"/>
  <c r="U94" i="5" s="1"/>
  <c r="S94" i="5"/>
  <c r="R94" i="5"/>
  <c r="T92" i="5"/>
  <c r="U92" i="5" s="1"/>
  <c r="S92" i="5"/>
  <c r="R92" i="5"/>
  <c r="T90" i="5"/>
  <c r="U90" i="5" s="1"/>
  <c r="S90" i="5"/>
  <c r="R90" i="5"/>
  <c r="T88" i="5"/>
  <c r="U88" i="5" s="1"/>
  <c r="S88" i="5"/>
  <c r="R88" i="5"/>
  <c r="T86" i="5"/>
  <c r="U86" i="5" s="1"/>
  <c r="S86" i="5"/>
  <c r="R86" i="5"/>
  <c r="T80" i="5"/>
  <c r="U80" i="5" s="1"/>
  <c r="S80" i="5"/>
  <c r="R80" i="5"/>
  <c r="T76" i="5"/>
  <c r="U76" i="5" s="1"/>
  <c r="S76" i="5"/>
  <c r="R76" i="5"/>
  <c r="T390" i="5"/>
  <c r="U390" i="5" s="1"/>
  <c r="S390" i="5"/>
  <c r="R390" i="5"/>
  <c r="Q394" i="5"/>
  <c r="T382" i="5"/>
  <c r="S382" i="5"/>
  <c r="S394" i="5" s="1"/>
  <c r="R382" i="5"/>
  <c r="R394" i="5" s="1"/>
  <c r="T375" i="5"/>
  <c r="U375" i="5" s="1"/>
  <c r="S375" i="5"/>
  <c r="R375" i="5"/>
  <c r="T370" i="5"/>
  <c r="U370" i="5" s="1"/>
  <c r="S370" i="5"/>
  <c r="R370" i="5"/>
  <c r="T359" i="5"/>
  <c r="U359" i="5" s="1"/>
  <c r="S359" i="5"/>
  <c r="R359" i="5"/>
  <c r="T358" i="5"/>
  <c r="U358" i="5" s="1"/>
  <c r="S358" i="5"/>
  <c r="R358" i="5"/>
  <c r="T346" i="5"/>
  <c r="U346" i="5" s="1"/>
  <c r="S346" i="5"/>
  <c r="R346" i="5"/>
  <c r="T341" i="5"/>
  <c r="U341" i="5" s="1"/>
  <c r="S341" i="5"/>
  <c r="R341" i="5"/>
  <c r="T330" i="5"/>
  <c r="U330" i="5" s="1"/>
  <c r="S330" i="5"/>
  <c r="R330" i="5"/>
  <c r="T327" i="5"/>
  <c r="U327" i="5" s="1"/>
  <c r="S327" i="5"/>
  <c r="R327" i="5"/>
  <c r="T326" i="5"/>
  <c r="U326" i="5" s="1"/>
  <c r="S326" i="5"/>
  <c r="R326" i="5"/>
  <c r="T315" i="5"/>
  <c r="U315" i="5" s="1"/>
  <c r="S315" i="5"/>
  <c r="R315" i="5"/>
  <c r="T313" i="5"/>
  <c r="U313" i="5" s="1"/>
  <c r="S313" i="5"/>
  <c r="R313" i="5"/>
  <c r="T303" i="5"/>
  <c r="U303" i="5" s="1"/>
  <c r="S303" i="5"/>
  <c r="R303" i="5"/>
  <c r="T300" i="5"/>
  <c r="U300" i="5" s="1"/>
  <c r="S300" i="5"/>
  <c r="R300" i="5"/>
  <c r="T286" i="5"/>
  <c r="U286" i="5" s="1"/>
  <c r="S286" i="5"/>
  <c r="R286" i="5"/>
  <c r="T283" i="5"/>
  <c r="U283" i="5" s="1"/>
  <c r="S283" i="5"/>
  <c r="R283" i="5"/>
  <c r="T272" i="5"/>
  <c r="U272" i="5" s="1"/>
  <c r="S272" i="5"/>
  <c r="R272" i="5"/>
  <c r="T269" i="5"/>
  <c r="U269" i="5" s="1"/>
  <c r="S269" i="5"/>
  <c r="R269" i="5"/>
  <c r="T266" i="5"/>
  <c r="U266" i="5" s="1"/>
  <c r="S266" i="5"/>
  <c r="R266" i="5"/>
  <c r="T254" i="5"/>
  <c r="U254" i="5" s="1"/>
  <c r="S254" i="5"/>
  <c r="R254" i="5"/>
  <c r="T251" i="5"/>
  <c r="U251" i="5" s="1"/>
  <c r="S251" i="5"/>
  <c r="R251" i="5"/>
  <c r="T239" i="5"/>
  <c r="U239" i="5" s="1"/>
  <c r="S239" i="5"/>
  <c r="R239" i="5"/>
  <c r="T236" i="5"/>
  <c r="U236" i="5" s="1"/>
  <c r="S236" i="5"/>
  <c r="R236" i="5"/>
  <c r="T225" i="5"/>
  <c r="U225" i="5" s="1"/>
  <c r="S225" i="5"/>
  <c r="R225" i="5"/>
  <c r="T217" i="5"/>
  <c r="U217" i="5" s="1"/>
  <c r="S217" i="5"/>
  <c r="R217" i="5"/>
  <c r="T212" i="5"/>
  <c r="U212" i="5" s="1"/>
  <c r="S212" i="5"/>
  <c r="R212" i="5"/>
  <c r="T206" i="5"/>
  <c r="U206" i="5" s="1"/>
  <c r="S206" i="5"/>
  <c r="R206" i="5"/>
  <c r="T200" i="5"/>
  <c r="U200" i="5" s="1"/>
  <c r="S200" i="5"/>
  <c r="R200" i="5"/>
  <c r="T148" i="5"/>
  <c r="U148" i="5" s="1"/>
  <c r="S148" i="5"/>
  <c r="R148" i="5"/>
  <c r="T147" i="5"/>
  <c r="U147" i="5" s="1"/>
  <c r="S147" i="5"/>
  <c r="R147" i="5"/>
  <c r="T146" i="5"/>
  <c r="U146" i="5" s="1"/>
  <c r="S146" i="5"/>
  <c r="R146" i="5"/>
  <c r="T138" i="5"/>
  <c r="U138" i="5" s="1"/>
  <c r="S138" i="5"/>
  <c r="R138" i="5"/>
  <c r="T137" i="5"/>
  <c r="U137" i="5" s="1"/>
  <c r="S137" i="5"/>
  <c r="R137" i="5"/>
  <c r="T136" i="5"/>
  <c r="U136" i="5" s="1"/>
  <c r="S136" i="5"/>
  <c r="R136" i="5"/>
  <c r="T125" i="5"/>
  <c r="U125" i="5" s="1"/>
  <c r="S125" i="5"/>
  <c r="R125" i="5"/>
  <c r="T124" i="5"/>
  <c r="U124" i="5" s="1"/>
  <c r="S124" i="5"/>
  <c r="R124" i="5"/>
  <c r="T83" i="5"/>
  <c r="U83" i="5" s="1"/>
  <c r="S83" i="5"/>
  <c r="R83" i="5"/>
  <c r="T82" i="5"/>
  <c r="U82" i="5" s="1"/>
  <c r="S82" i="5"/>
  <c r="R82" i="5"/>
  <c r="Q564" i="5"/>
  <c r="T551" i="5"/>
  <c r="S551" i="5"/>
  <c r="S564" i="5" s="1"/>
  <c r="R551" i="5"/>
  <c r="R564" i="5" s="1"/>
  <c r="T542" i="5"/>
  <c r="U542" i="5" s="1"/>
  <c r="S542" i="5"/>
  <c r="R542" i="5"/>
  <c r="Q536" i="5"/>
  <c r="T524" i="5"/>
  <c r="S524" i="5"/>
  <c r="S536" i="5" s="1"/>
  <c r="R524" i="5"/>
  <c r="R536" i="5" s="1"/>
  <c r="Q522" i="5"/>
  <c r="T509" i="5"/>
  <c r="S509" i="5"/>
  <c r="S522" i="5" s="1"/>
  <c r="R509" i="5"/>
  <c r="R522" i="5" s="1"/>
  <c r="Q507" i="5"/>
  <c r="T489" i="5"/>
  <c r="S489" i="5"/>
  <c r="S507" i="5" s="1"/>
  <c r="R489" i="5"/>
  <c r="R507" i="5" s="1"/>
  <c r="T73" i="5"/>
  <c r="U73" i="5" s="1"/>
  <c r="S73" i="5"/>
  <c r="R73" i="5"/>
  <c r="T33" i="5"/>
  <c r="U33" i="5" s="1"/>
  <c r="S33" i="5"/>
  <c r="R33" i="5"/>
  <c r="T196" i="5"/>
  <c r="U196" i="5" s="1"/>
  <c r="S196" i="5"/>
  <c r="R196" i="5"/>
  <c r="T195" i="5"/>
  <c r="U195" i="5" s="1"/>
  <c r="S195" i="5"/>
  <c r="R195" i="5"/>
  <c r="T194" i="5"/>
  <c r="U194" i="5" s="1"/>
  <c r="S194" i="5"/>
  <c r="R194" i="5"/>
  <c r="T179" i="5"/>
  <c r="U179" i="5" s="1"/>
  <c r="S179" i="5"/>
  <c r="R179" i="5"/>
  <c r="T176" i="5"/>
  <c r="U176" i="5" s="1"/>
  <c r="S176" i="5"/>
  <c r="R176" i="5"/>
  <c r="T173" i="5"/>
  <c r="U173" i="5" s="1"/>
  <c r="S173" i="5"/>
  <c r="R173" i="5"/>
  <c r="T170" i="5"/>
  <c r="U170" i="5" s="1"/>
  <c r="S170" i="5"/>
  <c r="R170" i="5"/>
  <c r="T169" i="5"/>
  <c r="U169" i="5" s="1"/>
  <c r="S169" i="5"/>
  <c r="R169" i="5"/>
  <c r="T168" i="5"/>
  <c r="U168" i="5" s="1"/>
  <c r="S168" i="5"/>
  <c r="R168" i="5"/>
  <c r="T450" i="5"/>
  <c r="U450" i="5" s="1"/>
  <c r="S450" i="5"/>
  <c r="R450" i="5"/>
  <c r="T447" i="5"/>
  <c r="U447" i="5" s="1"/>
  <c r="S447" i="5"/>
  <c r="R447" i="5"/>
  <c r="T446" i="5"/>
  <c r="U446" i="5" s="1"/>
  <c r="S446" i="5"/>
  <c r="R446" i="5"/>
  <c r="T570" i="5"/>
  <c r="U570" i="5" s="1"/>
  <c r="S570" i="5"/>
  <c r="R570" i="5"/>
  <c r="T561" i="5"/>
  <c r="U561" i="5" s="1"/>
  <c r="S561" i="5"/>
  <c r="R561" i="5"/>
  <c r="T558" i="5"/>
  <c r="U558" i="5" s="1"/>
  <c r="S558" i="5"/>
  <c r="R558" i="5"/>
  <c r="T556" i="5"/>
  <c r="U556" i="5" s="1"/>
  <c r="S556" i="5"/>
  <c r="R556" i="5"/>
  <c r="T540" i="5"/>
  <c r="U540" i="5" s="1"/>
  <c r="S540" i="5"/>
  <c r="R540" i="5"/>
  <c r="Q549" i="5"/>
  <c r="T538" i="5"/>
  <c r="S538" i="5"/>
  <c r="S549" i="5" s="1"/>
  <c r="R538" i="5"/>
  <c r="R549" i="5" s="1"/>
  <c r="T535" i="5"/>
  <c r="U535" i="5" s="1"/>
  <c r="S535" i="5"/>
  <c r="R535" i="5"/>
  <c r="T531" i="5"/>
  <c r="U531" i="5" s="1"/>
  <c r="S531" i="5"/>
  <c r="R531" i="5"/>
  <c r="T521" i="5"/>
  <c r="U521" i="5" s="1"/>
  <c r="S521" i="5"/>
  <c r="R521" i="5"/>
  <c r="T518" i="5"/>
  <c r="U518" i="5" s="1"/>
  <c r="S518" i="5"/>
  <c r="R518" i="5"/>
  <c r="T513" i="5"/>
  <c r="U513" i="5" s="1"/>
  <c r="S513" i="5"/>
  <c r="R513" i="5"/>
  <c r="T506" i="5"/>
  <c r="U506" i="5" s="1"/>
  <c r="S506" i="5"/>
  <c r="R506" i="5"/>
  <c r="T505" i="5"/>
  <c r="U505" i="5" s="1"/>
  <c r="S505" i="5"/>
  <c r="R505" i="5"/>
  <c r="T499" i="5"/>
  <c r="U499" i="5" s="1"/>
  <c r="S499" i="5"/>
  <c r="R499" i="5"/>
  <c r="T491" i="5"/>
  <c r="U491" i="5" s="1"/>
  <c r="S491" i="5"/>
  <c r="R491" i="5"/>
  <c r="T472" i="5"/>
  <c r="Q487" i="5"/>
  <c r="S472" i="5"/>
  <c r="S487" i="5" s="1"/>
  <c r="R472" i="5"/>
  <c r="R487" i="5" s="1"/>
  <c r="T426" i="5"/>
  <c r="U426" i="5" s="1"/>
  <c r="S426" i="5"/>
  <c r="R426" i="5"/>
  <c r="T425" i="5"/>
  <c r="U425" i="5" s="1"/>
  <c r="S425" i="5"/>
  <c r="R425" i="5"/>
  <c r="T424" i="5"/>
  <c r="U424" i="5" s="1"/>
  <c r="S424" i="5"/>
  <c r="R424" i="5"/>
  <c r="T422" i="5"/>
  <c r="U422" i="5" s="1"/>
  <c r="S422" i="5"/>
  <c r="R422" i="5"/>
  <c r="T421" i="5"/>
  <c r="U421" i="5" s="1"/>
  <c r="S421" i="5"/>
  <c r="R421" i="5"/>
  <c r="T420" i="5"/>
  <c r="U420" i="5" s="1"/>
  <c r="S420" i="5"/>
  <c r="R420" i="5"/>
  <c r="T403" i="5"/>
  <c r="U403" i="5" s="1"/>
  <c r="S403" i="5"/>
  <c r="R403" i="5"/>
  <c r="T399" i="5"/>
  <c r="U399" i="5" s="1"/>
  <c r="S399" i="5"/>
  <c r="R399" i="5"/>
  <c r="T398" i="5"/>
  <c r="U398" i="5" s="1"/>
  <c r="S398" i="5"/>
  <c r="R398" i="5"/>
  <c r="T159" i="5"/>
  <c r="U159" i="5" s="1"/>
  <c r="S159" i="5"/>
  <c r="R159" i="5"/>
  <c r="T150" i="5"/>
  <c r="U150" i="5" s="1"/>
  <c r="S150" i="5"/>
  <c r="R150" i="5"/>
  <c r="T140" i="5"/>
  <c r="U140" i="5" s="1"/>
  <c r="S140" i="5"/>
  <c r="R140" i="5"/>
  <c r="T121" i="5"/>
  <c r="U121" i="5" s="1"/>
  <c r="S121" i="5"/>
  <c r="R121" i="5"/>
  <c r="T117" i="5"/>
  <c r="U117" i="5" s="1"/>
  <c r="S117" i="5"/>
  <c r="R117" i="5"/>
  <c r="T116" i="5"/>
  <c r="U116" i="5" s="1"/>
  <c r="S116" i="5"/>
  <c r="R116" i="5"/>
  <c r="T79" i="5"/>
  <c r="U79" i="5" s="1"/>
  <c r="S79" i="5"/>
  <c r="R79" i="5"/>
  <c r="T78" i="5"/>
  <c r="U78" i="5" s="1"/>
  <c r="S78" i="5"/>
  <c r="R78" i="5"/>
  <c r="T75" i="5"/>
  <c r="U75" i="5" s="1"/>
  <c r="S75" i="5"/>
  <c r="R75" i="5"/>
  <c r="T70" i="5"/>
  <c r="U70" i="5" s="1"/>
  <c r="S70" i="5"/>
  <c r="R70" i="5"/>
  <c r="T69" i="5"/>
  <c r="U69" i="5" s="1"/>
  <c r="S69" i="5"/>
  <c r="R69" i="5"/>
  <c r="T68" i="5"/>
  <c r="U68" i="5" s="1"/>
  <c r="S68" i="5"/>
  <c r="R68" i="5"/>
  <c r="T391" i="5"/>
  <c r="U391" i="5" s="1"/>
  <c r="S391" i="5"/>
  <c r="R391" i="5"/>
  <c r="T389" i="5"/>
  <c r="U389" i="5" s="1"/>
  <c r="S389" i="5"/>
  <c r="R389" i="5"/>
  <c r="T384" i="5"/>
  <c r="U384" i="5" s="1"/>
  <c r="S384" i="5"/>
  <c r="R384" i="5"/>
  <c r="T376" i="5"/>
  <c r="U376" i="5" s="1"/>
  <c r="S376" i="5"/>
  <c r="R376" i="5"/>
  <c r="T371" i="5"/>
  <c r="U371" i="5" s="1"/>
  <c r="S371" i="5"/>
  <c r="R371" i="5"/>
  <c r="T366" i="5"/>
  <c r="U366" i="5" s="1"/>
  <c r="S366" i="5"/>
  <c r="R366" i="5"/>
  <c r="T365" i="5"/>
  <c r="U365" i="5" s="1"/>
  <c r="S365" i="5"/>
  <c r="R365" i="5"/>
  <c r="T364" i="5"/>
  <c r="U364" i="5" s="1"/>
  <c r="S364" i="5"/>
  <c r="R364" i="5"/>
  <c r="T347" i="5"/>
  <c r="U347" i="5" s="1"/>
  <c r="S347" i="5"/>
  <c r="R347" i="5"/>
  <c r="T345" i="5"/>
  <c r="U345" i="5" s="1"/>
  <c r="S345" i="5"/>
  <c r="R345" i="5"/>
  <c r="T339" i="5"/>
  <c r="U339" i="5" s="1"/>
  <c r="S339" i="5"/>
  <c r="R339" i="5"/>
  <c r="T332" i="5"/>
  <c r="U332" i="5" s="1"/>
  <c r="S332" i="5"/>
  <c r="R332" i="5"/>
  <c r="T329" i="5"/>
  <c r="U329" i="5" s="1"/>
  <c r="S329" i="5"/>
  <c r="R329" i="5"/>
  <c r="T324" i="5"/>
  <c r="U324" i="5" s="1"/>
  <c r="S324" i="5"/>
  <c r="R324" i="5"/>
  <c r="T318" i="5"/>
  <c r="U318" i="5" s="1"/>
  <c r="S318" i="5"/>
  <c r="R318" i="5"/>
  <c r="T317" i="5"/>
  <c r="U317" i="5" s="1"/>
  <c r="S317" i="5"/>
  <c r="R317" i="5"/>
  <c r="T312" i="5"/>
  <c r="U312" i="5" s="1"/>
  <c r="S312" i="5"/>
  <c r="R312" i="5"/>
  <c r="T311" i="5"/>
  <c r="U311" i="5" s="1"/>
  <c r="S311" i="5"/>
  <c r="R311" i="5"/>
  <c r="T305" i="5"/>
  <c r="U305" i="5" s="1"/>
  <c r="S305" i="5"/>
  <c r="R305" i="5"/>
  <c r="T302" i="5"/>
  <c r="U302" i="5" s="1"/>
  <c r="S302" i="5"/>
  <c r="R302" i="5"/>
  <c r="T295" i="5"/>
  <c r="U295" i="5" s="1"/>
  <c r="S295" i="5"/>
  <c r="R295" i="5"/>
  <c r="T294" i="5"/>
  <c r="U294" i="5" s="1"/>
  <c r="S294" i="5"/>
  <c r="R294" i="5"/>
  <c r="T293" i="5"/>
  <c r="U293" i="5" s="1"/>
  <c r="S293" i="5"/>
  <c r="R293" i="5"/>
  <c r="T292" i="5"/>
  <c r="U292" i="5" s="1"/>
  <c r="S292" i="5"/>
  <c r="R292" i="5"/>
  <c r="T288" i="5"/>
  <c r="U288" i="5" s="1"/>
  <c r="S288" i="5"/>
  <c r="R288" i="5"/>
  <c r="T285" i="5"/>
  <c r="U285" i="5" s="1"/>
  <c r="S285" i="5"/>
  <c r="R285" i="5"/>
  <c r="T281" i="5"/>
  <c r="U281" i="5" s="1"/>
  <c r="S281" i="5"/>
  <c r="R281" i="5"/>
  <c r="T271" i="5"/>
  <c r="U271" i="5" s="1"/>
  <c r="S271" i="5"/>
  <c r="R271" i="5"/>
  <c r="T268" i="5"/>
  <c r="U268" i="5" s="1"/>
  <c r="S268" i="5"/>
  <c r="R268" i="5"/>
  <c r="T265" i="5"/>
  <c r="U265" i="5" s="1"/>
  <c r="S265" i="5"/>
  <c r="R265" i="5"/>
  <c r="T258" i="5"/>
  <c r="U258" i="5" s="1"/>
  <c r="S258" i="5"/>
  <c r="R258" i="5"/>
  <c r="T256" i="5"/>
  <c r="U256" i="5" s="1"/>
  <c r="S256" i="5"/>
  <c r="R256" i="5"/>
  <c r="T253" i="5"/>
  <c r="U253" i="5" s="1"/>
  <c r="S253" i="5"/>
  <c r="R253" i="5"/>
  <c r="T250" i="5"/>
  <c r="U250" i="5" s="1"/>
  <c r="S250" i="5"/>
  <c r="R250" i="5"/>
  <c r="T240" i="5"/>
  <c r="U240" i="5" s="1"/>
  <c r="S240" i="5"/>
  <c r="R240" i="5"/>
  <c r="T237" i="5"/>
  <c r="U237" i="5" s="1"/>
  <c r="S237" i="5"/>
  <c r="R237" i="5"/>
  <c r="T235" i="5"/>
  <c r="U235" i="5" s="1"/>
  <c r="S235" i="5"/>
  <c r="R235" i="5"/>
  <c r="T229" i="5"/>
  <c r="U229" i="5" s="1"/>
  <c r="S229" i="5"/>
  <c r="R229" i="5"/>
  <c r="T228" i="5"/>
  <c r="U228" i="5" s="1"/>
  <c r="S228" i="5"/>
  <c r="R228" i="5"/>
  <c r="T227" i="5"/>
  <c r="U227" i="5" s="1"/>
  <c r="S227" i="5"/>
  <c r="R227" i="5"/>
  <c r="T226" i="5"/>
  <c r="U226" i="5" s="1"/>
  <c r="S226" i="5"/>
  <c r="R226" i="5"/>
  <c r="T208" i="5"/>
  <c r="U208" i="5" s="1"/>
  <c r="S208" i="5"/>
  <c r="R208" i="5"/>
  <c r="T205" i="5"/>
  <c r="U205" i="5" s="1"/>
  <c r="S205" i="5"/>
  <c r="R205" i="5"/>
  <c r="T185" i="5"/>
  <c r="U185" i="5" s="1"/>
  <c r="S185" i="5"/>
  <c r="R185" i="5"/>
  <c r="T182" i="5"/>
  <c r="U182" i="5" s="1"/>
  <c r="S182" i="5"/>
  <c r="R182" i="5"/>
  <c r="T180" i="5"/>
  <c r="U180" i="5" s="1"/>
  <c r="S180" i="5"/>
  <c r="R180" i="5"/>
  <c r="T166" i="5"/>
  <c r="U166" i="5" s="1"/>
  <c r="S166" i="5"/>
  <c r="R166" i="5"/>
  <c r="T463" i="5"/>
  <c r="U463" i="5" s="1"/>
  <c r="S463" i="5"/>
  <c r="R463" i="5"/>
  <c r="T462" i="5"/>
  <c r="U462" i="5" s="1"/>
  <c r="S462" i="5"/>
  <c r="R462" i="5"/>
  <c r="T436" i="5"/>
  <c r="U436" i="5" s="1"/>
  <c r="S436" i="5"/>
  <c r="R436" i="5"/>
  <c r="T568" i="5"/>
  <c r="U568" i="5" s="1"/>
  <c r="S568" i="5"/>
  <c r="R568" i="5"/>
  <c r="Q578" i="5"/>
  <c r="T566" i="5"/>
  <c r="S566" i="5"/>
  <c r="S578" i="5" s="1"/>
  <c r="R566" i="5"/>
  <c r="R578" i="5" s="1"/>
  <c r="T493" i="5"/>
  <c r="U493" i="5" s="1"/>
  <c r="S493" i="5"/>
  <c r="R493" i="5"/>
  <c r="T152" i="5"/>
  <c r="U152" i="5" s="1"/>
  <c r="S152" i="5"/>
  <c r="R152" i="5"/>
  <c r="T151" i="5"/>
  <c r="U151" i="5" s="1"/>
  <c r="S151" i="5"/>
  <c r="R151" i="5"/>
  <c r="T144" i="5"/>
  <c r="U144" i="5" s="1"/>
  <c r="S144" i="5"/>
  <c r="R144" i="5"/>
  <c r="T143" i="5"/>
  <c r="U143" i="5" s="1"/>
  <c r="S143" i="5"/>
  <c r="R143" i="5"/>
  <c r="T128" i="5"/>
  <c r="U128" i="5" s="1"/>
  <c r="S128" i="5"/>
  <c r="R128" i="5"/>
  <c r="T127" i="5"/>
  <c r="U127" i="5" s="1"/>
  <c r="S127" i="5"/>
  <c r="R127" i="5"/>
  <c r="T85" i="5"/>
  <c r="U85" i="5" s="1"/>
  <c r="S85" i="5"/>
  <c r="R85" i="5"/>
  <c r="T280" i="5"/>
  <c r="U280" i="5" s="1"/>
  <c r="S280" i="5"/>
  <c r="R280" i="5"/>
  <c r="T215" i="5"/>
  <c r="U215" i="5" s="1"/>
  <c r="S215" i="5"/>
  <c r="R215" i="5"/>
  <c r="T203" i="5"/>
  <c r="U203" i="5" s="1"/>
  <c r="S203" i="5"/>
  <c r="R203" i="5"/>
  <c r="T486" i="5"/>
  <c r="U486" i="5" s="1"/>
  <c r="S486" i="5"/>
  <c r="R486" i="5"/>
  <c r="T418" i="5"/>
  <c r="U418" i="5" s="1"/>
  <c r="S418" i="5"/>
  <c r="R418" i="5"/>
  <c r="T193" i="5"/>
  <c r="U193" i="5" s="1"/>
  <c r="S193" i="5"/>
  <c r="R193" i="5"/>
  <c r="T192" i="5"/>
  <c r="U192" i="5" s="1"/>
  <c r="S192" i="5"/>
  <c r="R192" i="5"/>
  <c r="T191" i="5"/>
  <c r="U191" i="5" s="1"/>
  <c r="S191" i="5"/>
  <c r="R191" i="5"/>
  <c r="T190" i="5"/>
  <c r="U190" i="5" s="1"/>
  <c r="S190" i="5"/>
  <c r="R190" i="5"/>
  <c r="T188" i="5"/>
  <c r="U188" i="5" s="1"/>
  <c r="S188" i="5"/>
  <c r="R188" i="5"/>
  <c r="T181" i="5"/>
  <c r="U181" i="5" s="1"/>
  <c r="S181" i="5"/>
  <c r="R181" i="5"/>
  <c r="T171" i="5"/>
  <c r="U171" i="5" s="1"/>
  <c r="S171" i="5"/>
  <c r="R171" i="5"/>
  <c r="Q197" i="5"/>
  <c r="T165" i="5"/>
  <c r="S165" i="5"/>
  <c r="S197" i="5" s="1"/>
  <c r="R165" i="5"/>
  <c r="R197" i="5" s="1"/>
  <c r="T468" i="5"/>
  <c r="U468" i="5" s="1"/>
  <c r="S468" i="5"/>
  <c r="R468" i="5"/>
  <c r="T467" i="5"/>
  <c r="U467" i="5" s="1"/>
  <c r="S467" i="5"/>
  <c r="R467" i="5"/>
  <c r="T466" i="5"/>
  <c r="U466" i="5" s="1"/>
  <c r="S466" i="5"/>
  <c r="R466" i="5"/>
  <c r="T457" i="5"/>
  <c r="U457" i="5" s="1"/>
  <c r="S457" i="5"/>
  <c r="R457" i="5"/>
  <c r="T438" i="5"/>
  <c r="U438" i="5" s="1"/>
  <c r="S438" i="5"/>
  <c r="R438" i="5"/>
  <c r="T435" i="5"/>
  <c r="U435" i="5" s="1"/>
  <c r="S435" i="5"/>
  <c r="R435" i="5"/>
  <c r="T434" i="5"/>
  <c r="U434" i="5" s="1"/>
  <c r="S434" i="5"/>
  <c r="R434" i="5"/>
  <c r="Q469" i="5"/>
  <c r="T431" i="5"/>
  <c r="S431" i="5"/>
  <c r="S469" i="5" s="1"/>
  <c r="R431" i="5"/>
  <c r="R469" i="5" s="1"/>
  <c r="T553" i="5"/>
  <c r="U553" i="5" s="1"/>
  <c r="S553" i="5"/>
  <c r="R553" i="5"/>
  <c r="T526" i="5"/>
  <c r="U526" i="5" s="1"/>
  <c r="S526" i="5"/>
  <c r="R526" i="5"/>
  <c r="T511" i="5"/>
  <c r="U511" i="5" s="1"/>
  <c r="S511" i="5"/>
  <c r="R511" i="5"/>
  <c r="T500" i="5"/>
  <c r="U500" i="5" s="1"/>
  <c r="S500" i="5"/>
  <c r="R500" i="5"/>
  <c r="T494" i="5"/>
  <c r="U494" i="5" s="1"/>
  <c r="S494" i="5"/>
  <c r="R494" i="5"/>
  <c r="T492" i="5"/>
  <c r="U492" i="5" s="1"/>
  <c r="S492" i="5"/>
  <c r="R492" i="5"/>
  <c r="T428" i="5"/>
  <c r="U428" i="5" s="1"/>
  <c r="S428" i="5"/>
  <c r="R428" i="5"/>
  <c r="T427" i="5"/>
  <c r="U427" i="5" s="1"/>
  <c r="S427" i="5"/>
  <c r="R427" i="5"/>
  <c r="T423" i="5"/>
  <c r="U423" i="5" s="1"/>
  <c r="S423" i="5"/>
  <c r="R423" i="5"/>
  <c r="T419" i="5"/>
  <c r="U419" i="5" s="1"/>
  <c r="S419" i="5"/>
  <c r="R419" i="5"/>
  <c r="T162" i="5"/>
  <c r="U162" i="5" s="1"/>
  <c r="S162" i="5"/>
  <c r="R162" i="5"/>
  <c r="T160" i="5"/>
  <c r="U160" i="5" s="1"/>
  <c r="S160" i="5"/>
  <c r="R160" i="5"/>
  <c r="T145" i="5"/>
  <c r="U145" i="5" s="1"/>
  <c r="S145" i="5"/>
  <c r="R145" i="5"/>
  <c r="T142" i="5"/>
  <c r="U142" i="5" s="1"/>
  <c r="S142" i="5"/>
  <c r="R142" i="5"/>
  <c r="T135" i="5"/>
  <c r="U135" i="5" s="1"/>
  <c r="S135" i="5"/>
  <c r="R135" i="5"/>
  <c r="T134" i="5"/>
  <c r="U134" i="5" s="1"/>
  <c r="S134" i="5"/>
  <c r="R134" i="5"/>
  <c r="T126" i="5"/>
  <c r="U126" i="5" s="1"/>
  <c r="S126" i="5"/>
  <c r="R126" i="5"/>
  <c r="T120" i="5"/>
  <c r="U120" i="5" s="1"/>
  <c r="S120" i="5"/>
  <c r="R120" i="5"/>
  <c r="T119" i="5"/>
  <c r="U119" i="5" s="1"/>
  <c r="S119" i="5"/>
  <c r="R119" i="5"/>
  <c r="T118" i="5"/>
  <c r="U118" i="5" s="1"/>
  <c r="S118" i="5"/>
  <c r="R118" i="5"/>
  <c r="T115" i="5"/>
  <c r="U115" i="5" s="1"/>
  <c r="S115" i="5"/>
  <c r="R115" i="5"/>
  <c r="T110" i="5"/>
  <c r="U110" i="5" s="1"/>
  <c r="S110" i="5"/>
  <c r="R110" i="5"/>
  <c r="T84" i="5"/>
  <c r="U84" i="5" s="1"/>
  <c r="S84" i="5"/>
  <c r="R84" i="5"/>
  <c r="T74" i="5"/>
  <c r="U74" i="5" s="1"/>
  <c r="S74" i="5"/>
  <c r="R74" i="5"/>
  <c r="T71" i="5"/>
  <c r="U71" i="5" s="1"/>
  <c r="S71" i="5"/>
  <c r="R71" i="5"/>
  <c r="T67" i="5"/>
  <c r="U67" i="5" s="1"/>
  <c r="S67" i="5"/>
  <c r="R67" i="5"/>
  <c r="T32" i="5"/>
  <c r="U32" i="5" s="1"/>
  <c r="S32" i="5"/>
  <c r="R32" i="5"/>
  <c r="T20" i="5"/>
  <c r="U20" i="5" s="1"/>
  <c r="S20" i="5"/>
  <c r="R20" i="5"/>
  <c r="T19" i="5"/>
  <c r="U19" i="5" s="1"/>
  <c r="S19" i="5"/>
  <c r="R19" i="5"/>
  <c r="T393" i="5"/>
  <c r="U393" i="5" s="1"/>
  <c r="S393" i="5"/>
  <c r="R393" i="5"/>
  <c r="T387" i="5"/>
  <c r="U387" i="5" s="1"/>
  <c r="S387" i="5"/>
  <c r="R387" i="5"/>
  <c r="Q378" i="5"/>
  <c r="T369" i="5"/>
  <c r="S369" i="5"/>
  <c r="S378" i="5" s="1"/>
  <c r="R369" i="5"/>
  <c r="R378" i="5" s="1"/>
  <c r="T357" i="5"/>
  <c r="U357" i="5" s="1"/>
  <c r="S357" i="5"/>
  <c r="R357" i="5"/>
  <c r="T340" i="5"/>
  <c r="U340" i="5" s="1"/>
  <c r="S340" i="5"/>
  <c r="R340" i="5"/>
  <c r="T299" i="5"/>
  <c r="U299" i="5" s="1"/>
  <c r="S299" i="5"/>
  <c r="R299" i="5"/>
  <c r="T291" i="5"/>
  <c r="U291" i="5" s="1"/>
  <c r="S291" i="5"/>
  <c r="R291" i="5"/>
  <c r="T264" i="5"/>
  <c r="U264" i="5" s="1"/>
  <c r="S264" i="5"/>
  <c r="R264" i="5"/>
  <c r="T249" i="5"/>
  <c r="U249" i="5" s="1"/>
  <c r="S249" i="5"/>
  <c r="R249" i="5"/>
  <c r="T219" i="5"/>
  <c r="U219" i="5" s="1"/>
  <c r="S219" i="5"/>
  <c r="R219" i="5"/>
  <c r="T214" i="5"/>
  <c r="U214" i="5" s="1"/>
  <c r="S214" i="5"/>
  <c r="R214" i="5"/>
  <c r="T202" i="5"/>
  <c r="U202" i="5" s="1"/>
  <c r="S202" i="5"/>
  <c r="R202" i="5"/>
  <c r="T63" i="5"/>
  <c r="U63" i="5" s="1"/>
  <c r="S63" i="5"/>
  <c r="R63" i="5"/>
  <c r="T61" i="5"/>
  <c r="U61" i="5" s="1"/>
  <c r="S61" i="5"/>
  <c r="R61" i="5"/>
  <c r="T57" i="5"/>
  <c r="U57" i="5" s="1"/>
  <c r="S57" i="5"/>
  <c r="R57" i="5"/>
  <c r="T335" i="5"/>
  <c r="R335" i="5"/>
  <c r="T243" i="5"/>
  <c r="R243" i="5"/>
  <c r="T231" i="5"/>
  <c r="R231" i="5"/>
  <c r="T186" i="5"/>
  <c r="R186" i="5"/>
  <c r="T122" i="5"/>
  <c r="R122" i="5"/>
  <c r="T62" i="5"/>
  <c r="R62" i="5"/>
  <c r="T278" i="5"/>
  <c r="U278" i="5" s="1"/>
  <c r="S278" i="5"/>
  <c r="R278" i="5"/>
  <c r="T184" i="5"/>
  <c r="U184" i="5" s="1"/>
  <c r="S184" i="5"/>
  <c r="R184" i="5"/>
  <c r="T58" i="5"/>
  <c r="U58" i="5" s="1"/>
  <c r="S58" i="5"/>
  <c r="R58" i="5"/>
  <c r="T13" i="5"/>
  <c r="U13" i="5" s="1"/>
  <c r="S13" i="5"/>
  <c r="R13" i="5"/>
  <c r="T12" i="5"/>
  <c r="U12" i="5" s="1"/>
  <c r="S12" i="5"/>
  <c r="R12" i="5"/>
  <c r="T11" i="5"/>
  <c r="U11" i="5" s="1"/>
  <c r="S11" i="5"/>
  <c r="R11" i="5"/>
  <c r="T10" i="5"/>
  <c r="U10" i="5" s="1"/>
  <c r="S10" i="5"/>
  <c r="R10" i="5"/>
  <c r="T9" i="5"/>
  <c r="U9" i="5" s="1"/>
  <c r="S9" i="5"/>
  <c r="R9" i="5"/>
  <c r="T8" i="5"/>
  <c r="U8" i="5" s="1"/>
  <c r="S8" i="5"/>
  <c r="R8" i="5"/>
  <c r="T56" i="5"/>
  <c r="U56" i="5" s="1"/>
  <c r="S56" i="5"/>
  <c r="R56" i="5"/>
  <c r="T55" i="5"/>
  <c r="U55" i="5" s="1"/>
  <c r="S55" i="5"/>
  <c r="R55" i="5"/>
  <c r="T54" i="5"/>
  <c r="U54" i="5" s="1"/>
  <c r="S54" i="5"/>
  <c r="R54" i="5"/>
  <c r="T53" i="5"/>
  <c r="U53" i="5" s="1"/>
  <c r="S53" i="5"/>
  <c r="R53" i="5"/>
  <c r="T51" i="5"/>
  <c r="U51" i="5" s="1"/>
  <c r="S51" i="5"/>
  <c r="R51" i="5"/>
  <c r="T49" i="5"/>
  <c r="U49" i="5" s="1"/>
  <c r="S49" i="5"/>
  <c r="R49" i="5"/>
  <c r="T43" i="5"/>
  <c r="S43" i="5"/>
  <c r="S64" i="5" s="1"/>
  <c r="R43" i="5"/>
  <c r="R64" i="5" s="1"/>
  <c r="T52" i="5"/>
  <c r="R52" i="5"/>
  <c r="T50" i="5"/>
  <c r="R50" i="5"/>
  <c r="T44" i="5"/>
  <c r="R44" i="5"/>
  <c r="T39" i="5"/>
  <c r="U39" i="5" s="1"/>
  <c r="S39" i="5"/>
  <c r="R39" i="5"/>
  <c r="T38" i="5"/>
  <c r="U38" i="5" s="1"/>
  <c r="S38" i="5"/>
  <c r="R38" i="5"/>
  <c r="T37" i="5"/>
  <c r="U37" i="5" s="1"/>
  <c r="S37" i="5"/>
  <c r="R37" i="5"/>
  <c r="T36" i="5"/>
  <c r="U36" i="5" s="1"/>
  <c r="S36" i="5"/>
  <c r="R36" i="5"/>
  <c r="T35" i="5"/>
  <c r="U35" i="5" s="1"/>
  <c r="S35" i="5"/>
  <c r="R35" i="5"/>
  <c r="T31" i="5"/>
  <c r="U31" i="5" s="1"/>
  <c r="S31" i="5"/>
  <c r="R31" i="5"/>
  <c r="T30" i="5"/>
  <c r="U30" i="5" s="1"/>
  <c r="S30" i="5"/>
  <c r="R30" i="5"/>
  <c r="T29" i="5"/>
  <c r="U29" i="5" s="1"/>
  <c r="S29" i="5"/>
  <c r="R29" i="5"/>
  <c r="T28" i="5"/>
  <c r="U28" i="5" s="1"/>
  <c r="S28" i="5"/>
  <c r="R28" i="5"/>
  <c r="T27" i="5"/>
  <c r="U27" i="5" s="1"/>
  <c r="S27" i="5"/>
  <c r="R27" i="5"/>
  <c r="T26" i="5"/>
  <c r="U26" i="5" s="1"/>
  <c r="S26" i="5"/>
  <c r="R26" i="5"/>
  <c r="T25" i="5"/>
  <c r="U25" i="5" s="1"/>
  <c r="S25" i="5"/>
  <c r="R25" i="5"/>
  <c r="T24" i="5"/>
  <c r="U24" i="5" s="1"/>
  <c r="S24" i="5"/>
  <c r="R24" i="5"/>
  <c r="T23" i="5"/>
  <c r="U23" i="5" s="1"/>
  <c r="S23" i="5"/>
  <c r="R23" i="5"/>
  <c r="T22" i="5"/>
  <c r="U22" i="5" s="1"/>
  <c r="S22" i="5"/>
  <c r="R22" i="5"/>
  <c r="T21" i="5"/>
  <c r="U21" i="5" s="1"/>
  <c r="S21" i="5"/>
  <c r="R21" i="5"/>
  <c r="T16" i="5"/>
  <c r="U16" i="5" s="1"/>
  <c r="S16" i="5"/>
  <c r="R16" i="5"/>
  <c r="T15" i="5"/>
  <c r="U15" i="5" s="1"/>
  <c r="S15" i="5"/>
  <c r="R15" i="5"/>
  <c r="T14" i="5"/>
  <c r="U14" i="5" s="1"/>
  <c r="S14" i="5"/>
  <c r="R14" i="5"/>
  <c r="T47" i="5"/>
  <c r="U47" i="5" s="1"/>
  <c r="S47" i="5"/>
  <c r="R47" i="5"/>
  <c r="T45" i="5"/>
  <c r="U45" i="5" s="1"/>
  <c r="S45" i="5"/>
  <c r="R45" i="5"/>
  <c r="T48" i="5"/>
  <c r="R48" i="5"/>
  <c r="T46" i="5"/>
  <c r="R46" i="5"/>
  <c r="T18" i="5"/>
  <c r="U18" i="5" s="1"/>
  <c r="S18" i="5"/>
  <c r="R18" i="5"/>
  <c r="T17" i="5"/>
  <c r="U17" i="5" s="1"/>
  <c r="S17" i="5"/>
  <c r="R17" i="5"/>
  <c r="T7" i="5"/>
  <c r="U7" i="5" s="1"/>
  <c r="S7" i="5"/>
  <c r="R7" i="5"/>
  <c r="T6" i="5"/>
  <c r="U6" i="5" s="1"/>
  <c r="S6" i="5"/>
  <c r="R6" i="5"/>
  <c r="Q40" i="5"/>
  <c r="T5" i="5"/>
  <c r="S5" i="5"/>
  <c r="S40" i="5" s="1"/>
  <c r="R5" i="5"/>
  <c r="R40" i="5" s="1"/>
  <c r="T59" i="5"/>
  <c r="U59" i="5" s="1"/>
  <c r="S59" i="5"/>
  <c r="R59" i="5"/>
  <c r="T98" i="6"/>
  <c r="R98" i="6"/>
  <c r="T95" i="6"/>
  <c r="R95" i="6"/>
  <c r="T94" i="6"/>
  <c r="R94" i="6"/>
  <c r="T93" i="6"/>
  <c r="R93" i="6"/>
  <c r="T92" i="6"/>
  <c r="R92" i="6"/>
  <c r="T91" i="6"/>
  <c r="R91" i="6"/>
  <c r="T90" i="6"/>
  <c r="R90" i="6"/>
  <c r="T86" i="6"/>
  <c r="R86" i="6"/>
  <c r="T76" i="6"/>
  <c r="R76" i="6"/>
  <c r="T70" i="6"/>
  <c r="R70" i="6"/>
  <c r="T69" i="6"/>
  <c r="R69" i="6"/>
  <c r="T68" i="6"/>
  <c r="R68" i="6"/>
  <c r="T67" i="6"/>
  <c r="R67" i="6"/>
  <c r="T66" i="6"/>
  <c r="R66" i="6"/>
  <c r="T53" i="6"/>
  <c r="R53" i="6"/>
  <c r="T11" i="6"/>
  <c r="R11" i="6"/>
  <c r="M80" i="4"/>
  <c r="J82" i="4" s="1"/>
  <c r="F38" i="9" s="1"/>
  <c r="N38" i="9" s="1"/>
  <c r="T48" i="6"/>
  <c r="R48" i="6"/>
  <c r="T46" i="6"/>
  <c r="R46" i="6"/>
  <c r="T44" i="6"/>
  <c r="R44" i="6"/>
  <c r="T42" i="6"/>
  <c r="R42" i="6"/>
  <c r="T40" i="6"/>
  <c r="R40" i="6"/>
  <c r="T38" i="6"/>
  <c r="R38" i="6"/>
  <c r="T36" i="6"/>
  <c r="R36" i="6"/>
  <c r="T34" i="6"/>
  <c r="R34" i="6"/>
  <c r="T32" i="6"/>
  <c r="R32" i="6"/>
  <c r="T30" i="6"/>
  <c r="R30" i="6"/>
  <c r="T28" i="6"/>
  <c r="R28" i="6"/>
  <c r="T26" i="6"/>
  <c r="R26" i="6"/>
  <c r="T20" i="6"/>
  <c r="R20" i="6"/>
  <c r="T16" i="6"/>
  <c r="R16" i="6"/>
  <c r="Q100" i="6"/>
  <c r="T5" i="6"/>
  <c r="R5" i="6"/>
  <c r="R100" i="6" s="1"/>
  <c r="T78" i="6"/>
  <c r="R78" i="6"/>
  <c r="T52" i="6"/>
  <c r="R52" i="6"/>
  <c r="T51" i="6"/>
  <c r="R51" i="6"/>
  <c r="T50" i="6"/>
  <c r="R50" i="6"/>
  <c r="T47" i="6"/>
  <c r="R47" i="6"/>
  <c r="T45" i="6"/>
  <c r="R45" i="6"/>
  <c r="T43" i="6"/>
  <c r="R43" i="6"/>
  <c r="T41" i="6"/>
  <c r="R41" i="6"/>
  <c r="T39" i="6"/>
  <c r="R39" i="6"/>
  <c r="T37" i="6"/>
  <c r="R37" i="6"/>
  <c r="T35" i="6"/>
  <c r="R35" i="6"/>
  <c r="T33" i="6"/>
  <c r="R33" i="6"/>
  <c r="T31" i="6"/>
  <c r="R31" i="6"/>
  <c r="T29" i="6"/>
  <c r="R29" i="6"/>
  <c r="T27" i="6"/>
  <c r="R27" i="6"/>
  <c r="T25" i="6"/>
  <c r="R25" i="6"/>
  <c r="T19" i="6"/>
  <c r="R19" i="6"/>
  <c r="T15" i="6"/>
  <c r="R15" i="6"/>
  <c r="T85" i="6"/>
  <c r="R85" i="6"/>
  <c r="T84" i="6"/>
  <c r="R84" i="6"/>
  <c r="T83" i="6"/>
  <c r="R83" i="6"/>
  <c r="T75" i="6"/>
  <c r="R75" i="6"/>
  <c r="T74" i="6"/>
  <c r="R74" i="6"/>
  <c r="T73" i="6"/>
  <c r="R73" i="6"/>
  <c r="T62" i="6"/>
  <c r="R62" i="6"/>
  <c r="T61" i="6"/>
  <c r="R61" i="6"/>
  <c r="T22" i="6"/>
  <c r="R22" i="6"/>
  <c r="T21" i="6"/>
  <c r="R21" i="6"/>
  <c r="T12" i="6"/>
  <c r="R12" i="6"/>
  <c r="T96" i="6"/>
  <c r="R96" i="6"/>
  <c r="T87" i="6"/>
  <c r="R87" i="6"/>
  <c r="T77" i="6"/>
  <c r="R77" i="6"/>
  <c r="T60" i="6"/>
  <c r="R60" i="6"/>
  <c r="T56" i="6"/>
  <c r="R56" i="6"/>
  <c r="T55" i="6"/>
  <c r="R55" i="6"/>
  <c r="T18" i="6"/>
  <c r="R18" i="6"/>
  <c r="T17" i="6"/>
  <c r="R17" i="6"/>
  <c r="T14" i="6"/>
  <c r="R14" i="6"/>
  <c r="T9" i="6"/>
  <c r="R9" i="6"/>
  <c r="T8" i="6"/>
  <c r="R8" i="6"/>
  <c r="T7" i="6"/>
  <c r="R7" i="6"/>
  <c r="T89" i="6"/>
  <c r="R89" i="6"/>
  <c r="T88" i="6"/>
  <c r="R88" i="6"/>
  <c r="T81" i="6"/>
  <c r="R81" i="6"/>
  <c r="T80" i="6"/>
  <c r="R80" i="6"/>
  <c r="T65" i="6"/>
  <c r="R65" i="6"/>
  <c r="T64" i="6"/>
  <c r="R64" i="6"/>
  <c r="T24" i="6"/>
  <c r="R24" i="6"/>
  <c r="T99" i="6"/>
  <c r="R99" i="6"/>
  <c r="T97" i="6"/>
  <c r="R97" i="6"/>
  <c r="T82" i="6"/>
  <c r="R82" i="6"/>
  <c r="T79" i="6"/>
  <c r="R79" i="6"/>
  <c r="T72" i="6"/>
  <c r="R72" i="6"/>
  <c r="T71" i="6"/>
  <c r="R71" i="6"/>
  <c r="T63" i="6"/>
  <c r="R63" i="6"/>
  <c r="T59" i="6"/>
  <c r="R59" i="6"/>
  <c r="T58" i="6"/>
  <c r="R58" i="6"/>
  <c r="T57" i="6"/>
  <c r="R57" i="6"/>
  <c r="T54" i="6"/>
  <c r="R54" i="6"/>
  <c r="T49" i="6"/>
  <c r="R49" i="6"/>
  <c r="T23" i="6"/>
  <c r="R23" i="6"/>
  <c r="T13" i="6"/>
  <c r="R13" i="6"/>
  <c r="T10" i="6"/>
  <c r="R10" i="6"/>
  <c r="T6" i="6"/>
  <c r="R6" i="6"/>
  <c r="T110" i="7"/>
  <c r="R110" i="7"/>
  <c r="M107" i="4"/>
  <c r="T98" i="7"/>
  <c r="R98" i="7"/>
  <c r="T95" i="7"/>
  <c r="R95" i="7"/>
  <c r="T94" i="7"/>
  <c r="R94" i="7"/>
  <c r="T93" i="7"/>
  <c r="R93" i="7"/>
  <c r="T92" i="7"/>
  <c r="R92" i="7"/>
  <c r="T91" i="7"/>
  <c r="R91" i="7"/>
  <c r="T90" i="7"/>
  <c r="R90" i="7"/>
  <c r="T86" i="7"/>
  <c r="R86" i="7"/>
  <c r="T76" i="7"/>
  <c r="R76" i="7"/>
  <c r="T70" i="7"/>
  <c r="R70" i="7"/>
  <c r="T69" i="7"/>
  <c r="R69" i="7"/>
  <c r="T68" i="7"/>
  <c r="R68" i="7"/>
  <c r="T67" i="7"/>
  <c r="R67" i="7"/>
  <c r="T66" i="7"/>
  <c r="R66" i="7"/>
  <c r="T53" i="7"/>
  <c r="R53" i="7"/>
  <c r="T11" i="7"/>
  <c r="R11" i="7"/>
  <c r="T133" i="7"/>
  <c r="R133" i="7"/>
  <c r="T132" i="7"/>
  <c r="R132" i="7"/>
  <c r="T128" i="7"/>
  <c r="R128" i="7"/>
  <c r="T125" i="7"/>
  <c r="R125" i="7"/>
  <c r="T122" i="7"/>
  <c r="R122" i="7"/>
  <c r="T118" i="7"/>
  <c r="R118" i="7"/>
  <c r="T115" i="7"/>
  <c r="R115" i="7"/>
  <c r="T113" i="7"/>
  <c r="R113" i="7"/>
  <c r="T48" i="7"/>
  <c r="R48" i="7"/>
  <c r="T46" i="7"/>
  <c r="R46" i="7"/>
  <c r="T44" i="7"/>
  <c r="R44" i="7"/>
  <c r="T42" i="7"/>
  <c r="R42" i="7"/>
  <c r="T40" i="7"/>
  <c r="R40" i="7"/>
  <c r="T38" i="7"/>
  <c r="R38" i="7"/>
  <c r="T36" i="7"/>
  <c r="R36" i="7"/>
  <c r="T34" i="7"/>
  <c r="R34" i="7"/>
  <c r="T32" i="7"/>
  <c r="R32" i="7"/>
  <c r="T30" i="7"/>
  <c r="R30" i="7"/>
  <c r="T28" i="7"/>
  <c r="R28" i="7"/>
  <c r="T26" i="7"/>
  <c r="R26" i="7"/>
  <c r="T20" i="7"/>
  <c r="R20" i="7"/>
  <c r="T16" i="7"/>
  <c r="R16" i="7"/>
  <c r="T105" i="7"/>
  <c r="R105" i="7"/>
  <c r="Q100" i="7"/>
  <c r="T5" i="7"/>
  <c r="R5" i="7"/>
  <c r="R100" i="7" s="1"/>
  <c r="T106" i="7"/>
  <c r="R106" i="7"/>
  <c r="T78" i="7"/>
  <c r="R78" i="7"/>
  <c r="T138" i="7"/>
  <c r="R138" i="7"/>
  <c r="T137" i="7"/>
  <c r="R137" i="7"/>
  <c r="T52" i="7"/>
  <c r="R52" i="7"/>
  <c r="T51" i="7"/>
  <c r="R51" i="7"/>
  <c r="T50" i="7"/>
  <c r="R50" i="7"/>
  <c r="T134" i="7"/>
  <c r="R134" i="7"/>
  <c r="T131" i="7"/>
  <c r="R131" i="7"/>
  <c r="T129" i="7"/>
  <c r="R129" i="7"/>
  <c r="T127" i="7"/>
  <c r="R127" i="7"/>
  <c r="T126" i="7"/>
  <c r="R126" i="7"/>
  <c r="T124" i="7"/>
  <c r="R124" i="7"/>
  <c r="T121" i="7"/>
  <c r="R121" i="7"/>
  <c r="T117" i="7"/>
  <c r="R117" i="7"/>
  <c r="T116" i="7"/>
  <c r="R116" i="7"/>
  <c r="T114" i="7"/>
  <c r="R114" i="7"/>
  <c r="T112" i="7"/>
  <c r="R112" i="7"/>
  <c r="T47" i="7"/>
  <c r="R47" i="7"/>
  <c r="T45" i="7"/>
  <c r="R45" i="7"/>
  <c r="T43" i="7"/>
  <c r="R43" i="7"/>
  <c r="T41" i="7"/>
  <c r="R41" i="7"/>
  <c r="T39" i="7"/>
  <c r="R39" i="7"/>
  <c r="T37" i="7"/>
  <c r="R37" i="7"/>
  <c r="T35" i="7"/>
  <c r="R35" i="7"/>
  <c r="T33" i="7"/>
  <c r="R33" i="7"/>
  <c r="T31" i="7"/>
  <c r="R31" i="7"/>
  <c r="T29" i="7"/>
  <c r="R29" i="7"/>
  <c r="T27" i="7"/>
  <c r="R27" i="7"/>
  <c r="T25" i="7"/>
  <c r="R25" i="7"/>
  <c r="T19" i="7"/>
  <c r="R19" i="7"/>
  <c r="T15" i="7"/>
  <c r="R15" i="7"/>
  <c r="T85" i="7"/>
  <c r="R85" i="7"/>
  <c r="T84" i="7"/>
  <c r="R84" i="7"/>
  <c r="T83" i="7"/>
  <c r="R83" i="7"/>
  <c r="T75" i="7"/>
  <c r="R75" i="7"/>
  <c r="T74" i="7"/>
  <c r="R74" i="7"/>
  <c r="T73" i="7"/>
  <c r="R73" i="7"/>
  <c r="T62" i="7"/>
  <c r="R62" i="7"/>
  <c r="T61" i="7"/>
  <c r="R61" i="7"/>
  <c r="T22" i="7"/>
  <c r="R22" i="7"/>
  <c r="T21" i="7"/>
  <c r="R21" i="7"/>
  <c r="T12" i="7"/>
  <c r="R12" i="7"/>
  <c r="T123" i="7"/>
  <c r="R123" i="7"/>
  <c r="T120" i="7"/>
  <c r="R120" i="7"/>
  <c r="T119" i="7"/>
  <c r="R119" i="7"/>
  <c r="T96" i="7"/>
  <c r="R96" i="7"/>
  <c r="T87" i="7"/>
  <c r="R87" i="7"/>
  <c r="T77" i="7"/>
  <c r="R77" i="7"/>
  <c r="T60" i="7"/>
  <c r="R60" i="7"/>
  <c r="T56" i="7"/>
  <c r="R56" i="7"/>
  <c r="T55" i="7"/>
  <c r="R55" i="7"/>
  <c r="T18" i="7"/>
  <c r="R18" i="7"/>
  <c r="T17" i="7"/>
  <c r="R17" i="7"/>
  <c r="T14" i="7"/>
  <c r="R14" i="7"/>
  <c r="T9" i="7"/>
  <c r="R9" i="7"/>
  <c r="T8" i="7"/>
  <c r="R8" i="7"/>
  <c r="T7" i="7"/>
  <c r="R7" i="7"/>
  <c r="T136" i="7"/>
  <c r="R136" i="7"/>
  <c r="T135" i="7"/>
  <c r="R135" i="7"/>
  <c r="T109" i="7"/>
  <c r="R109" i="7"/>
  <c r="T89" i="7"/>
  <c r="R89" i="7"/>
  <c r="T88" i="7"/>
  <c r="R88" i="7"/>
  <c r="T81" i="7"/>
  <c r="R81" i="7"/>
  <c r="T80" i="7"/>
  <c r="R80" i="7"/>
  <c r="T65" i="7"/>
  <c r="R65" i="7"/>
  <c r="T64" i="7"/>
  <c r="R64" i="7"/>
  <c r="T24" i="7"/>
  <c r="R24" i="7"/>
  <c r="T141" i="7"/>
  <c r="R141" i="7"/>
  <c r="T140" i="7"/>
  <c r="R140" i="7"/>
  <c r="T139" i="7"/>
  <c r="R139" i="7"/>
  <c r="T130" i="7"/>
  <c r="R130" i="7"/>
  <c r="T111" i="7"/>
  <c r="R111" i="7"/>
  <c r="T108" i="7"/>
  <c r="R108" i="7"/>
  <c r="T107" i="7"/>
  <c r="R107" i="7"/>
  <c r="Q142" i="7"/>
  <c r="T104" i="7"/>
  <c r="R104" i="7"/>
  <c r="R142" i="7" s="1"/>
  <c r="T99" i="7"/>
  <c r="R99" i="7"/>
  <c r="T97" i="7"/>
  <c r="R97" i="7"/>
  <c r="T82" i="7"/>
  <c r="R82" i="7"/>
  <c r="T79" i="7"/>
  <c r="R79" i="7"/>
  <c r="T72" i="7"/>
  <c r="R72" i="7"/>
  <c r="T71" i="7"/>
  <c r="R71" i="7"/>
  <c r="T63" i="7"/>
  <c r="R63" i="7"/>
  <c r="T59" i="7"/>
  <c r="R59" i="7"/>
  <c r="T58" i="7"/>
  <c r="R58" i="7"/>
  <c r="T57" i="7"/>
  <c r="R57" i="7"/>
  <c r="T54" i="7"/>
  <c r="R54" i="7"/>
  <c r="T49" i="7"/>
  <c r="R49" i="7"/>
  <c r="T23" i="7"/>
  <c r="R23" i="7"/>
  <c r="T13" i="7"/>
  <c r="R13" i="7"/>
  <c r="T10" i="7"/>
  <c r="R10" i="7"/>
  <c r="T6" i="7"/>
  <c r="R6" i="7"/>
  <c r="T142" i="7" l="1"/>
  <c r="P142" i="7" s="1"/>
  <c r="T100" i="7"/>
  <c r="P100" i="7" s="1"/>
  <c r="T100" i="6"/>
  <c r="P100" i="6" s="1"/>
  <c r="T40" i="5"/>
  <c r="P40" i="5" s="1"/>
  <c r="U5" i="5"/>
  <c r="U40" i="5" s="1"/>
  <c r="U43" i="5"/>
  <c r="T64" i="5"/>
  <c r="P64" i="5" s="1"/>
  <c r="T378" i="5"/>
  <c r="P378" i="5" s="1"/>
  <c r="U369" i="5"/>
  <c r="U378" i="5" s="1"/>
  <c r="T469" i="5"/>
  <c r="P469" i="5" s="1"/>
  <c r="U431" i="5"/>
  <c r="U469" i="5" s="1"/>
  <c r="T197" i="5"/>
  <c r="P197" i="5" s="1"/>
  <c r="U165" i="5"/>
  <c r="U197" i="5" s="1"/>
  <c r="T578" i="5"/>
  <c r="P578" i="5" s="1"/>
  <c r="U566" i="5"/>
  <c r="U578" i="5" s="1"/>
  <c r="U472" i="5"/>
  <c r="U487" i="5" s="1"/>
  <c r="T487" i="5"/>
  <c r="P487" i="5" s="1"/>
  <c r="T549" i="5"/>
  <c r="P549" i="5" s="1"/>
  <c r="U538" i="5"/>
  <c r="U549" i="5" s="1"/>
  <c r="T507" i="5"/>
  <c r="P507" i="5" s="1"/>
  <c r="U489" i="5"/>
  <c r="U507" i="5" s="1"/>
  <c r="T522" i="5"/>
  <c r="P522" i="5" s="1"/>
  <c r="U509" i="5"/>
  <c r="U522" i="5" s="1"/>
  <c r="T536" i="5"/>
  <c r="P536" i="5" s="1"/>
  <c r="U524" i="5"/>
  <c r="U536" i="5" s="1"/>
  <c r="T564" i="5"/>
  <c r="P564" i="5" s="1"/>
  <c r="U551" i="5"/>
  <c r="U564" i="5" s="1"/>
  <c r="T394" i="5"/>
  <c r="P394" i="5" s="1"/>
  <c r="U382" i="5"/>
  <c r="U394" i="5" s="1"/>
  <c r="T367" i="5"/>
  <c r="P367" i="5" s="1"/>
  <c r="U355" i="5"/>
  <c r="U367" i="5" s="1"/>
  <c r="T209" i="5"/>
  <c r="P209" i="5" s="1"/>
  <c r="U199" i="5"/>
  <c r="U209" i="5" s="1"/>
  <c r="T220" i="5"/>
  <c r="P220" i="5" s="1"/>
  <c r="U211" i="5"/>
  <c r="U220" i="5" s="1"/>
  <c r="T232" i="5"/>
  <c r="P232" i="5" s="1"/>
  <c r="U222" i="5"/>
  <c r="U232" i="5" s="1"/>
  <c r="T246" i="5"/>
  <c r="P246" i="5" s="1"/>
  <c r="U234" i="5"/>
  <c r="U246" i="5" s="1"/>
  <c r="T261" i="5"/>
  <c r="P261" i="5" s="1"/>
  <c r="U248" i="5"/>
  <c r="U261" i="5" s="1"/>
  <c r="T275" i="5"/>
  <c r="P275" i="5" s="1"/>
  <c r="U263" i="5"/>
  <c r="U275" i="5" s="1"/>
  <c r="T296" i="5"/>
  <c r="P296" i="5" s="1"/>
  <c r="U277" i="5"/>
  <c r="U296" i="5" s="1"/>
  <c r="T308" i="5"/>
  <c r="P308" i="5" s="1"/>
  <c r="U298" i="5"/>
  <c r="U308" i="5" s="1"/>
  <c r="T321" i="5"/>
  <c r="P321" i="5" s="1"/>
  <c r="U310" i="5"/>
  <c r="U321" i="5" s="1"/>
  <c r="T336" i="5"/>
  <c r="P336" i="5" s="1"/>
  <c r="U323" i="5"/>
  <c r="U336" i="5" s="1"/>
  <c r="T353" i="5"/>
  <c r="P353" i="5" s="1"/>
  <c r="U338" i="5"/>
  <c r="U353" i="5" s="1"/>
  <c r="T163" i="5"/>
  <c r="P163" i="5" s="1"/>
  <c r="U66" i="5"/>
  <c r="U163" i="5" s="1"/>
  <c r="T429" i="5"/>
  <c r="P429" i="5" s="1"/>
  <c r="U396" i="5"/>
  <c r="U429" i="5" s="1"/>
  <c r="M112" i="4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D5" i="17"/>
  <c r="L9" i="11"/>
  <c r="D7" i="17"/>
  <c r="L33" i="15"/>
  <c r="D6" i="17"/>
  <c r="L18" i="13"/>
  <c r="U64" i="5"/>
  <c r="C34" i="2" l="1"/>
  <c r="C33" i="2"/>
  <c r="C32" i="2"/>
  <c r="C31" i="2"/>
  <c r="C30" i="2"/>
  <c r="C29" i="2"/>
  <c r="C28" i="2"/>
  <c r="B35" i="2" s="1"/>
  <c r="C43" i="2"/>
  <c r="G47" i="2" s="1"/>
  <c r="C42" i="2"/>
  <c r="E47" i="2" s="1"/>
  <c r="C41" i="2"/>
  <c r="E34" i="2"/>
  <c r="E33" i="2"/>
  <c r="E32" i="2"/>
  <c r="E31" i="2"/>
  <c r="E30" i="2"/>
  <c r="E29" i="2"/>
  <c r="E28" i="2"/>
  <c r="D35" i="2" s="1"/>
  <c r="E43" i="2"/>
  <c r="G48" i="2" s="1"/>
  <c r="E42" i="2"/>
  <c r="E48" i="2" s="1"/>
  <c r="E41" i="2"/>
  <c r="G34" i="2"/>
  <c r="G33" i="2"/>
  <c r="G32" i="2"/>
  <c r="G31" i="2"/>
  <c r="G30" i="2"/>
  <c r="G29" i="2"/>
  <c r="G28" i="2"/>
  <c r="F35" i="2" s="1"/>
  <c r="G43" i="2"/>
  <c r="G49" i="2" s="1"/>
  <c r="G42" i="2"/>
  <c r="E49" i="2" s="1"/>
  <c r="G41" i="2"/>
  <c r="I34" i="2"/>
  <c r="I33" i="2"/>
  <c r="I32" i="2"/>
  <c r="I31" i="2"/>
  <c r="I30" i="2"/>
  <c r="I29" i="2"/>
  <c r="I28" i="2"/>
  <c r="H35" i="2" s="1"/>
  <c r="I43" i="2"/>
  <c r="G51" i="2" s="1"/>
  <c r="I42" i="2"/>
  <c r="E51" i="2" s="1"/>
  <c r="I41" i="2"/>
  <c r="K34" i="2"/>
  <c r="K33" i="2"/>
  <c r="K32" i="2"/>
  <c r="K31" i="2"/>
  <c r="K30" i="2"/>
  <c r="K29" i="2"/>
  <c r="K28" i="2"/>
  <c r="J35" i="2" s="1"/>
  <c r="K43" i="2"/>
  <c r="G52" i="2" s="1"/>
  <c r="K42" i="2"/>
  <c r="E52" i="2" s="1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O37" i="2" l="1"/>
  <c r="N39" i="2" s="1"/>
  <c r="M37" i="2"/>
  <c r="L39" i="2" s="1"/>
  <c r="K37" i="2"/>
  <c r="J39" i="2" s="1"/>
  <c r="C52" i="2" s="1"/>
  <c r="I37" i="2"/>
  <c r="H39" i="2" s="1"/>
  <c r="C51" i="2" s="1"/>
  <c r="G37" i="2"/>
  <c r="F39" i="2" s="1"/>
  <c r="C49" i="2" s="1"/>
  <c r="E37" i="2"/>
  <c r="D39" i="2" s="1"/>
  <c r="C48" i="2" s="1"/>
  <c r="C37" i="2"/>
  <c r="B39" i="2" s="1"/>
  <c r="C47" i="2" s="1"/>
  <c r="I45" i="9"/>
  <c r="K45" i="9"/>
  <c r="P45" i="9"/>
  <c r="G45" i="9"/>
  <c r="H45" i="9"/>
  <c r="L45" i="9"/>
  <c r="Q45" i="9"/>
  <c r="I44" i="9"/>
  <c r="K44" i="9"/>
  <c r="P44" i="9"/>
  <c r="G44" i="9"/>
  <c r="H44" i="9"/>
  <c r="L44" i="9"/>
  <c r="Q44" i="9"/>
  <c r="I43" i="9"/>
  <c r="K43" i="9"/>
  <c r="P43" i="9"/>
  <c r="P46" i="9"/>
  <c r="G43" i="9"/>
  <c r="H43" i="9"/>
  <c r="L43" i="9"/>
  <c r="Q43" i="9"/>
  <c r="Q46" i="9"/>
  <c r="I38" i="9"/>
  <c r="K38" i="9"/>
  <c r="P38" i="9"/>
  <c r="P39" i="9"/>
  <c r="G38" i="9"/>
  <c r="H38" i="9"/>
  <c r="L38" i="9"/>
  <c r="Q38" i="9"/>
  <c r="Q39" i="9"/>
  <c r="C50" i="2"/>
  <c r="B53" i="2"/>
  <c r="H19" i="3"/>
  <c r="J27" i="4"/>
  <c r="I26" i="8"/>
  <c r="H33" i="3"/>
  <c r="J50" i="4"/>
  <c r="I49" i="8"/>
  <c r="H58" i="3"/>
  <c r="J56" i="4"/>
  <c r="I55" i="8"/>
  <c r="H61" i="3"/>
  <c r="J59" i="4"/>
  <c r="I58" i="8"/>
  <c r="J62" i="4"/>
  <c r="I61" i="8"/>
  <c r="M33" i="9"/>
  <c r="N62" i="4"/>
  <c r="J65" i="4"/>
  <c r="F33" i="9"/>
  <c r="N33" i="9"/>
  <c r="O33" i="9"/>
  <c r="R33" i="9"/>
  <c r="S33" i="9"/>
  <c r="G31" i="10"/>
  <c r="H31" i="10"/>
  <c r="I33" i="9"/>
  <c r="K33" i="9"/>
  <c r="P33" i="9"/>
  <c r="E31" i="10"/>
  <c r="G33" i="9"/>
  <c r="H33" i="9"/>
  <c r="L33" i="9"/>
  <c r="Q33" i="9"/>
  <c r="F31" i="10"/>
  <c r="M32" i="9"/>
  <c r="F32" i="9"/>
  <c r="N32" i="9"/>
  <c r="O32" i="9"/>
  <c r="R32" i="9"/>
  <c r="S32" i="9"/>
  <c r="G30" i="10"/>
  <c r="H30" i="10"/>
  <c r="I32" i="9"/>
  <c r="K32" i="9"/>
  <c r="P32" i="9"/>
  <c r="E30" i="10"/>
  <c r="G32" i="9"/>
  <c r="H32" i="9"/>
  <c r="L32" i="9"/>
  <c r="Q32" i="9"/>
  <c r="F30" i="10"/>
  <c r="M31" i="9"/>
  <c r="F31" i="9"/>
  <c r="N31" i="9"/>
  <c r="O31" i="9"/>
  <c r="R31" i="9"/>
  <c r="S31" i="9"/>
  <c r="G29" i="10"/>
  <c r="H29" i="10"/>
  <c r="I31" i="9"/>
  <c r="K31" i="9"/>
  <c r="P31" i="9"/>
  <c r="E29" i="10"/>
  <c r="G31" i="9"/>
  <c r="H31" i="9"/>
  <c r="L31" i="9"/>
  <c r="Q31" i="9"/>
  <c r="F29" i="10"/>
  <c r="M30" i="9"/>
  <c r="F30" i="9"/>
  <c r="N30" i="9"/>
  <c r="O30" i="9"/>
  <c r="R30" i="9"/>
  <c r="S30" i="9"/>
  <c r="G28" i="10"/>
  <c r="H28" i="10"/>
  <c r="I30" i="9"/>
  <c r="K30" i="9"/>
  <c r="P30" i="9"/>
  <c r="E28" i="10"/>
  <c r="G30" i="9"/>
  <c r="H30" i="9"/>
  <c r="L30" i="9"/>
  <c r="Q30" i="9"/>
  <c r="F28" i="10"/>
  <c r="M29" i="9"/>
  <c r="F29" i="9"/>
  <c r="N29" i="9"/>
  <c r="O29" i="9"/>
  <c r="R29" i="9"/>
  <c r="S29" i="9"/>
  <c r="G27" i="10"/>
  <c r="H27" i="10"/>
  <c r="I29" i="9"/>
  <c r="K29" i="9"/>
  <c r="P29" i="9"/>
  <c r="E27" i="10"/>
  <c r="G29" i="9"/>
  <c r="H29" i="9"/>
  <c r="L29" i="9"/>
  <c r="Q29" i="9"/>
  <c r="F27" i="10"/>
  <c r="M28" i="9"/>
  <c r="F28" i="9"/>
  <c r="N28" i="9"/>
  <c r="O28" i="9"/>
  <c r="R28" i="9"/>
  <c r="S28" i="9"/>
  <c r="G26" i="10"/>
  <c r="H26" i="10"/>
  <c r="I28" i="9"/>
  <c r="K28" i="9"/>
  <c r="P28" i="9"/>
  <c r="E26" i="10"/>
  <c r="G28" i="9"/>
  <c r="H28" i="9"/>
  <c r="L28" i="9"/>
  <c r="Q28" i="9"/>
  <c r="F26" i="10"/>
  <c r="M27" i="9"/>
  <c r="F27" i="9"/>
  <c r="N27" i="9"/>
  <c r="O27" i="9"/>
  <c r="R27" i="9"/>
  <c r="S27" i="9"/>
  <c r="G25" i="10"/>
  <c r="H25" i="10"/>
  <c r="I27" i="9"/>
  <c r="K27" i="9"/>
  <c r="P27" i="9"/>
  <c r="E25" i="10"/>
  <c r="G27" i="9"/>
  <c r="H27" i="9"/>
  <c r="L27" i="9"/>
  <c r="Q27" i="9"/>
  <c r="F25" i="10"/>
  <c r="M26" i="9"/>
  <c r="F26" i="9"/>
  <c r="N26" i="9"/>
  <c r="O26" i="9"/>
  <c r="R26" i="9"/>
  <c r="S26" i="9"/>
  <c r="I26" i="9"/>
  <c r="K26" i="9"/>
  <c r="P26" i="9"/>
  <c r="E24" i="10"/>
  <c r="G26" i="9"/>
  <c r="H26" i="9"/>
  <c r="L26" i="9"/>
  <c r="Q26" i="9"/>
  <c r="F24" i="10"/>
  <c r="M25" i="9"/>
  <c r="F25" i="9"/>
  <c r="N25" i="9"/>
  <c r="O25" i="9"/>
  <c r="R25" i="9"/>
  <c r="S25" i="9"/>
  <c r="G23" i="10"/>
  <c r="H23" i="10"/>
  <c r="I25" i="9"/>
  <c r="K25" i="9"/>
  <c r="P25" i="9"/>
  <c r="E23" i="10"/>
  <c r="G25" i="9"/>
  <c r="H25" i="9"/>
  <c r="L25" i="9"/>
  <c r="Q25" i="9"/>
  <c r="F23" i="10"/>
  <c r="M24" i="9"/>
  <c r="F24" i="9"/>
  <c r="N24" i="9"/>
  <c r="O24" i="9"/>
  <c r="R24" i="9"/>
  <c r="S24" i="9"/>
  <c r="G22" i="10"/>
  <c r="H22" i="10"/>
  <c r="I24" i="9"/>
  <c r="K24" i="9"/>
  <c r="P24" i="9"/>
  <c r="E22" i="10"/>
  <c r="G24" i="9"/>
  <c r="H24" i="9"/>
  <c r="L24" i="9"/>
  <c r="Q24" i="9"/>
  <c r="F22" i="10"/>
  <c r="M23" i="9"/>
  <c r="F23" i="9"/>
  <c r="N23" i="9"/>
  <c r="O23" i="9"/>
  <c r="R23" i="9"/>
  <c r="S23" i="9"/>
  <c r="I23" i="9"/>
  <c r="K23" i="9"/>
  <c r="P23" i="9"/>
  <c r="E21" i="10"/>
  <c r="G23" i="9"/>
  <c r="H23" i="9"/>
  <c r="L23" i="9"/>
  <c r="Q23" i="9"/>
  <c r="F21" i="10"/>
  <c r="M22" i="9"/>
  <c r="F22" i="9"/>
  <c r="N22" i="9"/>
  <c r="O22" i="9"/>
  <c r="R22" i="9"/>
  <c r="S22" i="9"/>
  <c r="G20" i="10"/>
  <c r="H20" i="10"/>
  <c r="I22" i="9"/>
  <c r="K22" i="9"/>
  <c r="P22" i="9"/>
  <c r="E20" i="10"/>
  <c r="G22" i="9"/>
  <c r="H22" i="9"/>
  <c r="L22" i="9"/>
  <c r="Q22" i="9"/>
  <c r="F20" i="10"/>
  <c r="M21" i="9"/>
  <c r="F21" i="9"/>
  <c r="N21" i="9"/>
  <c r="O21" i="9"/>
  <c r="R21" i="9"/>
  <c r="S21" i="9"/>
  <c r="G19" i="10"/>
  <c r="H19" i="10"/>
  <c r="I21" i="9"/>
  <c r="K21" i="9"/>
  <c r="P21" i="9"/>
  <c r="E19" i="10"/>
  <c r="G21" i="9"/>
  <c r="H21" i="9"/>
  <c r="L21" i="9"/>
  <c r="Q21" i="9"/>
  <c r="F19" i="10"/>
  <c r="M20" i="9"/>
  <c r="F20" i="9"/>
  <c r="N20" i="9"/>
  <c r="O20" i="9"/>
  <c r="R20" i="9"/>
  <c r="S20" i="9"/>
  <c r="G18" i="10"/>
  <c r="H18" i="10"/>
  <c r="I20" i="9"/>
  <c r="K20" i="9"/>
  <c r="P20" i="9"/>
  <c r="E18" i="10"/>
  <c r="G20" i="9"/>
  <c r="H20" i="9"/>
  <c r="L20" i="9"/>
  <c r="Q20" i="9"/>
  <c r="F18" i="10"/>
  <c r="M19" i="9"/>
  <c r="F19" i="9"/>
  <c r="N19" i="9"/>
  <c r="O19" i="9"/>
  <c r="R19" i="9"/>
  <c r="S19" i="9"/>
  <c r="G17" i="10"/>
  <c r="H17" i="10"/>
  <c r="I19" i="9"/>
  <c r="K19" i="9"/>
  <c r="P19" i="9"/>
  <c r="E17" i="10"/>
  <c r="G19" i="9"/>
  <c r="H19" i="9"/>
  <c r="L19" i="9"/>
  <c r="Q19" i="9"/>
  <c r="F17" i="10"/>
  <c r="M18" i="9"/>
  <c r="F18" i="9"/>
  <c r="N18" i="9"/>
  <c r="O18" i="9"/>
  <c r="R18" i="9"/>
  <c r="S18" i="9"/>
  <c r="G16" i="10"/>
  <c r="H16" i="10"/>
  <c r="I18" i="9"/>
  <c r="K18" i="9"/>
  <c r="P18" i="9"/>
  <c r="E16" i="10"/>
  <c r="G18" i="9"/>
  <c r="H18" i="9"/>
  <c r="L18" i="9"/>
  <c r="Q18" i="9"/>
  <c r="F16" i="10"/>
  <c r="M17" i="9"/>
  <c r="F17" i="9"/>
  <c r="N17" i="9"/>
  <c r="O17" i="9"/>
  <c r="R17" i="9"/>
  <c r="S17" i="9"/>
  <c r="G15" i="10"/>
  <c r="H15" i="10"/>
  <c r="I17" i="9"/>
  <c r="K17" i="9"/>
  <c r="P17" i="9"/>
  <c r="E15" i="10"/>
  <c r="G17" i="9"/>
  <c r="H17" i="9"/>
  <c r="L17" i="9"/>
  <c r="Q17" i="9"/>
  <c r="F15" i="10"/>
  <c r="M16" i="9"/>
  <c r="F16" i="9"/>
  <c r="N16" i="9"/>
  <c r="O16" i="9"/>
  <c r="R16" i="9"/>
  <c r="S16" i="9"/>
  <c r="G14" i="10"/>
  <c r="H14" i="10"/>
  <c r="I16" i="9"/>
  <c r="K16" i="9"/>
  <c r="P16" i="9"/>
  <c r="E14" i="10"/>
  <c r="G16" i="9"/>
  <c r="H16" i="9"/>
  <c r="L16" i="9"/>
  <c r="Q16" i="9"/>
  <c r="F14" i="10"/>
  <c r="M15" i="9"/>
  <c r="F15" i="9"/>
  <c r="N15" i="9"/>
  <c r="O15" i="9"/>
  <c r="R15" i="9"/>
  <c r="S15" i="9"/>
  <c r="G13" i="10"/>
  <c r="H13" i="10"/>
  <c r="I15" i="9"/>
  <c r="K15" i="9"/>
  <c r="P15" i="9"/>
  <c r="E13" i="10"/>
  <c r="G15" i="9"/>
  <c r="H15" i="9"/>
  <c r="L15" i="9"/>
  <c r="Q15" i="9"/>
  <c r="F13" i="10"/>
  <c r="M14" i="9"/>
  <c r="F14" i="9"/>
  <c r="N14" i="9"/>
  <c r="O14" i="9"/>
  <c r="R14" i="9"/>
  <c r="S14" i="9"/>
  <c r="G12" i="10"/>
  <c r="H12" i="10"/>
  <c r="I14" i="9"/>
  <c r="K14" i="9"/>
  <c r="P14" i="9"/>
  <c r="E12" i="10"/>
  <c r="G14" i="9"/>
  <c r="H14" i="9"/>
  <c r="L14" i="9"/>
  <c r="Q14" i="9"/>
  <c r="F12" i="10"/>
  <c r="M13" i="9"/>
  <c r="F13" i="9"/>
  <c r="N13" i="9"/>
  <c r="O13" i="9"/>
  <c r="R13" i="9"/>
  <c r="S13" i="9"/>
  <c r="G11" i="10"/>
  <c r="H11" i="10"/>
  <c r="I13" i="9"/>
  <c r="K13" i="9"/>
  <c r="P13" i="9"/>
  <c r="E11" i="10"/>
  <c r="G13" i="9"/>
  <c r="H13" i="9"/>
  <c r="L13" i="9"/>
  <c r="Q13" i="9"/>
  <c r="F11" i="10"/>
  <c r="M12" i="9"/>
  <c r="F12" i="9"/>
  <c r="N12" i="9"/>
  <c r="O12" i="9"/>
  <c r="R12" i="9"/>
  <c r="S12" i="9"/>
  <c r="G10" i="10"/>
  <c r="H10" i="10"/>
  <c r="I12" i="9"/>
  <c r="K12" i="9"/>
  <c r="P12" i="9"/>
  <c r="E10" i="10"/>
  <c r="G12" i="9"/>
  <c r="H12" i="9"/>
  <c r="L12" i="9"/>
  <c r="Q12" i="9"/>
  <c r="F10" i="10"/>
  <c r="M11" i="9"/>
  <c r="F11" i="9"/>
  <c r="N11" i="9"/>
  <c r="O11" i="9"/>
  <c r="R11" i="9"/>
  <c r="S11" i="9"/>
  <c r="G9" i="10"/>
  <c r="H9" i="10"/>
  <c r="I11" i="9"/>
  <c r="K11" i="9"/>
  <c r="P11" i="9"/>
  <c r="E9" i="10"/>
  <c r="G11" i="9"/>
  <c r="H11" i="9"/>
  <c r="L11" i="9"/>
  <c r="Q11" i="9"/>
  <c r="F9" i="10"/>
  <c r="M10" i="9"/>
  <c r="F10" i="9"/>
  <c r="N10" i="9"/>
  <c r="O10" i="9"/>
  <c r="R10" i="9"/>
  <c r="S10" i="9"/>
  <c r="G8" i="10"/>
  <c r="H8" i="10"/>
  <c r="I10" i="9"/>
  <c r="K10" i="9"/>
  <c r="P10" i="9"/>
  <c r="E8" i="10"/>
  <c r="G10" i="9"/>
  <c r="H10" i="9"/>
  <c r="L10" i="9"/>
  <c r="Q10" i="9"/>
  <c r="F8" i="10"/>
  <c r="M9" i="9"/>
  <c r="F9" i="9"/>
  <c r="N9" i="9"/>
  <c r="O9" i="9"/>
  <c r="R9" i="9"/>
  <c r="S9" i="9"/>
  <c r="G7" i="10"/>
  <c r="H7" i="10"/>
  <c r="I9" i="9"/>
  <c r="K9" i="9"/>
  <c r="P9" i="9"/>
  <c r="E7" i="10"/>
  <c r="G9" i="9"/>
  <c r="H9" i="9"/>
  <c r="L9" i="9"/>
  <c r="Q9" i="9"/>
  <c r="F7" i="10"/>
  <c r="M8" i="9"/>
  <c r="F8" i="9"/>
  <c r="N8" i="9"/>
  <c r="O8" i="9"/>
  <c r="R8" i="9"/>
  <c r="S8" i="9"/>
  <c r="I8" i="9"/>
  <c r="K8" i="9"/>
  <c r="P8" i="9"/>
  <c r="E6" i="10"/>
  <c r="G8" i="9"/>
  <c r="H8" i="9"/>
  <c r="L8" i="9"/>
  <c r="Q8" i="9"/>
  <c r="F6" i="10"/>
  <c r="M7" i="9"/>
  <c r="F7" i="9"/>
  <c r="N7" i="9"/>
  <c r="O7" i="9"/>
  <c r="R7" i="9"/>
  <c r="S7" i="9"/>
  <c r="G5" i="10"/>
  <c r="H5" i="10"/>
  <c r="I7" i="9"/>
  <c r="K7" i="9"/>
  <c r="P7" i="9"/>
  <c r="E5" i="10"/>
  <c r="G7" i="9"/>
  <c r="H7" i="9"/>
  <c r="L7" i="9"/>
  <c r="Q7" i="9"/>
  <c r="F5" i="10"/>
  <c r="M6" i="9"/>
  <c r="F6" i="9"/>
  <c r="N6" i="9"/>
  <c r="O6" i="9"/>
  <c r="R6" i="9"/>
  <c r="S6" i="9"/>
  <c r="S34" i="9"/>
  <c r="R34" i="9"/>
  <c r="G4" i="10"/>
  <c r="H4" i="10"/>
  <c r="I6" i="9"/>
  <c r="K6" i="9"/>
  <c r="P6" i="9"/>
  <c r="P34" i="9"/>
  <c r="P49" i="9"/>
  <c r="E4" i="10"/>
  <c r="E33" i="10"/>
  <c r="C4" i="17"/>
  <c r="C9" i="17"/>
  <c r="G6" i="9"/>
  <c r="H6" i="9"/>
  <c r="L6" i="9"/>
  <c r="Q6" i="9"/>
  <c r="Q34" i="9"/>
  <c r="Q49" i="9"/>
  <c r="F4" i="10"/>
  <c r="F33" i="10"/>
  <c r="B4" i="17"/>
  <c r="B9" i="17"/>
  <c r="G50" i="2"/>
  <c r="F53" i="2"/>
  <c r="E50" i="2"/>
  <c r="D53" i="2"/>
  <c r="H91" i="3"/>
  <c r="J90" i="4"/>
  <c r="L90" i="4"/>
  <c r="P105" i="7"/>
  <c r="S105" i="7"/>
  <c r="I81" i="8"/>
  <c r="J91" i="4"/>
  <c r="L91" i="4"/>
  <c r="P5" i="7"/>
  <c r="S5" i="7"/>
  <c r="S100" i="7"/>
  <c r="I82" i="8"/>
  <c r="H92" i="3"/>
  <c r="J92" i="4"/>
  <c r="L92" i="4"/>
  <c r="P106" i="7"/>
  <c r="S106" i="7"/>
  <c r="I83" i="8"/>
  <c r="J93" i="4"/>
  <c r="L93" i="4"/>
  <c r="P78" i="7"/>
  <c r="S78" i="7"/>
  <c r="I84" i="8"/>
  <c r="H93" i="3"/>
  <c r="J94" i="4"/>
  <c r="L94" i="4"/>
  <c r="P137" i="7"/>
  <c r="S137" i="7"/>
  <c r="P138" i="7"/>
  <c r="S138" i="7"/>
  <c r="I85" i="8"/>
  <c r="J95" i="4"/>
  <c r="L95" i="4"/>
  <c r="P50" i="7"/>
  <c r="S50" i="7"/>
  <c r="P51" i="7"/>
  <c r="S51" i="7"/>
  <c r="P52" i="7"/>
  <c r="S52" i="7"/>
  <c r="I86" i="8"/>
  <c r="H94" i="3"/>
  <c r="J99" i="4"/>
  <c r="L99" i="4"/>
  <c r="P12" i="7"/>
  <c r="S12" i="7"/>
  <c r="I90" i="8"/>
  <c r="H95" i="3"/>
  <c r="J102" i="4"/>
  <c r="L102" i="4"/>
  <c r="P109" i="7"/>
  <c r="S109" i="7"/>
  <c r="P135" i="7"/>
  <c r="S135" i="7"/>
  <c r="P136" i="7"/>
  <c r="S136" i="7"/>
  <c r="I93" i="8"/>
  <c r="J103" i="4"/>
  <c r="L103" i="4"/>
  <c r="P24" i="7"/>
  <c r="S24" i="7"/>
  <c r="P64" i="7"/>
  <c r="S64" i="7"/>
  <c r="P65" i="7"/>
  <c r="S65" i="7"/>
  <c r="P80" i="7"/>
  <c r="S80" i="7"/>
  <c r="P81" i="7"/>
  <c r="S81" i="7"/>
  <c r="P88" i="7"/>
  <c r="S88" i="7"/>
  <c r="P89" i="7"/>
  <c r="S89" i="7"/>
  <c r="I94" i="8"/>
  <c r="H96" i="3"/>
  <c r="J104" i="4"/>
  <c r="L104" i="4"/>
  <c r="P104" i="7"/>
  <c r="S104" i="7"/>
  <c r="S142" i="7"/>
  <c r="P107" i="7"/>
  <c r="S107" i="7"/>
  <c r="P108" i="7"/>
  <c r="S108" i="7"/>
  <c r="P111" i="7"/>
  <c r="S111" i="7"/>
  <c r="P130" i="7"/>
  <c r="S130" i="7"/>
  <c r="P139" i="7"/>
  <c r="S139" i="7"/>
  <c r="P140" i="7"/>
  <c r="S140" i="7"/>
  <c r="P141" i="7"/>
  <c r="S141" i="7"/>
  <c r="I95" i="8"/>
  <c r="J105" i="4"/>
  <c r="L105" i="4"/>
  <c r="P6" i="7"/>
  <c r="S6" i="7"/>
  <c r="P10" i="7"/>
  <c r="S10" i="7"/>
  <c r="P13" i="7"/>
  <c r="S13" i="7"/>
  <c r="P23" i="7"/>
  <c r="S23" i="7"/>
  <c r="P49" i="7"/>
  <c r="S49" i="7"/>
  <c r="P54" i="7"/>
  <c r="S54" i="7"/>
  <c r="P57" i="7"/>
  <c r="S57" i="7"/>
  <c r="P58" i="7"/>
  <c r="S58" i="7"/>
  <c r="P59" i="7"/>
  <c r="S59" i="7"/>
  <c r="P63" i="7"/>
  <c r="S63" i="7"/>
  <c r="P71" i="7"/>
  <c r="S71" i="7"/>
  <c r="P72" i="7"/>
  <c r="S72" i="7"/>
  <c r="P79" i="7"/>
  <c r="S79" i="7"/>
  <c r="P82" i="7"/>
  <c r="S82" i="7"/>
  <c r="P97" i="7"/>
  <c r="S97" i="7"/>
  <c r="P99" i="7"/>
  <c r="S99" i="7"/>
  <c r="I96" i="8"/>
  <c r="H97" i="3"/>
  <c r="J88" i="4"/>
  <c r="L88" i="4"/>
  <c r="P113" i="7"/>
  <c r="S113" i="7"/>
  <c r="P115" i="7"/>
  <c r="S115" i="7"/>
  <c r="P118" i="7"/>
  <c r="S118" i="7"/>
  <c r="P122" i="7"/>
  <c r="S122" i="7"/>
  <c r="P125" i="7"/>
  <c r="S125" i="7"/>
  <c r="P128" i="7"/>
  <c r="S128" i="7"/>
  <c r="P132" i="7"/>
  <c r="S132" i="7"/>
  <c r="P133" i="7"/>
  <c r="S133" i="7"/>
  <c r="I79" i="8"/>
  <c r="J89" i="4"/>
  <c r="L89" i="4"/>
  <c r="P16" i="7"/>
  <c r="S16" i="7"/>
  <c r="P20" i="7"/>
  <c r="S20" i="7"/>
  <c r="P26" i="7"/>
  <c r="S26" i="7"/>
  <c r="P28" i="7"/>
  <c r="S28" i="7"/>
  <c r="P30" i="7"/>
  <c r="S30" i="7"/>
  <c r="P32" i="7"/>
  <c r="S32" i="7"/>
  <c r="P34" i="7"/>
  <c r="S34" i="7"/>
  <c r="P36" i="7"/>
  <c r="S36" i="7"/>
  <c r="P38" i="7"/>
  <c r="S38" i="7"/>
  <c r="P40" i="7"/>
  <c r="S40" i="7"/>
  <c r="P42" i="7"/>
  <c r="S42" i="7"/>
  <c r="P44" i="7"/>
  <c r="S44" i="7"/>
  <c r="P46" i="7"/>
  <c r="S46" i="7"/>
  <c r="P48" i="7"/>
  <c r="S48" i="7"/>
  <c r="I80" i="8"/>
  <c r="H98" i="3"/>
  <c r="J96" i="4"/>
  <c r="L96" i="4"/>
  <c r="P112" i="7"/>
  <c r="S112" i="7"/>
  <c r="P114" i="7"/>
  <c r="S114" i="7"/>
  <c r="P116" i="7"/>
  <c r="S116" i="7"/>
  <c r="P117" i="7"/>
  <c r="S117" i="7"/>
  <c r="P121" i="7"/>
  <c r="S121" i="7"/>
  <c r="P124" i="7"/>
  <c r="S124" i="7"/>
  <c r="P126" i="7"/>
  <c r="S126" i="7"/>
  <c r="P127" i="7"/>
  <c r="S127" i="7"/>
  <c r="P129" i="7"/>
  <c r="S129" i="7"/>
  <c r="P131" i="7"/>
  <c r="S131" i="7"/>
  <c r="P134" i="7"/>
  <c r="S134" i="7"/>
  <c r="I87" i="8"/>
  <c r="J97" i="4"/>
  <c r="L97" i="4"/>
  <c r="P15" i="7"/>
  <c r="S15" i="7"/>
  <c r="P19" i="7"/>
  <c r="S19" i="7"/>
  <c r="P25" i="7"/>
  <c r="S25" i="7"/>
  <c r="P27" i="7"/>
  <c r="S27" i="7"/>
  <c r="P29" i="7"/>
  <c r="S29" i="7"/>
  <c r="P31" i="7"/>
  <c r="S31" i="7"/>
  <c r="P33" i="7"/>
  <c r="S33" i="7"/>
  <c r="P35" i="7"/>
  <c r="S35" i="7"/>
  <c r="P37" i="7"/>
  <c r="S37" i="7"/>
  <c r="P39" i="7"/>
  <c r="S39" i="7"/>
  <c r="P41" i="7"/>
  <c r="S41" i="7"/>
  <c r="P43" i="7"/>
  <c r="S43" i="7"/>
  <c r="P45" i="7"/>
  <c r="S45" i="7"/>
  <c r="P47" i="7"/>
  <c r="S47" i="7"/>
  <c r="I88" i="8"/>
  <c r="H99" i="3"/>
  <c r="J100" i="4"/>
  <c r="L100" i="4"/>
  <c r="P119" i="7"/>
  <c r="S119" i="7"/>
  <c r="P120" i="7"/>
  <c r="S120" i="7"/>
  <c r="P123" i="7"/>
  <c r="S123" i="7"/>
  <c r="I91" i="8"/>
  <c r="J101" i="4"/>
  <c r="L101" i="4"/>
  <c r="P7" i="7"/>
  <c r="S7" i="7"/>
  <c r="P8" i="7"/>
  <c r="S8" i="7"/>
  <c r="P9" i="7"/>
  <c r="S9" i="7"/>
  <c r="P14" i="7"/>
  <c r="S14" i="7"/>
  <c r="P17" i="7"/>
  <c r="S17" i="7"/>
  <c r="P18" i="7"/>
  <c r="S18" i="7"/>
  <c r="P55" i="7"/>
  <c r="S55" i="7"/>
  <c r="P56" i="7"/>
  <c r="S56" i="7"/>
  <c r="P60" i="7"/>
  <c r="S60" i="7"/>
  <c r="P77" i="7"/>
  <c r="S77" i="7"/>
  <c r="P87" i="7"/>
  <c r="S87" i="7"/>
  <c r="P96" i="7"/>
  <c r="S96" i="7"/>
  <c r="I92" i="8"/>
  <c r="H100" i="3"/>
  <c r="J86" i="4"/>
  <c r="L86" i="4"/>
  <c r="J87" i="4"/>
  <c r="L87" i="4"/>
  <c r="H101" i="3"/>
  <c r="J98" i="4"/>
  <c r="L98" i="4"/>
  <c r="J106" i="4"/>
  <c r="L106" i="4"/>
  <c r="L107" i="4"/>
  <c r="P110" i="7"/>
  <c r="S110" i="7"/>
  <c r="I77" i="8"/>
  <c r="P11" i="7"/>
  <c r="S11" i="7"/>
  <c r="P53" i="7"/>
  <c r="S53" i="7"/>
  <c r="P66" i="7"/>
  <c r="S66" i="7"/>
  <c r="P67" i="7"/>
  <c r="S67" i="7"/>
  <c r="P68" i="7"/>
  <c r="S68" i="7"/>
  <c r="P69" i="7"/>
  <c r="S69" i="7"/>
  <c r="P70" i="7"/>
  <c r="S70" i="7"/>
  <c r="P76" i="7"/>
  <c r="S76" i="7"/>
  <c r="P86" i="7"/>
  <c r="S86" i="7"/>
  <c r="P90" i="7"/>
  <c r="S90" i="7"/>
  <c r="P91" i="7"/>
  <c r="S91" i="7"/>
  <c r="P92" i="7"/>
  <c r="S92" i="7"/>
  <c r="P93" i="7"/>
  <c r="S93" i="7"/>
  <c r="P94" i="7"/>
  <c r="S94" i="7"/>
  <c r="P95" i="7"/>
  <c r="S95" i="7"/>
  <c r="P98" i="7"/>
  <c r="S98" i="7"/>
  <c r="I78" i="8"/>
  <c r="P21" i="7"/>
  <c r="S21" i="7"/>
  <c r="P22" i="7"/>
  <c r="S22" i="7"/>
  <c r="P61" i="7"/>
  <c r="S61" i="7"/>
  <c r="P62" i="7"/>
  <c r="S62" i="7"/>
  <c r="P73" i="7"/>
  <c r="S73" i="7"/>
  <c r="P74" i="7"/>
  <c r="S74" i="7"/>
  <c r="P75" i="7"/>
  <c r="S75" i="7"/>
  <c r="P83" i="7"/>
  <c r="S83" i="7"/>
  <c r="P84" i="7"/>
  <c r="S84" i="7"/>
  <c r="P85" i="7"/>
  <c r="S85" i="7"/>
  <c r="I89" i="8"/>
  <c r="P102" i="7"/>
  <c r="S102" i="7"/>
  <c r="I97" i="8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L27" i="4"/>
  <c r="P123" i="5"/>
  <c r="S123" i="5"/>
  <c r="P260" i="5"/>
  <c r="S260" i="5"/>
  <c r="P274" i="5"/>
  <c r="S274" i="5"/>
  <c r="P290" i="5"/>
  <c r="S290" i="5"/>
  <c r="P307" i="5"/>
  <c r="S307" i="5"/>
  <c r="P320" i="5"/>
  <c r="S320" i="5"/>
  <c r="P334" i="5"/>
  <c r="S334" i="5"/>
  <c r="P352" i="5"/>
  <c r="S352" i="5"/>
  <c r="P356" i="5"/>
  <c r="S356" i="5"/>
  <c r="P374" i="5"/>
  <c r="S374" i="5"/>
  <c r="P386" i="5"/>
  <c r="S386" i="5"/>
  <c r="P407" i="5"/>
  <c r="S407" i="5"/>
  <c r="P409" i="5"/>
  <c r="S409" i="5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L50" i="4"/>
  <c r="P62" i="5"/>
  <c r="S62" i="5"/>
  <c r="P122" i="5"/>
  <c r="S122" i="5"/>
  <c r="P186" i="5"/>
  <c r="S186" i="5"/>
  <c r="P231" i="5"/>
  <c r="S231" i="5"/>
  <c r="P243" i="5"/>
  <c r="S243" i="5"/>
  <c r="P335" i="5"/>
  <c r="S335" i="5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L56" i="4"/>
  <c r="P44" i="5"/>
  <c r="S44" i="5"/>
  <c r="P50" i="5"/>
  <c r="S50" i="5"/>
  <c r="P52" i="5"/>
  <c r="S52" i="5"/>
  <c r="H59" i="3"/>
  <c r="H60" i="3"/>
  <c r="L59" i="4"/>
  <c r="P46" i="5"/>
  <c r="S46" i="5"/>
  <c r="P48" i="5"/>
  <c r="S48" i="5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8" i="3"/>
  <c r="J71" i="4"/>
  <c r="L71" i="4"/>
  <c r="P5" i="6"/>
  <c r="S5" i="6"/>
  <c r="S100" i="6"/>
  <c r="I66" i="8"/>
  <c r="H79" i="3"/>
  <c r="J72" i="4"/>
  <c r="L72" i="4"/>
  <c r="P78" i="6"/>
  <c r="S78" i="6"/>
  <c r="I67" i="8"/>
  <c r="H80" i="3"/>
  <c r="J73" i="4"/>
  <c r="L73" i="4"/>
  <c r="P50" i="6"/>
  <c r="S50" i="6"/>
  <c r="P51" i="6"/>
  <c r="S51" i="6"/>
  <c r="P52" i="6"/>
  <c r="S52" i="6"/>
  <c r="I68" i="8"/>
  <c r="H81" i="3"/>
  <c r="J76" i="4"/>
  <c r="L76" i="4"/>
  <c r="P12" i="6"/>
  <c r="S12" i="6"/>
  <c r="I71" i="8"/>
  <c r="H82" i="3"/>
  <c r="J78" i="4"/>
  <c r="L78" i="4"/>
  <c r="P24" i="6"/>
  <c r="S24" i="6"/>
  <c r="P64" i="6"/>
  <c r="S64" i="6"/>
  <c r="P65" i="6"/>
  <c r="S65" i="6"/>
  <c r="P80" i="6"/>
  <c r="S80" i="6"/>
  <c r="P81" i="6"/>
  <c r="S81" i="6"/>
  <c r="P88" i="6"/>
  <c r="S88" i="6"/>
  <c r="P89" i="6"/>
  <c r="S89" i="6"/>
  <c r="I73" i="8"/>
  <c r="H83" i="3"/>
  <c r="J79" i="4"/>
  <c r="L79" i="4"/>
  <c r="P6" i="6"/>
  <c r="S6" i="6"/>
  <c r="P10" i="6"/>
  <c r="S10" i="6"/>
  <c r="P13" i="6"/>
  <c r="S13" i="6"/>
  <c r="P23" i="6"/>
  <c r="S23" i="6"/>
  <c r="P49" i="6"/>
  <c r="S49" i="6"/>
  <c r="P54" i="6"/>
  <c r="S54" i="6"/>
  <c r="P57" i="6"/>
  <c r="S57" i="6"/>
  <c r="P58" i="6"/>
  <c r="S58" i="6"/>
  <c r="P59" i="6"/>
  <c r="S59" i="6"/>
  <c r="P63" i="6"/>
  <c r="S63" i="6"/>
  <c r="P71" i="6"/>
  <c r="S71" i="6"/>
  <c r="P72" i="6"/>
  <c r="S72" i="6"/>
  <c r="P79" i="6"/>
  <c r="S79" i="6"/>
  <c r="P82" i="6"/>
  <c r="S82" i="6"/>
  <c r="P97" i="6"/>
  <c r="S97" i="6"/>
  <c r="P99" i="6"/>
  <c r="S99" i="6"/>
  <c r="I74" i="8"/>
  <c r="H84" i="3"/>
  <c r="J70" i="4"/>
  <c r="L70" i="4"/>
  <c r="P16" i="6"/>
  <c r="S16" i="6"/>
  <c r="P20" i="6"/>
  <c r="S20" i="6"/>
  <c r="P26" i="6"/>
  <c r="S26" i="6"/>
  <c r="P28" i="6"/>
  <c r="S28" i="6"/>
  <c r="P30" i="6"/>
  <c r="S30" i="6"/>
  <c r="P32" i="6"/>
  <c r="S32" i="6"/>
  <c r="P34" i="6"/>
  <c r="S34" i="6"/>
  <c r="P36" i="6"/>
  <c r="S36" i="6"/>
  <c r="P38" i="6"/>
  <c r="S38" i="6"/>
  <c r="P40" i="6"/>
  <c r="S40" i="6"/>
  <c r="P42" i="6"/>
  <c r="S42" i="6"/>
  <c r="P44" i="6"/>
  <c r="S44" i="6"/>
  <c r="P46" i="6"/>
  <c r="S46" i="6"/>
  <c r="P48" i="6"/>
  <c r="S48" i="6"/>
  <c r="I65" i="8"/>
  <c r="H85" i="3"/>
  <c r="J74" i="4"/>
  <c r="L74" i="4"/>
  <c r="P15" i="6"/>
  <c r="S15" i="6"/>
  <c r="P19" i="6"/>
  <c r="S19" i="6"/>
  <c r="P25" i="6"/>
  <c r="S25" i="6"/>
  <c r="P27" i="6"/>
  <c r="S27" i="6"/>
  <c r="P29" i="6"/>
  <c r="S29" i="6"/>
  <c r="P31" i="6"/>
  <c r="S31" i="6"/>
  <c r="P33" i="6"/>
  <c r="S33" i="6"/>
  <c r="P35" i="6"/>
  <c r="S35" i="6"/>
  <c r="P37" i="6"/>
  <c r="S37" i="6"/>
  <c r="P39" i="6"/>
  <c r="S39" i="6"/>
  <c r="P41" i="6"/>
  <c r="S41" i="6"/>
  <c r="P43" i="6"/>
  <c r="S43" i="6"/>
  <c r="P45" i="6"/>
  <c r="S45" i="6"/>
  <c r="P47" i="6"/>
  <c r="S47" i="6"/>
  <c r="I69" i="8"/>
  <c r="H86" i="3"/>
  <c r="J77" i="4"/>
  <c r="L77" i="4"/>
  <c r="P7" i="6"/>
  <c r="S7" i="6"/>
  <c r="P8" i="6"/>
  <c r="S8" i="6"/>
  <c r="P9" i="6"/>
  <c r="S9" i="6"/>
  <c r="P14" i="6"/>
  <c r="S14" i="6"/>
  <c r="P17" i="6"/>
  <c r="S17" i="6"/>
  <c r="P18" i="6"/>
  <c r="S18" i="6"/>
  <c r="P55" i="6"/>
  <c r="S55" i="6"/>
  <c r="P56" i="6"/>
  <c r="S56" i="6"/>
  <c r="P60" i="6"/>
  <c r="S60" i="6"/>
  <c r="P77" i="6"/>
  <c r="S77" i="6"/>
  <c r="P87" i="6"/>
  <c r="S87" i="6"/>
  <c r="P96" i="6"/>
  <c r="S96" i="6"/>
  <c r="I72" i="8"/>
  <c r="H87" i="3"/>
  <c r="J69" i="4"/>
  <c r="L69" i="4"/>
  <c r="H88" i="3"/>
  <c r="J75" i="4"/>
  <c r="L75" i="4"/>
  <c r="L80" i="4"/>
  <c r="P11" i="6"/>
  <c r="S11" i="6"/>
  <c r="P53" i="6"/>
  <c r="S53" i="6"/>
  <c r="P66" i="6"/>
  <c r="S66" i="6"/>
  <c r="P67" i="6"/>
  <c r="S67" i="6"/>
  <c r="P68" i="6"/>
  <c r="S68" i="6"/>
  <c r="P69" i="6"/>
  <c r="S69" i="6"/>
  <c r="P70" i="6"/>
  <c r="S70" i="6"/>
  <c r="P76" i="6"/>
  <c r="S76" i="6"/>
  <c r="P86" i="6"/>
  <c r="S86" i="6"/>
  <c r="P90" i="6"/>
  <c r="S90" i="6"/>
  <c r="P91" i="6"/>
  <c r="S91" i="6"/>
  <c r="P92" i="6"/>
  <c r="S92" i="6"/>
  <c r="P93" i="6"/>
  <c r="S93" i="6"/>
  <c r="P94" i="6"/>
  <c r="S94" i="6"/>
  <c r="P95" i="6"/>
  <c r="S95" i="6"/>
  <c r="P98" i="6"/>
  <c r="S98" i="6"/>
  <c r="I64" i="8"/>
  <c r="P21" i="6"/>
  <c r="S21" i="6"/>
  <c r="P22" i="6"/>
  <c r="S22" i="6"/>
  <c r="P61" i="6"/>
  <c r="S61" i="6"/>
  <c r="P62" i="6"/>
  <c r="S62" i="6"/>
  <c r="P73" i="6"/>
  <c r="S73" i="6"/>
  <c r="P74" i="6"/>
  <c r="S74" i="6"/>
  <c r="P75" i="6"/>
  <c r="S75" i="6"/>
  <c r="P83" i="6"/>
  <c r="S83" i="6"/>
  <c r="P84" i="6"/>
  <c r="S84" i="6"/>
  <c r="P85" i="6"/>
  <c r="S85" i="6"/>
  <c r="I70" i="8"/>
  <c r="L62" i="4"/>
  <c r="P380" i="5"/>
  <c r="S380" i="5"/>
  <c r="N106" i="4"/>
  <c r="N27" i="4"/>
  <c r="N50" i="4"/>
  <c r="N56" i="4"/>
  <c r="N59" i="4"/>
  <c r="N70" i="4"/>
  <c r="N71" i="4"/>
  <c r="N72" i="4"/>
  <c r="N73" i="4"/>
  <c r="N74" i="4"/>
  <c r="N75" i="4"/>
  <c r="N76" i="4"/>
  <c r="N77" i="4"/>
  <c r="N78" i="4"/>
  <c r="N79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L63" i="4"/>
  <c r="U102" i="7"/>
  <c r="U380" i="5"/>
  <c r="N63" i="4"/>
  <c r="N69" i="4"/>
  <c r="N80" i="4"/>
  <c r="N86" i="4"/>
  <c r="N107" i="4"/>
  <c r="N112" i="4"/>
  <c r="U409" i="5"/>
  <c r="U407" i="5"/>
  <c r="U386" i="5"/>
  <c r="U374" i="5"/>
  <c r="U356" i="5"/>
  <c r="U352" i="5"/>
  <c r="U334" i="5"/>
  <c r="U320" i="5"/>
  <c r="U307" i="5"/>
  <c r="U290" i="5"/>
  <c r="U274" i="5"/>
  <c r="U260" i="5"/>
  <c r="U123" i="5"/>
  <c r="U335" i="5"/>
  <c r="U243" i="5"/>
  <c r="U231" i="5"/>
  <c r="U186" i="5"/>
  <c r="U122" i="5"/>
  <c r="U62" i="5"/>
  <c r="U52" i="5"/>
  <c r="U50" i="5"/>
  <c r="U44" i="5"/>
  <c r="U48" i="5"/>
  <c r="U46" i="5"/>
  <c r="U98" i="6"/>
  <c r="U95" i="6"/>
  <c r="U94" i="6"/>
  <c r="U93" i="6"/>
  <c r="U92" i="6"/>
  <c r="U91" i="6"/>
  <c r="U90" i="6"/>
  <c r="U86" i="6"/>
  <c r="U76" i="6"/>
  <c r="U70" i="6"/>
  <c r="U69" i="6"/>
  <c r="U68" i="6"/>
  <c r="U67" i="6"/>
  <c r="U66" i="6"/>
  <c r="U53" i="6"/>
  <c r="U11" i="6"/>
  <c r="U48" i="6"/>
  <c r="U46" i="6"/>
  <c r="U44" i="6"/>
  <c r="U42" i="6"/>
  <c r="U40" i="6"/>
  <c r="U38" i="6"/>
  <c r="U36" i="6"/>
  <c r="U34" i="6"/>
  <c r="U32" i="6"/>
  <c r="U30" i="6"/>
  <c r="U28" i="6"/>
  <c r="U26" i="6"/>
  <c r="U20" i="6"/>
  <c r="U16" i="6"/>
  <c r="U78" i="6"/>
  <c r="U52" i="6"/>
  <c r="U51" i="6"/>
  <c r="U50" i="6"/>
  <c r="U47" i="6"/>
  <c r="U45" i="6"/>
  <c r="U43" i="6"/>
  <c r="U41" i="6"/>
  <c r="U39" i="6"/>
  <c r="U37" i="6"/>
  <c r="U35" i="6"/>
  <c r="U33" i="6"/>
  <c r="U31" i="6"/>
  <c r="U29" i="6"/>
  <c r="U27" i="6"/>
  <c r="U25" i="6"/>
  <c r="U19" i="6"/>
  <c r="U15" i="6"/>
  <c r="U85" i="6"/>
  <c r="U84" i="6"/>
  <c r="U83" i="6"/>
  <c r="U75" i="6"/>
  <c r="U74" i="6"/>
  <c r="U73" i="6"/>
  <c r="U62" i="6"/>
  <c r="U61" i="6"/>
  <c r="U22" i="6"/>
  <c r="U21" i="6"/>
  <c r="U12" i="6"/>
  <c r="U96" i="6"/>
  <c r="U87" i="6"/>
  <c r="U77" i="6"/>
  <c r="U60" i="6"/>
  <c r="U56" i="6"/>
  <c r="U55" i="6"/>
  <c r="U18" i="6"/>
  <c r="U17" i="6"/>
  <c r="U14" i="6"/>
  <c r="U9" i="6"/>
  <c r="U8" i="6"/>
  <c r="U7" i="6"/>
  <c r="U89" i="6"/>
  <c r="U88" i="6"/>
  <c r="U81" i="6"/>
  <c r="U80" i="6"/>
  <c r="U65" i="6"/>
  <c r="U64" i="6"/>
  <c r="U24" i="6"/>
  <c r="U99" i="6"/>
  <c r="U97" i="6"/>
  <c r="U82" i="6"/>
  <c r="U79" i="6"/>
  <c r="U72" i="6"/>
  <c r="U71" i="6"/>
  <c r="U63" i="6"/>
  <c r="U59" i="6"/>
  <c r="U58" i="6"/>
  <c r="U57" i="6"/>
  <c r="U54" i="6"/>
  <c r="U49" i="6"/>
  <c r="U23" i="6"/>
  <c r="U13" i="6"/>
  <c r="U10" i="6"/>
  <c r="U6" i="6"/>
  <c r="U110" i="7"/>
  <c r="J109" i="4"/>
  <c r="F43" i="9"/>
  <c r="N43" i="9"/>
  <c r="F44" i="9"/>
  <c r="N44" i="9"/>
  <c r="F45" i="9"/>
  <c r="N45" i="9"/>
  <c r="U98" i="7"/>
  <c r="U95" i="7"/>
  <c r="U94" i="7"/>
  <c r="U93" i="7"/>
  <c r="U92" i="7"/>
  <c r="U91" i="7"/>
  <c r="U90" i="7"/>
  <c r="U86" i="7"/>
  <c r="U76" i="7"/>
  <c r="U70" i="7"/>
  <c r="U69" i="7"/>
  <c r="U68" i="7"/>
  <c r="U67" i="7"/>
  <c r="U66" i="7"/>
  <c r="U53" i="7"/>
  <c r="U11" i="7"/>
  <c r="U133" i="7"/>
  <c r="U132" i="7"/>
  <c r="U128" i="7"/>
  <c r="U125" i="7"/>
  <c r="U122" i="7"/>
  <c r="U118" i="7"/>
  <c r="U115" i="7"/>
  <c r="U113" i="7"/>
  <c r="U48" i="7"/>
  <c r="U46" i="7"/>
  <c r="U44" i="7"/>
  <c r="U42" i="7"/>
  <c r="U40" i="7"/>
  <c r="U38" i="7"/>
  <c r="U36" i="7"/>
  <c r="U34" i="7"/>
  <c r="U32" i="7"/>
  <c r="U30" i="7"/>
  <c r="U28" i="7"/>
  <c r="U26" i="7"/>
  <c r="U20" i="7"/>
  <c r="U16" i="7"/>
  <c r="U105" i="7"/>
  <c r="U106" i="7"/>
  <c r="U78" i="7"/>
  <c r="U138" i="7"/>
  <c r="U137" i="7"/>
  <c r="U52" i="7"/>
  <c r="U51" i="7"/>
  <c r="U50" i="7"/>
  <c r="U134" i="7"/>
  <c r="U131" i="7"/>
  <c r="U129" i="7"/>
  <c r="U127" i="7"/>
  <c r="U126" i="7"/>
  <c r="U124" i="7"/>
  <c r="U121" i="7"/>
  <c r="U117" i="7"/>
  <c r="U116" i="7"/>
  <c r="U114" i="7"/>
  <c r="U112" i="7"/>
  <c r="U47" i="7"/>
  <c r="U45" i="7"/>
  <c r="U43" i="7"/>
  <c r="U41" i="7"/>
  <c r="U39" i="7"/>
  <c r="U37" i="7"/>
  <c r="U35" i="7"/>
  <c r="U33" i="7"/>
  <c r="U31" i="7"/>
  <c r="U29" i="7"/>
  <c r="U27" i="7"/>
  <c r="U25" i="7"/>
  <c r="U19" i="7"/>
  <c r="U15" i="7"/>
  <c r="U85" i="7"/>
  <c r="U84" i="7"/>
  <c r="U83" i="7"/>
  <c r="U75" i="7"/>
  <c r="U74" i="7"/>
  <c r="U73" i="7"/>
  <c r="U62" i="7"/>
  <c r="U61" i="7"/>
  <c r="U22" i="7"/>
  <c r="U21" i="7"/>
  <c r="U12" i="7"/>
  <c r="U123" i="7"/>
  <c r="U120" i="7"/>
  <c r="U119" i="7"/>
  <c r="U96" i="7"/>
  <c r="U87" i="7"/>
  <c r="U77" i="7"/>
  <c r="U60" i="7"/>
  <c r="U56" i="7"/>
  <c r="U55" i="7"/>
  <c r="U18" i="7"/>
  <c r="U17" i="7"/>
  <c r="U14" i="7"/>
  <c r="U9" i="7"/>
  <c r="U8" i="7"/>
  <c r="U7" i="7"/>
  <c r="U136" i="7"/>
  <c r="U135" i="7"/>
  <c r="U109" i="7"/>
  <c r="U89" i="7"/>
  <c r="U88" i="7"/>
  <c r="U81" i="7"/>
  <c r="U80" i="7"/>
  <c r="U65" i="7"/>
  <c r="U64" i="7"/>
  <c r="U24" i="7"/>
  <c r="U141" i="7"/>
  <c r="U140" i="7"/>
  <c r="U139" i="7"/>
  <c r="U130" i="7"/>
  <c r="U111" i="7"/>
  <c r="U108" i="7"/>
  <c r="U107" i="7"/>
  <c r="U99" i="7"/>
  <c r="U97" i="7"/>
  <c r="U82" i="7"/>
  <c r="U79" i="7"/>
  <c r="U72" i="7"/>
  <c r="U71" i="7"/>
  <c r="U63" i="7"/>
  <c r="U59" i="7"/>
  <c r="U58" i="7"/>
  <c r="U57" i="7"/>
  <c r="U54" i="7"/>
  <c r="U49" i="7"/>
  <c r="U23" i="7"/>
  <c r="U13" i="7"/>
  <c r="U10" i="7"/>
  <c r="U6" i="7"/>
  <c r="U104" i="7"/>
  <c r="U142" i="7"/>
  <c r="U5" i="7"/>
  <c r="U100" i="7"/>
  <c r="U5" i="6"/>
  <c r="U100" i="6"/>
  <c r="M38" i="9"/>
  <c r="O38" i="9"/>
  <c r="R38" i="9"/>
  <c r="M43" i="9"/>
  <c r="O43" i="9"/>
  <c r="R43" i="9"/>
  <c r="G6" i="10"/>
  <c r="M44" i="9"/>
  <c r="O44" i="9"/>
  <c r="R44" i="9"/>
  <c r="G21" i="10"/>
  <c r="M45" i="9"/>
  <c r="O45" i="9"/>
  <c r="R45" i="9"/>
  <c r="G24" i="10"/>
  <c r="G33" i="10"/>
  <c r="D4" i="17"/>
  <c r="D9" i="17"/>
  <c r="H6" i="10"/>
  <c r="H21" i="10"/>
  <c r="H24" i="10"/>
  <c r="H33" i="10"/>
  <c r="R39" i="9"/>
  <c r="R46" i="9"/>
  <c r="R49" i="9"/>
  <c r="S38" i="9"/>
  <c r="S39" i="9"/>
  <c r="S43" i="9"/>
  <c r="S44" i="9"/>
  <c r="S45" i="9"/>
  <c r="S46" i="9"/>
  <c r="S49" i="9"/>
</calcChain>
</file>

<file path=xl/sharedStrings.xml><?xml version="1.0" encoding="utf-8"?>
<sst xmlns="http://schemas.openxmlformats.org/spreadsheetml/2006/main" count="10301" uniqueCount="1009">
  <si>
    <t>Blad 'Omreken'</t>
  </si>
  <si>
    <t>Dit blad mag niet worden gewijzigd!</t>
  </si>
  <si>
    <t>Type:</t>
  </si>
  <si>
    <t>Invultabel</t>
  </si>
  <si>
    <t xml:space="preserve">werkdag                  </t>
  </si>
  <si>
    <t xml:space="preserve">per jaar: </t>
  </si>
  <si>
    <t xml:space="preserve">per week: </t>
  </si>
  <si>
    <t>FREQ</t>
  </si>
  <si>
    <t>FACTOR</t>
  </si>
  <si>
    <t>5W</t>
  </si>
  <si>
    <t>255J</t>
  </si>
  <si>
    <t>225J</t>
  </si>
  <si>
    <t>4W</t>
  </si>
  <si>
    <t>200J</t>
  </si>
  <si>
    <t>175J</t>
  </si>
  <si>
    <t>3W</t>
  </si>
  <si>
    <t>150J</t>
  </si>
  <si>
    <t>120J</t>
  </si>
  <si>
    <t>2W</t>
  </si>
  <si>
    <t>60J</t>
  </si>
  <si>
    <t>1W</t>
  </si>
  <si>
    <t>45J</t>
  </si>
  <si>
    <t>40J</t>
  </si>
  <si>
    <t>26J</t>
  </si>
  <si>
    <t>12J</t>
  </si>
  <si>
    <t>6J</t>
  </si>
  <si>
    <t>4J</t>
  </si>
  <si>
    <t>3J</t>
  </si>
  <si>
    <t>2J</t>
  </si>
  <si>
    <t>1J</t>
  </si>
  <si>
    <t xml:space="preserve">werkdag vakantie         </t>
  </si>
  <si>
    <t>30J</t>
  </si>
  <si>
    <t xml:space="preserve">weekenddag               </t>
  </si>
  <si>
    <t>90J</t>
  </si>
  <si>
    <t>80J</t>
  </si>
  <si>
    <t>70J</t>
  </si>
  <si>
    <t>50J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</si>
  <si>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</si>
  <si>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</si>
  <si>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</si>
  <si>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</si>
  <si>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</si>
  <si>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</si>
  <si>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</si>
  <si>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</si>
  <si>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</si>
  <si>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</si>
  <si>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</si>
  <si>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</si>
  <si>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</si>
  <si>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</si>
  <si>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</si>
  <si>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</si>
  <si>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</si>
  <si>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</si>
  <si>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</si>
  <si>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</si>
  <si>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</si>
  <si>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</si>
  <si>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</si>
  <si>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</si>
  <si>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</si>
  <si>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</si>
  <si>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</si>
  <si>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</si>
  <si>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</si>
  <si>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</si>
  <si>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</si>
  <si>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</si>
  <si>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</si>
  <si>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</si>
  <si>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</si>
  <si>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</si>
  <si>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</si>
  <si>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</si>
  <si>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</si>
  <si>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</si>
  <si>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</si>
  <si>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</si>
  <si>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</si>
  <si>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</si>
  <si>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</si>
  <si>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</si>
  <si>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</si>
  <si>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</si>
  <si>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</si>
  <si>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</si>
  <si>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</si>
  <si>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</si>
  <si>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TARIEF REGULIER WERK</t>
  </si>
  <si>
    <t>Werkdag</t>
  </si>
  <si>
    <t>Weekend</t>
  </si>
  <si>
    <t>Feestdag</t>
  </si>
  <si>
    <t>Aandeel</t>
  </si>
  <si>
    <t>Tarief</t>
  </si>
  <si>
    <t>Gewogen tarief uitvoering</t>
  </si>
  <si>
    <t>Tarief regulier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</si>
  <si>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</si>
  <si>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</si>
  <si>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</si>
  <si>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</si>
  <si>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</si>
  <si>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</si>
  <si>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</si>
  <si>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</si>
  <si>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</si>
  <si>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AHB</t>
  </si>
  <si>
    <t>Archief/berging harde vloer basis</t>
  </si>
  <si>
    <t>m²/uur</t>
  </si>
  <si>
    <t>AHV</t>
  </si>
  <si>
    <t>Archief/berging harde vloer volledig</t>
  </si>
  <si>
    <t>EHB</t>
  </si>
  <si>
    <t>Entree harde vloer (basis)</t>
  </si>
  <si>
    <t>EHV</t>
  </si>
  <si>
    <t>Entree harde vloer (volledig)</t>
  </si>
  <si>
    <t>Entree harde vloer volledig</t>
  </si>
  <si>
    <t>EZB</t>
  </si>
  <si>
    <t>Entree zachte vloer (basis)</t>
  </si>
  <si>
    <t>EZV</t>
  </si>
  <si>
    <t>Entree zachte vloer volledig</t>
  </si>
  <si>
    <t>FHB</t>
  </si>
  <si>
    <t>Lift harde vloer (basis)</t>
  </si>
  <si>
    <t>FHV</t>
  </si>
  <si>
    <t>Lift harde vloer (volledig)</t>
  </si>
  <si>
    <t>GHB</t>
  </si>
  <si>
    <t>Gymzaal harde vloer basis</t>
  </si>
  <si>
    <t>GHV</t>
  </si>
  <si>
    <t>Gymzaal harde vloer volledig</t>
  </si>
  <si>
    <t>RHB</t>
  </si>
  <si>
    <t>Restaurant/personeelsruimte/kantine harde vloer (basis)</t>
  </si>
  <si>
    <t>RHV</t>
  </si>
  <si>
    <t>Restaurant/personeelsruimte/kantine harde vloer (volledig)</t>
  </si>
  <si>
    <t>THB</t>
  </si>
  <si>
    <t>Trappenhuis harde vloer (basis)</t>
  </si>
  <si>
    <t>THV</t>
  </si>
  <si>
    <t>Trappenhuis harde vloer (volledig)</t>
  </si>
  <si>
    <t>TRHB</t>
  </si>
  <si>
    <t>Technische ruimte harde vloeren (basis)</t>
  </si>
  <si>
    <t>TRHV</t>
  </si>
  <si>
    <t>Technische ruimte harde vloeren (volledig)</t>
  </si>
  <si>
    <t>VHB</t>
  </si>
  <si>
    <t>Verkeersruimte/repro/garderobe harde vloer basis</t>
  </si>
  <si>
    <t>VHV</t>
  </si>
  <si>
    <t>Verkeersruimte/repro/garderobe harde vloer volledig</t>
  </si>
  <si>
    <t>VZB</t>
  </si>
  <si>
    <t>Verkeersruimte/repro/garderovel zachte vloer basis</t>
  </si>
  <si>
    <t>VZV</t>
  </si>
  <si>
    <t>Verkeersruimte/repro/garderobe zachte vloer volledig</t>
  </si>
  <si>
    <t>DHB</t>
  </si>
  <si>
    <t>Douche harde vloer basis</t>
  </si>
  <si>
    <t>DHV</t>
  </si>
  <si>
    <t>Douche harde vloer volledig</t>
  </si>
  <si>
    <t>KLHB</t>
  </si>
  <si>
    <t>Kleedruimte harde vloer basis</t>
  </si>
  <si>
    <t>KLHV</t>
  </si>
  <si>
    <t>Kleedruimte harde vloer volledig</t>
  </si>
  <si>
    <t>SHB</t>
  </si>
  <si>
    <t>Toilet harde vloer basis</t>
  </si>
  <si>
    <t>SHV</t>
  </si>
  <si>
    <t>Toilet harde vloer volledig</t>
  </si>
  <si>
    <t>ZDHB</t>
  </si>
  <si>
    <t>Douche/wasruimte natte sportruimte harde vloer (basis)</t>
  </si>
  <si>
    <t>ZDHV</t>
  </si>
  <si>
    <t>Douche/wasruimte natte sportruimte harde vloer volledig</t>
  </si>
  <si>
    <t>ZKLHB</t>
  </si>
  <si>
    <t>Kleedruimte natte sportruimte harde vloer (basis)</t>
  </si>
  <si>
    <t>ZKLHV</t>
  </si>
  <si>
    <t>Kleedruimte natte sportruimte harde vloer volledig</t>
  </si>
  <si>
    <t>ZSHB</t>
  </si>
  <si>
    <t>Sanitaire ruimte/toilet natte sportruimte harde vloer (basis)</t>
  </si>
  <si>
    <t>ZSHV</t>
  </si>
  <si>
    <t>Sanitaire ruimte/toilet natte sportruimte harde vloer volled (volledig)</t>
  </si>
  <si>
    <t>ZVHB</t>
  </si>
  <si>
    <t>Verkeersruimte natte sportruimte harde vloer (basis)</t>
  </si>
  <si>
    <t>ZVHV</t>
  </si>
  <si>
    <t>Verkeersruimte natte sportruimte harde vloer volledig</t>
  </si>
  <si>
    <t>BHB</t>
  </si>
  <si>
    <t>Bureau/personeels/EHBO kamers harde vloer basis</t>
  </si>
  <si>
    <t>BHV</t>
  </si>
  <si>
    <t>Bureau/personeels/EHBO kamers harde vloer volledig</t>
  </si>
  <si>
    <t>Bureau/personeel-/EHBO kamers harde vloer volledig</t>
  </si>
  <si>
    <t>Bureau/personeesl-/EHBO kamers harde vloer volledig</t>
  </si>
  <si>
    <t>LHB</t>
  </si>
  <si>
    <t>Leslokaal theorie harde vloer basis</t>
  </si>
  <si>
    <t>LHV</t>
  </si>
  <si>
    <t>Leslokaal theorie harde vloer volledig</t>
  </si>
  <si>
    <t>QHB</t>
  </si>
  <si>
    <t xml:space="preserve">V    </t>
  </si>
  <si>
    <t>Buiten entree hader vloeren (basis)</t>
  </si>
  <si>
    <t>QHV</t>
  </si>
  <si>
    <t>Buiten entree harde vloeren (volledig)</t>
  </si>
  <si>
    <t xml:space="preserve">WERKDAG VAKANTIE         </t>
  </si>
  <si>
    <t>VEHB</t>
  </si>
  <si>
    <t>Vakantie Entree harde vloer (basis)</t>
  </si>
  <si>
    <t>VFHB</t>
  </si>
  <si>
    <t>Vakantie Lift harde vloer (basis)</t>
  </si>
  <si>
    <t>VGHB</t>
  </si>
  <si>
    <t>Vakantie droge sportruimte harde vloer (basis)</t>
  </si>
  <si>
    <t>VRHB</t>
  </si>
  <si>
    <t>Vakantie restaurant/personeelsruimte/kantine harde vloer (basis)</t>
  </si>
  <si>
    <t>VTHB</t>
  </si>
  <si>
    <t>Vakantie trappenhuis harde vloer (basis)</t>
  </si>
  <si>
    <t>VVHB</t>
  </si>
  <si>
    <t>Vakantie gang/hal harde vloer (basis)</t>
  </si>
  <si>
    <t>VDHB</t>
  </si>
  <si>
    <t>Vakantie douche/wasruimte harde vloer (basis)</t>
  </si>
  <si>
    <t>VKLHB</t>
  </si>
  <si>
    <t>Vakantie kleedruimte droge sportruimte harde vloer (basis)</t>
  </si>
  <si>
    <t>VSHB</t>
  </si>
  <si>
    <t>Vakantie sanitaire ruimte/toilet harde vloer (basis)</t>
  </si>
  <si>
    <t>VBHB</t>
  </si>
  <si>
    <t>Vakantie bureau-/spreek-/vergaderruimte harde vloer (basis)</t>
  </si>
  <si>
    <t>VLHB</t>
  </si>
  <si>
    <t>Vakantie leslokaal harde vloer (basis)</t>
  </si>
  <si>
    <t xml:space="preserve">WEEKENDDAG               </t>
  </si>
  <si>
    <t>WEHB</t>
  </si>
  <si>
    <t>Weekend Entree harde vloer (basis)</t>
  </si>
  <si>
    <t>WFHB</t>
  </si>
  <si>
    <t>Weekend Lift harde vloer (basis)</t>
  </si>
  <si>
    <t>WGHB</t>
  </si>
  <si>
    <t>Weekend Droge sportruimte harde vloer (basis)</t>
  </si>
  <si>
    <t>WRHB</t>
  </si>
  <si>
    <t>Weekend Restaurant/personeelsruimte/kantine harde vloer (basis)</t>
  </si>
  <si>
    <t>WTHB</t>
  </si>
  <si>
    <t>Weekend Trappenhuis harde vloer (basis)</t>
  </si>
  <si>
    <t>WVHB</t>
  </si>
  <si>
    <t>Weekend Gang/hal harde vloer (basis)</t>
  </si>
  <si>
    <t>WDHB</t>
  </si>
  <si>
    <t>Weekend Douche/wasruimte harde vloer (basis)</t>
  </si>
  <si>
    <t>WKLHB</t>
  </si>
  <si>
    <t>Weekend Kleedruimte droge sportruimte harde vloer (basis)</t>
  </si>
  <si>
    <t>WSHB</t>
  </si>
  <si>
    <t>Weekend Sanitaire ruimte/toilet harde vloer (basis)</t>
  </si>
  <si>
    <t>WBHB</t>
  </si>
  <si>
    <t>Weekend bureau-/spreek/vergaderruimte harde vloer (basis)</t>
  </si>
  <si>
    <t>WLHB</t>
  </si>
  <si>
    <t>Weekend Leslokaal harde vloer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</si>
  <si>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</si>
  <si>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</si>
  <si>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</si>
  <si>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</si>
  <si>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</si>
  <si>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</si>
  <si>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</si>
  <si>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</si>
  <si>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</si>
  <si>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</si>
  <si>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Archief/berging harde vloer</t>
  </si>
  <si>
    <t>BH</t>
  </si>
  <si>
    <t>Bureau-/personeel-/EHBO kamer harde vloer</t>
  </si>
  <si>
    <t>Bureau-/personeels-/EHBO kamer harde vloer</t>
  </si>
  <si>
    <t>DH</t>
  </si>
  <si>
    <t>Douche-/wasruimte harde vloer</t>
  </si>
  <si>
    <t>EH</t>
  </si>
  <si>
    <t>Entree harde vloer</t>
  </si>
  <si>
    <t>EZ</t>
  </si>
  <si>
    <t>Entree zachte vloer</t>
  </si>
  <si>
    <t>FH</t>
  </si>
  <si>
    <t>Lift harde vloer</t>
  </si>
  <si>
    <t>GH</t>
  </si>
  <si>
    <t>Gymzaal harde vloer</t>
  </si>
  <si>
    <t>Gymzaal berging harde vloer</t>
  </si>
  <si>
    <t>KLH</t>
  </si>
  <si>
    <t>Kleedruimte harde vloer</t>
  </si>
  <si>
    <t>LH</t>
  </si>
  <si>
    <t>Leslokaal harde vloer</t>
  </si>
  <si>
    <t>QH</t>
  </si>
  <si>
    <t>Buiten entree harde vloeren</t>
  </si>
  <si>
    <t>RH</t>
  </si>
  <si>
    <t>Receptie harde vloer</t>
  </si>
  <si>
    <t>SH</t>
  </si>
  <si>
    <t>Sanitaire ruimte/toilet harde vloer</t>
  </si>
  <si>
    <t>Toilet harde vloer</t>
  </si>
  <si>
    <t>TH</t>
  </si>
  <si>
    <t>Trappenhuis harde vloer</t>
  </si>
  <si>
    <t>TRH</t>
  </si>
  <si>
    <t>Technische ruimte harde vloeren</t>
  </si>
  <si>
    <t>VH</t>
  </si>
  <si>
    <t>Verkeersruimten/reprografie harde vloer</t>
  </si>
  <si>
    <t>VZ</t>
  </si>
  <si>
    <t>Verkeersruimten/reprografie zachte vloer</t>
  </si>
  <si>
    <t>ZDH</t>
  </si>
  <si>
    <t>Douche/wasruimte zwembad harde vloer</t>
  </si>
  <si>
    <t>ZKLH</t>
  </si>
  <si>
    <t>Kleedruimte natte sportruimte harde vloer</t>
  </si>
  <si>
    <t>ZKLHN</t>
  </si>
  <si>
    <t>Kleedruimte natte sportruimte harde vloer NALOOP</t>
  </si>
  <si>
    <t>ZSH</t>
  </si>
  <si>
    <t>Sanitair natte sportruimte harde vloer</t>
  </si>
  <si>
    <t>ZSHN</t>
  </si>
  <si>
    <t>Sanitair natte sportruimte harde vloer NALOOP</t>
  </si>
  <si>
    <t>ZVH</t>
  </si>
  <si>
    <t>Verkeersruimte natte sportruimte harde vloer</t>
  </si>
  <si>
    <t>ZZ001</t>
  </si>
  <si>
    <t>extra</t>
  </si>
  <si>
    <t>Vrij te besteden reguliere schoonmaakuren doordeweeks Spaarnehal</t>
  </si>
  <si>
    <t>uur</t>
  </si>
  <si>
    <t xml:space="preserve">Totaal werkdag                  </t>
  </si>
  <si>
    <t xml:space="preserve">Gemiddeld uurtarief werkdag                  </t>
  </si>
  <si>
    <t>VBH</t>
  </si>
  <si>
    <t>Bureau-/spreek-/vergaderruimte harde vloer</t>
  </si>
  <si>
    <t>VDH</t>
  </si>
  <si>
    <t>Douche/wasruimte harde vloer</t>
  </si>
  <si>
    <t>VEH</t>
  </si>
  <si>
    <t>VFH</t>
  </si>
  <si>
    <t>VGH</t>
  </si>
  <si>
    <t>Droge sportruimte harde vloer</t>
  </si>
  <si>
    <t>VKLH</t>
  </si>
  <si>
    <t>Kleedruimte droge sportruimte harde vloer</t>
  </si>
  <si>
    <t>VLH</t>
  </si>
  <si>
    <t>VRH</t>
  </si>
  <si>
    <t>Restaurant/personeelsruimte/kantine harde vloer</t>
  </si>
  <si>
    <t>VSH</t>
  </si>
  <si>
    <t>VTH</t>
  </si>
  <si>
    <t>VVH</t>
  </si>
  <si>
    <t>Gang/hal harde vloer</t>
  </si>
  <si>
    <t xml:space="preserve">Totaal werkdag vakantie         </t>
  </si>
  <si>
    <t xml:space="preserve">Gemiddeld uurtarief werkdag vakantie         </t>
  </si>
  <si>
    <t>WBH</t>
  </si>
  <si>
    <t>WDH</t>
  </si>
  <si>
    <t>WEH</t>
  </si>
  <si>
    <t>WFH</t>
  </si>
  <si>
    <t>WGH</t>
  </si>
  <si>
    <t>WKLH</t>
  </si>
  <si>
    <t>WLH</t>
  </si>
  <si>
    <t>WRH</t>
  </si>
  <si>
    <t>WSH</t>
  </si>
  <si>
    <t>WTH</t>
  </si>
  <si>
    <t>WVH</t>
  </si>
  <si>
    <t>ZZ002</t>
  </si>
  <si>
    <t>Vrij te besteden reguliere schoonmaakuren weekend Spaarnehal</t>
  </si>
  <si>
    <t xml:space="preserve">Totaal weekenddag               </t>
  </si>
  <si>
    <t xml:space="preserve">Gemiddeld uurtarief weekenddag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</si>
  <si>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</si>
  <si>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</si>
  <si>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</si>
  <si>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</si>
  <si>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</si>
  <si>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</si>
  <si>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</si>
  <si>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</si>
  <si>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DAG-KRACHT</t>
  </si>
  <si>
    <t>UREN HOOG-FREQUENT/ DAG</t>
  </si>
  <si>
    <t>1000 - Sportcentrum De Planeet, Planetenlaan 15, Haarlem</t>
  </si>
  <si>
    <t>1000</t>
  </si>
  <si>
    <t>00</t>
  </si>
  <si>
    <t>0.01</t>
  </si>
  <si>
    <t>Perron Planeet 1</t>
  </si>
  <si>
    <t>tegels</t>
  </si>
  <si>
    <t>0.02</t>
  </si>
  <si>
    <t>Tribune Planeet 1</t>
  </si>
  <si>
    <t>0.03</t>
  </si>
  <si>
    <t>Perron Planeet</t>
  </si>
  <si>
    <t>0.04</t>
  </si>
  <si>
    <t>Grote kleedruimte 1</t>
  </si>
  <si>
    <t>0.05</t>
  </si>
  <si>
    <t>Grote kleedruimte 2</t>
  </si>
  <si>
    <t>0.06</t>
  </si>
  <si>
    <t>Grote kleedruimte 3</t>
  </si>
  <si>
    <t>0.07</t>
  </si>
  <si>
    <t>Grote kleedruimte 4</t>
  </si>
  <si>
    <t>0.08</t>
  </si>
  <si>
    <t>Grote kleedruimte 5</t>
  </si>
  <si>
    <t>0.09</t>
  </si>
  <si>
    <t>Grote kleedruimte 6</t>
  </si>
  <si>
    <t>0.10</t>
  </si>
  <si>
    <t>Kleedhokjes</t>
  </si>
  <si>
    <t>0.11</t>
  </si>
  <si>
    <t>Groepsdouche</t>
  </si>
  <si>
    <t>0.12</t>
  </si>
  <si>
    <t>Personeelskleedkamer</t>
  </si>
  <si>
    <t>0.13</t>
  </si>
  <si>
    <t>Schone voetengang</t>
  </si>
  <si>
    <t>0.14</t>
  </si>
  <si>
    <t>Vuile voetengang</t>
  </si>
  <si>
    <t>0.15</t>
  </si>
  <si>
    <t>Make up ruimte</t>
  </si>
  <si>
    <t>0.16</t>
  </si>
  <si>
    <t>Personeelskeuken</t>
  </si>
  <si>
    <t>0.17</t>
  </si>
  <si>
    <t>Toilet</t>
  </si>
  <si>
    <t>0.18</t>
  </si>
  <si>
    <t>0.19</t>
  </si>
  <si>
    <t>0.20</t>
  </si>
  <si>
    <t>0.21</t>
  </si>
  <si>
    <t>0.22</t>
  </si>
  <si>
    <t>0.23</t>
  </si>
  <si>
    <t>0.24</t>
  </si>
  <si>
    <t>0.25</t>
  </si>
  <si>
    <t>0.26</t>
  </si>
  <si>
    <t>0.27</t>
  </si>
  <si>
    <t>Hal</t>
  </si>
  <si>
    <t>0.28</t>
  </si>
  <si>
    <t>Receptie</t>
  </si>
  <si>
    <t>zeil</t>
  </si>
  <si>
    <t>0.29</t>
  </si>
  <si>
    <t>Kantoor</t>
  </si>
  <si>
    <t>linoleum</t>
  </si>
  <si>
    <t>0.30</t>
  </si>
  <si>
    <t>0.31</t>
  </si>
  <si>
    <t>0.32</t>
  </si>
  <si>
    <t>0.33</t>
  </si>
  <si>
    <t>0.34</t>
  </si>
  <si>
    <t>Totaal werkdag</t>
  </si>
  <si>
    <t>1001 - Boerhaavebad, Kadijklaan 1, Haarlem</t>
  </si>
  <si>
    <t>1001</t>
  </si>
  <si>
    <t>Schoonmaak werkzaamheden</t>
  </si>
  <si>
    <t>Kleedruimte</t>
  </si>
  <si>
    <t>toilet</t>
  </si>
  <si>
    <t>EHBO</t>
  </si>
  <si>
    <t>Douches</t>
  </si>
  <si>
    <t>Tribune</t>
  </si>
  <si>
    <t>Entreehal</t>
  </si>
  <si>
    <t>rubber</t>
  </si>
  <si>
    <t>Berging</t>
  </si>
  <si>
    <t>Gang</t>
  </si>
  <si>
    <t>1002 - Kennemer Sportcenter, IJsbaanlaan 4a, Haarlem</t>
  </si>
  <si>
    <t>1002</t>
  </si>
  <si>
    <t>entree</t>
  </si>
  <si>
    <t>centrale hal</t>
  </si>
  <si>
    <t>toiletten</t>
  </si>
  <si>
    <t>gang</t>
  </si>
  <si>
    <t>koffiekamer</t>
  </si>
  <si>
    <t>lino</t>
  </si>
  <si>
    <t>receptie</t>
  </si>
  <si>
    <t>ehbo</t>
  </si>
  <si>
    <t>kleedkamer</t>
  </si>
  <si>
    <t>douche</t>
  </si>
  <si>
    <t>leslokaal</t>
  </si>
  <si>
    <t>hal</t>
  </si>
  <si>
    <t>trap</t>
  </si>
  <si>
    <t>beton</t>
  </si>
  <si>
    <t>0.35</t>
  </si>
  <si>
    <t>0.36</t>
  </si>
  <si>
    <t>0.37</t>
  </si>
  <si>
    <t>0.38</t>
  </si>
  <si>
    <t>0.39</t>
  </si>
  <si>
    <t>0.40</t>
  </si>
  <si>
    <t>0.41</t>
  </si>
  <si>
    <t>0.42</t>
  </si>
  <si>
    <t>0.43</t>
  </si>
  <si>
    <t>0.44</t>
  </si>
  <si>
    <t>0.45</t>
  </si>
  <si>
    <t>descol</t>
  </si>
  <si>
    <t>0.46</t>
  </si>
  <si>
    <t>tennishal</t>
  </si>
  <si>
    <t>hardcore</t>
  </si>
  <si>
    <t>0.47</t>
  </si>
  <si>
    <t>Dojo</t>
  </si>
  <si>
    <t>dojo-vloer</t>
  </si>
  <si>
    <t>0.48</t>
  </si>
  <si>
    <t>Turnzaal</t>
  </si>
  <si>
    <t>01</t>
  </si>
  <si>
    <t>1.01</t>
  </si>
  <si>
    <t>kantoor</t>
  </si>
  <si>
    <t>1.02</t>
  </si>
  <si>
    <t>1.03</t>
  </si>
  <si>
    <t>1.04</t>
  </si>
  <si>
    <t>1.05</t>
  </si>
  <si>
    <t>1.06</t>
  </si>
  <si>
    <t>tribune sportzaal</t>
  </si>
  <si>
    <t>1.07</t>
  </si>
  <si>
    <t>1.08</t>
  </si>
  <si>
    <t>1.09</t>
  </si>
  <si>
    <t>berging</t>
  </si>
  <si>
    <t>1.10</t>
  </si>
  <si>
    <t>toestelberging</t>
  </si>
  <si>
    <t>1.11</t>
  </si>
  <si>
    <t>Lokaal</t>
  </si>
  <si>
    <t>1.12</t>
  </si>
  <si>
    <t>1.13</t>
  </si>
  <si>
    <t>CIOS</t>
  </si>
  <si>
    <t>0.49</t>
  </si>
  <si>
    <t>0.50</t>
  </si>
  <si>
    <t>1.14</t>
  </si>
  <si>
    <t>openleercentrum</t>
  </si>
  <si>
    <t>1.15</t>
  </si>
  <si>
    <t>open werkplek</t>
  </si>
  <si>
    <t>1.16</t>
  </si>
  <si>
    <t>docenten</t>
  </si>
  <si>
    <t>1.17</t>
  </si>
  <si>
    <t>1.18</t>
  </si>
  <si>
    <t>1.19</t>
  </si>
  <si>
    <t>1.20</t>
  </si>
  <si>
    <t>1.21</t>
  </si>
  <si>
    <t>lokaal</t>
  </si>
  <si>
    <t>1.22</t>
  </si>
  <si>
    <t>1.23</t>
  </si>
  <si>
    <t>1.24</t>
  </si>
  <si>
    <t>werkruimte</t>
  </si>
  <si>
    <t>1.25</t>
  </si>
  <si>
    <t>1.26</t>
  </si>
  <si>
    <t>lift</t>
  </si>
  <si>
    <t>1.27</t>
  </si>
  <si>
    <t>1.28</t>
  </si>
  <si>
    <t>1.29</t>
  </si>
  <si>
    <t>02</t>
  </si>
  <si>
    <t>2.01</t>
  </si>
  <si>
    <t>2.02</t>
  </si>
  <si>
    <t>2.03</t>
  </si>
  <si>
    <t>2.04</t>
  </si>
  <si>
    <t>2.05</t>
  </si>
  <si>
    <t>2.06</t>
  </si>
  <si>
    <t>2.07</t>
  </si>
  <si>
    <t>2.08</t>
  </si>
  <si>
    <t>03</t>
  </si>
  <si>
    <t>3.01</t>
  </si>
  <si>
    <t>3.02</t>
  </si>
  <si>
    <t>3.03</t>
  </si>
  <si>
    <t>3.04</t>
  </si>
  <si>
    <t>3.05</t>
  </si>
  <si>
    <t>3.06</t>
  </si>
  <si>
    <t>personeelskamer</t>
  </si>
  <si>
    <t>3.07</t>
  </si>
  <si>
    <t>3.09</t>
  </si>
  <si>
    <t>repro</t>
  </si>
  <si>
    <t>3.10</t>
  </si>
  <si>
    <t>3.11</t>
  </si>
  <si>
    <t>1003 - Sporthal Provincie Noord Holland, Jaap Edenlaan 3, Haarlem</t>
  </si>
  <si>
    <t>1003</t>
  </si>
  <si>
    <t>0.02T</t>
  </si>
  <si>
    <t>Trap</t>
  </si>
  <si>
    <t>Lift</t>
  </si>
  <si>
    <t>Toilet Heren</t>
  </si>
  <si>
    <t>Toilet MIVA</t>
  </si>
  <si>
    <t>Toilet Dames</t>
  </si>
  <si>
    <t>0.10D</t>
  </si>
  <si>
    <t>Douche</t>
  </si>
  <si>
    <t>0.10K</t>
  </si>
  <si>
    <t>Kleedkamer</t>
  </si>
  <si>
    <t>0.10T</t>
  </si>
  <si>
    <t>0.11D</t>
  </si>
  <si>
    <t>0.11T</t>
  </si>
  <si>
    <t>0.12T</t>
  </si>
  <si>
    <t>metaal rooster</t>
  </si>
  <si>
    <t>1.01T</t>
  </si>
  <si>
    <t>Sportzaal</t>
  </si>
  <si>
    <t>herculan</t>
  </si>
  <si>
    <t>schoonloopmat</t>
  </si>
  <si>
    <t>1.03T</t>
  </si>
  <si>
    <t>Werphok</t>
  </si>
  <si>
    <t>Krachtruimte</t>
  </si>
  <si>
    <t>2.03G</t>
  </si>
  <si>
    <t>2.03T</t>
  </si>
  <si>
    <t>1005 - Gymzaal Hedastraat, Hedastraat 3, Haarlem</t>
  </si>
  <si>
    <t>1005</t>
  </si>
  <si>
    <t>steen</t>
  </si>
  <si>
    <t>douches</t>
  </si>
  <si>
    <t>gietvloer</t>
  </si>
  <si>
    <t>sportzaal</t>
  </si>
  <si>
    <t>toiletten dames</t>
  </si>
  <si>
    <t>1006 - Gymzaal Badhuisstraat, Badhuisstraat 1, Haarlem</t>
  </si>
  <si>
    <t>1006</t>
  </si>
  <si>
    <t>1007 - Gymzaal St. Bernardus, Richard Holkade, Haarlem</t>
  </si>
  <si>
    <t>1007</t>
  </si>
  <si>
    <t>1008 - Gymzaal Parkrijk, Prins Bernardlaan 17, Haarlem</t>
  </si>
  <si>
    <t>1008</t>
  </si>
  <si>
    <t>1009 - Gymzaal Erasmuslaan, Erasmuslaan 3, Haarlem</t>
  </si>
  <si>
    <t>1009</t>
  </si>
  <si>
    <t>gymzaal</t>
  </si>
  <si>
    <t>1010 - Gymzaal Semmelweisstraat, Semmelweisstraat 7, Haarlem</t>
  </si>
  <si>
    <t>1010</t>
  </si>
  <si>
    <t>kleedruimte</t>
  </si>
  <si>
    <t>1011 - Gymzaal Doelenplein, Doelenplein 1, Haarlem</t>
  </si>
  <si>
    <t>1011</t>
  </si>
  <si>
    <t>fietsenstalling</t>
  </si>
  <si>
    <t>portaal</t>
  </si>
  <si>
    <t>1012 - Gymzaal Jepthastraat, Jepthastraat 1, Haarlem</t>
  </si>
  <si>
    <t>1012</t>
  </si>
  <si>
    <t>1013 - Gymzaal Houtmankade, Houtmanpad 32, Haarlem</t>
  </si>
  <si>
    <t>1013</t>
  </si>
  <si>
    <t>1014 - Gymzaal Duitslandlaan, Duitslandlaan 9, Haarlem</t>
  </si>
  <si>
    <t>1014</t>
  </si>
  <si>
    <t>1015 - Gymzaal Werfstraat, Werfstraat 6, Haarlem</t>
  </si>
  <si>
    <t>1015</t>
  </si>
  <si>
    <t>toilet miva</t>
  </si>
  <si>
    <t>1016 - Gymzaal De Dolfijn, Jan Gijzenkade, Haarlem</t>
  </si>
  <si>
    <t>1016</t>
  </si>
  <si>
    <t>Gymzaal</t>
  </si>
  <si>
    <t>Toestelberging</t>
  </si>
  <si>
    <t>Wasruimte</t>
  </si>
  <si>
    <t>1017 - Gymzaal Wijzert, Vilniusstraat 2, Haarlem</t>
  </si>
  <si>
    <t>1017</t>
  </si>
  <si>
    <t>1018 - Sporthal Spaarnehal, Fie Carelsenplein 1, Haarlem</t>
  </si>
  <si>
    <t>1018</t>
  </si>
  <si>
    <t>EXT</t>
  </si>
  <si>
    <t>Extra werkzaamheden</t>
  </si>
  <si>
    <t>1020 - Gymlokaal Spijkerboorpad, Spijkerboorpad 4, Haarlem</t>
  </si>
  <si>
    <t>1020</t>
  </si>
  <si>
    <t>1021 - Gymlokaal Phoenixstraat, Phoenixstraat 12, Haarlem</t>
  </si>
  <si>
    <t>1021</t>
  </si>
  <si>
    <t>Entree</t>
  </si>
  <si>
    <t>Miva</t>
  </si>
  <si>
    <t>Opslag</t>
  </si>
  <si>
    <t>Docentenruimte</t>
  </si>
  <si>
    <t>Kleedkamer dames</t>
  </si>
  <si>
    <t>Douche toilet</t>
  </si>
  <si>
    <t>Douche dames</t>
  </si>
  <si>
    <t>Bewegeningsruimte</t>
  </si>
  <si>
    <t>sportvloer</t>
  </si>
  <si>
    <t>Toilet dames</t>
  </si>
  <si>
    <t>Kleedkamer heren</t>
  </si>
  <si>
    <t>Toilet heren</t>
  </si>
  <si>
    <t>Douche heren</t>
  </si>
  <si>
    <t>Kleedruimte docent</t>
  </si>
  <si>
    <t>Sanitair docent</t>
  </si>
  <si>
    <t>Sporthal</t>
  </si>
  <si>
    <t>gymvloer</t>
  </si>
  <si>
    <t>Opslag schoolplein</t>
  </si>
  <si>
    <t>Toestelopslag</t>
  </si>
  <si>
    <t>Toestelkast</t>
  </si>
  <si>
    <t>Technische ruimte</t>
  </si>
  <si>
    <t>Doucheruimte</t>
  </si>
  <si>
    <t>trappenhuis</t>
  </si>
  <si>
    <t>technische ruimte</t>
  </si>
  <si>
    <t>1022 - Yvonne van Gennip Hal, Sportweg 7, Haarlem</t>
  </si>
  <si>
    <t>1022</t>
  </si>
  <si>
    <t>-01</t>
  </si>
  <si>
    <t>-1.02</t>
  </si>
  <si>
    <t>Verkeersruimte</t>
  </si>
  <si>
    <t>0.01a</t>
  </si>
  <si>
    <t>Tochtportaal</t>
  </si>
  <si>
    <t>Trappenhuis</t>
  </si>
  <si>
    <t>EHBO ruimte</t>
  </si>
  <si>
    <t>Was/doucheruimte</t>
  </si>
  <si>
    <t>Scheidsrechter</t>
  </si>
  <si>
    <t>0.12a</t>
  </si>
  <si>
    <t>Douche/toilet</t>
  </si>
  <si>
    <t>Doche ruimte</t>
  </si>
  <si>
    <t>Massageruimte</t>
  </si>
  <si>
    <t>0.24a</t>
  </si>
  <si>
    <t>Tribure</t>
  </si>
  <si>
    <t>1050 - 't Gymhuys, Bloemendaalsestraatweg 205, Velsen</t>
  </si>
  <si>
    <t>1050</t>
  </si>
  <si>
    <t>1051 - Kennemerzaal, Moerbergplantsoen 65 B, IJmuiden</t>
  </si>
  <si>
    <t>1051</t>
  </si>
  <si>
    <t>Entree buiten</t>
  </si>
  <si>
    <t>Entree portaal</t>
  </si>
  <si>
    <t>Damestoilet</t>
  </si>
  <si>
    <t>0.07A</t>
  </si>
  <si>
    <t>houten sportvloer</t>
  </si>
  <si>
    <t>Herentoilet</t>
  </si>
  <si>
    <t>Docentenkamer</t>
  </si>
  <si>
    <t>1052 - Heerenduinzaal, Heerenduinweg 43, IJmuiden</t>
  </si>
  <si>
    <t>1052</t>
  </si>
  <si>
    <t>inloopmat</t>
  </si>
  <si>
    <t>1053 - Sluiswijkzaal, Kerkstraat 93, IJmuiden</t>
  </si>
  <si>
    <t>1053</t>
  </si>
  <si>
    <t>1054 - Waterloozaal, Waterloolaan 5, Driehuis</t>
  </si>
  <si>
    <t>1054</t>
  </si>
  <si>
    <t>1055 - De Weid, De Weid 22, Velserbroek</t>
  </si>
  <si>
    <t>1055</t>
  </si>
  <si>
    <t>Toilet/douche</t>
  </si>
  <si>
    <t>1057 - Gymzaal de Wijckeroogzaal (Bredeschool), Heirweg 2, Velsen Noord</t>
  </si>
  <si>
    <t>1057</t>
  </si>
  <si>
    <t>1.41</t>
  </si>
  <si>
    <t>Bergruimte (toestellen)</t>
  </si>
  <si>
    <t>1.44</t>
  </si>
  <si>
    <t>1.46</t>
  </si>
  <si>
    <t>1.55</t>
  </si>
  <si>
    <t>Toiletruimte</t>
  </si>
  <si>
    <t>1.56</t>
  </si>
  <si>
    <t>Docent</t>
  </si>
  <si>
    <t>1.57</t>
  </si>
  <si>
    <t>1.58</t>
  </si>
  <si>
    <t>1.59</t>
  </si>
  <si>
    <t>1.60</t>
  </si>
  <si>
    <t>1.61</t>
  </si>
  <si>
    <t>1.64</t>
  </si>
  <si>
    <t>Bergruimte</t>
  </si>
  <si>
    <t>Totaal werkdag vakantie</t>
  </si>
  <si>
    <t>Totaal weekenddag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</si>
  <si>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</si>
  <si>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</si>
  <si>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</si>
  <si>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</si>
  <si>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</si>
  <si>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</si>
  <si>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</si>
  <si>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</si>
  <si>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1000</t>
  </si>
  <si>
    <t xml:space="preserve">    1001</t>
  </si>
  <si>
    <t xml:space="preserve">    1002</t>
  </si>
  <si>
    <t xml:space="preserve">    1003</t>
  </si>
  <si>
    <t xml:space="preserve">    1005</t>
  </si>
  <si>
    <t xml:space="preserve">    1006</t>
  </si>
  <si>
    <t xml:space="preserve">    1007</t>
  </si>
  <si>
    <t xml:space="preserve">    1008</t>
  </si>
  <si>
    <t xml:space="preserve">    1009</t>
  </si>
  <si>
    <t xml:space="preserve">    1010</t>
  </si>
  <si>
    <t xml:space="preserve">    1011</t>
  </si>
  <si>
    <t xml:space="preserve">    1012</t>
  </si>
  <si>
    <t xml:space="preserve">    1013</t>
  </si>
  <si>
    <t xml:space="preserve">    1014</t>
  </si>
  <si>
    <t xml:space="preserve">    1015</t>
  </si>
  <si>
    <t xml:space="preserve">    1016</t>
  </si>
  <si>
    <t xml:space="preserve">    1017</t>
  </si>
  <si>
    <t xml:space="preserve">    1018</t>
  </si>
  <si>
    <t xml:space="preserve">    1020</t>
  </si>
  <si>
    <t xml:space="preserve">    1021</t>
  </si>
  <si>
    <t xml:space="preserve">    1022</t>
  </si>
  <si>
    <t xml:space="preserve">    1050</t>
  </si>
  <si>
    <t xml:space="preserve">    1051</t>
  </si>
  <si>
    <t xml:space="preserve">    1052</t>
  </si>
  <si>
    <t xml:space="preserve">    1053</t>
  </si>
  <si>
    <t xml:space="preserve">    1054</t>
  </si>
  <si>
    <t xml:space="preserve">    1055</t>
  </si>
  <si>
    <t xml:space="preserve">    1057</t>
  </si>
  <si>
    <t>werkdag</t>
  </si>
  <si>
    <t>werkdag vakantie</t>
  </si>
  <si>
    <t>weekenddag</t>
  </si>
  <si>
    <t>NAAM</t>
  </si>
  <si>
    <t>ADRES</t>
  </si>
  <si>
    <t>PLAATS</t>
  </si>
  <si>
    <t>BASIS UURTARIEF</t>
  </si>
  <si>
    <t>UREN/ UITVOERING</t>
  </si>
  <si>
    <t>UREN HOOG-FREQUENT/ UITVOERING</t>
  </si>
  <si>
    <t>UREN HOOG-FREQUENT SUPPLETIE/ UITVOERING</t>
  </si>
  <si>
    <t>UREN HOOG-FREQUENT TOTAAL/ UITVOERING</t>
  </si>
  <si>
    <t>UREN TOTAAL/ DAG</t>
  </si>
  <si>
    <t>PRIJS SUPPLETIE/ DAG</t>
  </si>
  <si>
    <t>PRIJS TOTAAL/ DAG</t>
  </si>
  <si>
    <t>UREN HOOG-FREQUENT/ JAAR</t>
  </si>
  <si>
    <t>PRIJS/ MAAND (EURO)</t>
  </si>
  <si>
    <t>Sportcentrum De Planeet</t>
  </si>
  <si>
    <t>Planetenlaan 15</t>
  </si>
  <si>
    <t>Haarlem</t>
  </si>
  <si>
    <t>Boerhaavebad</t>
  </si>
  <si>
    <t>Kadijklaan 1</t>
  </si>
  <si>
    <t>Kennemer Sportcenter</t>
  </si>
  <si>
    <t>IJsbaanlaan 4a</t>
  </si>
  <si>
    <t>Sporthal Provincie Noord Holland</t>
  </si>
  <si>
    <t>Jaap Edenlaan 3</t>
  </si>
  <si>
    <t>Gymzaal Hedastraat</t>
  </si>
  <si>
    <t>Hedastraat 3</t>
  </si>
  <si>
    <t>Gymzaal Badhuisstraat</t>
  </si>
  <si>
    <t>Badhuisstraat 1</t>
  </si>
  <si>
    <t>Gymzaal St. Bernardus</t>
  </si>
  <si>
    <t>Richard Holkade</t>
  </si>
  <si>
    <t>Gymzaal Parkrijk</t>
  </si>
  <si>
    <t>Prins Bernardlaan 17</t>
  </si>
  <si>
    <t>Gymzaal Erasmuslaan</t>
  </si>
  <si>
    <t>Erasmuslaan 3</t>
  </si>
  <si>
    <t>Gymzaal Semmelweisstraat</t>
  </si>
  <si>
    <t>Semmelweisstraat 7</t>
  </si>
  <si>
    <t>Gymzaal Doelenplein</t>
  </si>
  <si>
    <t>Doelenplein 1</t>
  </si>
  <si>
    <t>Gymzaal Jepthastraat</t>
  </si>
  <si>
    <t>Jepthastraat 1</t>
  </si>
  <si>
    <t>Gymzaal Houtmankade</t>
  </si>
  <si>
    <t>Houtmanpad 32</t>
  </si>
  <si>
    <t>Gymzaal Duitslandlaan</t>
  </si>
  <si>
    <t>Duitslandlaan 9</t>
  </si>
  <si>
    <t>Gymzaal Werfstraat</t>
  </si>
  <si>
    <t>Werfstraat 6</t>
  </si>
  <si>
    <t>Gymzaal De Dolfijn</t>
  </si>
  <si>
    <t>Jan Gijzenkade</t>
  </si>
  <si>
    <t>Gymzaal Wijzert</t>
  </si>
  <si>
    <t>Vilniusstraat 2</t>
  </si>
  <si>
    <t>Sporthal Spaarnehal</t>
  </si>
  <si>
    <t>Fie Carelsenplein 1</t>
  </si>
  <si>
    <t>Gymlokaal Spijkerboorpad</t>
  </si>
  <si>
    <t>Spijkerboorpad 4</t>
  </si>
  <si>
    <t>Gymlokaal Phoenixstraat</t>
  </si>
  <si>
    <t>Phoenixstraat 12</t>
  </si>
  <si>
    <t>Yvonne van Gennip Hal</t>
  </si>
  <si>
    <t>Sportweg 7</t>
  </si>
  <si>
    <t>t Gymhuys</t>
  </si>
  <si>
    <t>Bloemendaalsestraatweg 205</t>
  </si>
  <si>
    <t>Velsen</t>
  </si>
  <si>
    <t>Kennemerzaal</t>
  </si>
  <si>
    <t>Moerbergplantsoen 65 B</t>
  </si>
  <si>
    <t>IJmuiden</t>
  </si>
  <si>
    <t>Heerenduinzaal</t>
  </si>
  <si>
    <t>Heerenduinweg 43</t>
  </si>
  <si>
    <t>Sluiswijkzaal</t>
  </si>
  <si>
    <t>Kerkstraat 93</t>
  </si>
  <si>
    <t>Waterloozaal</t>
  </si>
  <si>
    <t>Waterloolaan 5</t>
  </si>
  <si>
    <t>Driehuis</t>
  </si>
  <si>
    <t>De Weid</t>
  </si>
  <si>
    <t>De Weid 22</t>
  </si>
  <si>
    <t>Velserbroek</t>
  </si>
  <si>
    <t>Gymzaal de Wijckeroogzaal (Bredeschool)</t>
  </si>
  <si>
    <t>Heirweg 2</t>
  </si>
  <si>
    <t>Velsen Noord</t>
  </si>
  <si>
    <t>Totaal regulier werk incl. suppleties (excl. BTW)</t>
  </si>
  <si>
    <t>PRIJS/ MAAND EXCL.BTW</t>
  </si>
  <si>
    <t>Totaal van alle objecten (excl. BTW)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</si>
  <si>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</si>
  <si>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</si>
  <si>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</si>
  <si>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</si>
  <si>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</si>
  <si>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</si>
  <si>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</si>
  <si>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9700</t>
  </si>
  <si>
    <t>Periodiek vloeronderhoud strippen en polymeren</t>
  </si>
  <si>
    <t>tijdsnorm in vloer m²/uur</t>
  </si>
  <si>
    <t>Totaal additioneel werk excl. BTW</t>
  </si>
  <si>
    <t>Totaal 1002 - Kennemer Sportcenter, IJsbaanlaan 4a, Haarlem</t>
  </si>
  <si>
    <t>Totaal 1003 - Sporthal Provincie Noord Holland, Jaap Edenlaan 3, Haarlem</t>
  </si>
  <si>
    <t>Totaal 1017 - Gymzaal Wijzert, Vilniusstraat 2, Haarlem</t>
  </si>
  <si>
    <t>Totaal 1020 - Gymlokaal Spijkerboorpad, Spijkerboorpad 4, Haarlem</t>
  </si>
  <si>
    <t>Totaal 1051 - Kennemerzaal, Moerbergplantsoen 65 B, IJmuiden</t>
  </si>
  <si>
    <t>Totaal 1052 - Heerenduinzaal, Heerenduinweg 43, IJmuiden</t>
  </si>
  <si>
    <t>Totaal 1053 - Sluiswijkzaal, Kerkstraat 93, IJmuiden</t>
  </si>
  <si>
    <t>Totaal 1055 - De Weid, De Weid 22, Velserbroek</t>
  </si>
  <si>
    <t>9000</t>
  </si>
  <si>
    <t>Medewerker regiewerkzaamheden</t>
  </si>
  <si>
    <t>prijs per uur</t>
  </si>
  <si>
    <t>9100</t>
  </si>
  <si>
    <t>Medewerker specialistische werkzaamheden</t>
  </si>
  <si>
    <t>9150</t>
  </si>
  <si>
    <t>Medewerker calamiteiten werkzaamheden</t>
  </si>
  <si>
    <t>9200</t>
  </si>
  <si>
    <t>Medewerker verwijderen graffiti</t>
  </si>
  <si>
    <t>W9000</t>
  </si>
  <si>
    <t>W9100</t>
  </si>
  <si>
    <t>W9150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</si>
  <si>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</si>
  <si>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</si>
  <si>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</si>
  <si>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</si>
  <si>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</si>
  <si>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</si>
  <si>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</si>
  <si>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</si>
  <si>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</si>
  <si>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</si>
  <si>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</si>
  <si>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</si>
  <si>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</si>
  <si>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</si>
  <si>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</si>
  <si>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</si>
  <si>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</si>
  <si>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</si>
  <si>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</si>
  <si>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</si>
  <si>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</si>
  <si>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</si>
  <si>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</si>
  <si>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</si>
  <si>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</si>
  <si>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</si>
  <si>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</si>
  <si>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</si>
  <si>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</si>
  <si>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</si>
  <si>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</si>
  <si>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</si>
  <si>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</si>
  <si>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</si>
  <si>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</si>
  <si>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</si>
  <si>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</si>
  <si>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</si>
  <si>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</si>
  <si>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</si>
  <si>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</si>
  <si>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</si>
  <si>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</si>
  <si>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</si>
  <si>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</si>
  <si>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</si>
  <si>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</si>
  <si>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</si>
  <si>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</si>
  <si>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</si>
  <si>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</si>
  <si>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</si>
  <si>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</si>
  <si>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</si>
  <si>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</si>
  <si>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</si>
  <si>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</si>
  <si>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</si>
  <si>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</si>
  <si>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</si>
  <si>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</si>
  <si>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</si>
  <si>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</si>
  <si>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</si>
  <si>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</si>
  <si>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</si>
  <si>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</si>
  <si>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</si>
  <si>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</si>
  <si>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</si>
  <si>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</si>
  <si>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</si>
  <si>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</si>
  <si>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</si>
  <si>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</si>
  <si>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</si>
  <si>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</si>
  <si>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</si>
  <si>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</si>
  <si>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</si>
  <si>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</si>
  <si>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</si>
  <si>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</si>
  <si>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</si>
  <si>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</si>
  <si>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</si>
  <si>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</si>
  <si>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</si>
  <si>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</si>
  <si>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</si>
  <si>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</si>
  <si>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</si>
  <si>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</si>
  <si>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</si>
  <si>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</si>
  <si>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</si>
  <si>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</si>
  <si>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</si>
  <si>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</si>
  <si>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</si>
  <si>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</si>
  <si>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</si>
  <si>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</si>
  <si>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</si>
  <si>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</si>
  <si>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</si>
  <si>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</si>
  <si>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Stoelbekleding (stof) reinigen</t>
  </si>
  <si>
    <t>4090B</t>
  </si>
  <si>
    <t>25 &lt; 50 stuks</t>
  </si>
  <si>
    <t>4090C</t>
  </si>
  <si>
    <t>50 &lt; 75 stuks</t>
  </si>
  <si>
    <t>4090D</t>
  </si>
  <si>
    <t>&gt;= 75 stuks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</si>
  <si>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</si>
  <si>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</si>
  <si>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</si>
  <si>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</si>
  <si>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</si>
  <si>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</si>
  <si>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</si>
  <si>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8150</t>
  </si>
  <si>
    <t>Inzet Hoogwerker Kennemer Sportcenter</t>
  </si>
  <si>
    <t>totaalprijs</t>
  </si>
  <si>
    <t>8151</t>
  </si>
  <si>
    <t>Inzet Hoogwerker Sporthal Provincie Noord-Holland</t>
  </si>
  <si>
    <t>8152</t>
  </si>
  <si>
    <t>Inzet Hoogwerker Gymzaal Hedastraat</t>
  </si>
  <si>
    <t>8153</t>
  </si>
  <si>
    <t>Inzet Hoogwerker Gymzaal Badhuisstraat</t>
  </si>
  <si>
    <t>8154</t>
  </si>
  <si>
    <t>Inzet Hoogwerker Gymzaal St. Bernardus</t>
  </si>
  <si>
    <t>8156</t>
  </si>
  <si>
    <t>Inzet Hoogwerker Gymzaal Parkrijk</t>
  </si>
  <si>
    <t>8157</t>
  </si>
  <si>
    <t>Inzet Hoogwerker Gymzaal Erasmuslaan</t>
  </si>
  <si>
    <t>8159</t>
  </si>
  <si>
    <t>Inzet Hoogwerker Gymzaal F. van Adrichem</t>
  </si>
  <si>
    <t>8160</t>
  </si>
  <si>
    <t>Inzet Hoogwerker Gymzaal Doelenplein</t>
  </si>
  <si>
    <t>8161</t>
  </si>
  <si>
    <t>Inzet Hoogwerker Gymzaal Jepthastraat</t>
  </si>
  <si>
    <t>8163</t>
  </si>
  <si>
    <t>Inzet Hoogwerker Gymzaal Houtmankade</t>
  </si>
  <si>
    <t>8164</t>
  </si>
  <si>
    <t>Inzet Hoogwerker Gymzaal Duitslandlaan</t>
  </si>
  <si>
    <t>8165</t>
  </si>
  <si>
    <t>Inzet Hoogwerker Gymzaal Werfstraat</t>
  </si>
  <si>
    <t>8166</t>
  </si>
  <si>
    <t>Inzet Hoogwerker Gymzaal De Dolfijn</t>
  </si>
  <si>
    <t>8167</t>
  </si>
  <si>
    <t>Inzet Hoogwerker Gymlokaal Vilniusstraat</t>
  </si>
  <si>
    <t>8168</t>
  </si>
  <si>
    <t>Inzet Hoogwerker Sporthal Spaarnehal</t>
  </si>
  <si>
    <t>8169</t>
  </si>
  <si>
    <t>Inzet Hoogwerker Gymzaal Zuidwester/Lorentzkade</t>
  </si>
  <si>
    <t>8250</t>
  </si>
  <si>
    <t>Inzet Tuckerpool Sportcentrum De Planeet</t>
  </si>
  <si>
    <t>8251</t>
  </si>
  <si>
    <t>Inzet Tuckerpool Boerhaavebad</t>
  </si>
  <si>
    <t>Totaal glas excl. BTW</t>
  </si>
  <si>
    <t>Totaal 1000 - Sportcentrum De Planeet, Planetenlaan 15, Haarlem</t>
  </si>
  <si>
    <t>Totaal 1001 - Boerhaavebad, Kadijklaan 1, Haarlem</t>
  </si>
  <si>
    <t>Totaal 1005 - Gymzaal Hedastraat, Hedastraat 3, Haarlem</t>
  </si>
  <si>
    <t>Totaal 1006 - Gymzaal Badhuisstraat, Badhuisstraat 1, Haarlem</t>
  </si>
  <si>
    <t>Totaal 1007 - Gymzaal St. Bernardus, Richard Holkade, Haarlem</t>
  </si>
  <si>
    <t>Totaal 1008 - Gymzaal Parkrijk, Prins Bernardlaan 17, Haarlem</t>
  </si>
  <si>
    <t>Totaal 1009 - Gymzaal Erasmuslaan, Erasmuslaan 3, Haarlem</t>
  </si>
  <si>
    <t>Totaal 1010 - Gymzaal Semmelweisstraat, Semmelweisstraat 7, Haarlem</t>
  </si>
  <si>
    <t>Totaal 1011 - Gymzaal Doelenplein, Doelenplein 1, Haarlem</t>
  </si>
  <si>
    <t>Totaal 1012 - Gymzaal Jepthastraat, Jepthastraat 1, Haarlem</t>
  </si>
  <si>
    <t>Totaal 1013 - Gymzaal Houtmankade, Houtmanpad 32, Haarlem</t>
  </si>
  <si>
    <t>Totaal 1014 - Gymzaal Duitslandlaan, Duitslandlaan 9, Haarlem</t>
  </si>
  <si>
    <t>Totaal 1015 - Gymzaal Werfstraat, Werfstraat 6, Haarlem</t>
  </si>
  <si>
    <t>Totaal 1016 - Gymzaal De Dolfijn, Jan Gijzenkade, Haarlem</t>
  </si>
  <si>
    <t>Totaal 1018 - Sporthal Spaarnehal, Fie Carelsenplein 1, Haarlem</t>
  </si>
  <si>
    <t>Totaal 1021 - Gymlokaal Phoenixstraat, Phoenixstraat 12, Haarlem</t>
  </si>
  <si>
    <t>Totaal 1022 - Yvonne van Gennip Hal, Sportweg 7, Haarlem</t>
  </si>
  <si>
    <t>Totaal 1050 - 't Gymhuys, Bloemendaalsestraatweg 205, Velsen</t>
  </si>
  <si>
    <t>Totaal 1054 - Waterloozaal, Waterloolaan 5, Driehuis</t>
  </si>
  <si>
    <t>Soort werk</t>
  </si>
  <si>
    <t>Uren per jaar uitvoering</t>
  </si>
  <si>
    <t>Uren hoogfrequent per jaar uitvoering</t>
  </si>
  <si>
    <t>Bedrag per jaar excl. BTW (euro)</t>
  </si>
  <si>
    <t xml:space="preserve">Regulier werk </t>
  </si>
  <si>
    <t>Additioneel werk</t>
  </si>
  <si>
    <t>Afroepwerk (geschatte frequenties)</t>
  </si>
  <si>
    <t>Glas (geschat)</t>
  </si>
  <si>
    <t>Totaal generaal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</si>
</sst>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1" fillId="3" borderId="12" xfId="0" applyNumberFormat="1" applyFont="1" applyFill="1" applyBorder="1"/>
    <xf numFmtId="49" fontId="1" fillId="3" borderId="13" xfId="0" applyNumberFormat="1" applyFont="1" applyFill="1" applyBorder="1"/>
    <xf numFmtId="49" fontId="1" fillId="3" borderId="14" xfId="0" applyNumberFormat="1" applyFont="1" applyFill="1" applyBorder="1"/>
    <xf numFmtId="49" fontId="1" fillId="3" borderId="15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5" xfId="0" applyNumberFormat="1" applyFont="1" applyFill="1" applyBorder="1" applyAlignment="1">
      <alignment wrapText="1"/>
    </xf>
    <xf numFmtId="49" fontId="1" fillId="4" borderId="16" xfId="0" applyNumberFormat="1" applyFont="1" applyFill="1" applyBorder="1" applyAlignment="1">
      <alignment wrapText="1"/>
    </xf>
    <xf numFmtId="49" fontId="1" fillId="4" borderId="17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5" xfId="0" applyNumberFormat="1" applyFill="1" applyBorder="1"/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10" fontId="0" fillId="4" borderId="16" xfId="0" applyNumberFormat="1" applyFill="1" applyBorder="1" applyProtection="1">
      <protection locked="0"/>
    </xf>
    <xf numFmtId="49" fontId="1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0" fontId="0" fillId="2" borderId="15" xfId="0" applyFill="1" applyBorder="1" applyAlignment="1">
      <alignment wrapText="1"/>
    </xf>
    <xf numFmtId="10" fontId="0" fillId="2" borderId="16" xfId="0" applyNumberFormat="1" applyFill="1" applyBorder="1"/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4" xfId="0" applyNumberFormat="1" applyFill="1" applyBorder="1"/>
    <xf numFmtId="49" fontId="0" fillId="2" borderId="9" xfId="0" applyNumberFormat="1" applyFill="1" applyBorder="1"/>
    <xf numFmtId="164" fontId="0" fillId="2" borderId="9" xfId="0" applyNumberFormat="1" applyFill="1" applyBorder="1"/>
    <xf numFmtId="164" fontId="0" fillId="2" borderId="5" xfId="0" applyNumberFormat="1" applyFill="1" applyBorder="1"/>
    <xf numFmtId="49" fontId="0" fillId="2" borderId="24" xfId="0" applyNumberFormat="1" applyFill="1" applyBorder="1"/>
    <xf numFmtId="1" fontId="0" fillId="2" borderId="24" xfId="0" applyNumberFormat="1" applyFill="1" applyBorder="1"/>
    <xf numFmtId="4" fontId="0" fillId="0" borderId="24" xfId="0" applyNumberFormat="1" applyBorder="1" applyProtection="1">
      <protection locked="0"/>
    </xf>
    <xf numFmtId="10" fontId="0" fillId="0" borderId="24" xfId="0" applyNumberFormat="1" applyBorder="1" applyProtection="1">
      <protection locked="0"/>
    </xf>
    <xf numFmtId="164" fontId="0" fillId="2" borderId="24" xfId="0" applyNumberFormat="1" applyFill="1" applyBorder="1"/>
    <xf numFmtId="49" fontId="0" fillId="2" borderId="25" xfId="0" applyNumberFormat="1" applyFill="1" applyBorder="1"/>
    <xf numFmtId="1" fontId="0" fillId="2" borderId="25" xfId="0" applyNumberFormat="1" applyFill="1" applyBorder="1"/>
    <xf numFmtId="4" fontId="0" fillId="0" borderId="25" xfId="0" applyNumberFormat="1" applyBorder="1" applyProtection="1">
      <protection locked="0"/>
    </xf>
    <xf numFmtId="10" fontId="0" fillId="0" borderId="25" xfId="0" applyNumberFormat="1" applyBorder="1" applyProtection="1">
      <protection locked="0"/>
    </xf>
    <xf numFmtId="164" fontId="0" fillId="2" borderId="25" xfId="0" applyNumberFormat="1" applyFill="1" applyBorder="1"/>
    <xf numFmtId="49" fontId="0" fillId="2" borderId="26" xfId="0" applyNumberFormat="1" applyFill="1" applyBorder="1"/>
    <xf numFmtId="1" fontId="0" fillId="2" borderId="26" xfId="0" applyNumberFormat="1" applyFill="1" applyBorder="1"/>
    <xf numFmtId="4" fontId="0" fillId="0" borderId="26" xfId="0" applyNumberFormat="1" applyBorder="1" applyProtection="1">
      <protection locked="0"/>
    </xf>
    <xf numFmtId="10" fontId="0" fillId="0" borderId="26" xfId="0" applyNumberFormat="1" applyBorder="1" applyProtection="1">
      <protection locked="0"/>
    </xf>
    <xf numFmtId="164" fontId="0" fillId="2" borderId="26" xfId="0" applyNumberFormat="1" applyFill="1" applyBorder="1"/>
    <xf numFmtId="4" fontId="0" fillId="2" borderId="9" xfId="0" applyNumberFormat="1" applyFill="1" applyBorder="1"/>
    <xf numFmtId="165" fontId="0" fillId="2" borderId="9" xfId="0" applyNumberFormat="1" applyFill="1" applyBorder="1"/>
    <xf numFmtId="10" fontId="0" fillId="2" borderId="9" xfId="0" applyNumberFormat="1" applyFill="1" applyBorder="1"/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4" fontId="0" fillId="2" borderId="25" xfId="0" applyNumberFormat="1" applyFill="1" applyBorder="1"/>
    <xf numFmtId="165" fontId="0" fillId="2" borderId="25" xfId="0" applyNumberFormat="1" applyFill="1" applyBorder="1"/>
    <xf numFmtId="10" fontId="0" fillId="2" borderId="25" xfId="0" applyNumberFormat="1" applyFill="1" applyBorder="1"/>
    <xf numFmtId="4" fontId="0" fillId="2" borderId="26" xfId="0" applyNumberFormat="1" applyFill="1" applyBorder="1"/>
    <xf numFmtId="165" fontId="0" fillId="2" borderId="26" xfId="0" applyNumberFormat="1" applyFill="1" applyBorder="1"/>
    <xf numFmtId="0" fontId="0" fillId="3" borderId="28" xfId="0" applyFill="1" applyBorder="1"/>
    <xf numFmtId="49" fontId="0" fillId="3" borderId="21" xfId="0" applyNumberFormat="1" applyFill="1" applyBorder="1"/>
    <xf numFmtId="0" fontId="0" fillId="3" borderId="22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1" xfId="0" applyFill="1" applyBorder="1"/>
    <xf numFmtId="0" fontId="0" fillId="3" borderId="29" xfId="0" applyFill="1" applyBorder="1"/>
    <xf numFmtId="10" fontId="0" fillId="2" borderId="26" xfId="0" applyNumberFormat="1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9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0" fontId="0" fillId="2" borderId="13" xfId="0" applyNumberFormat="1" applyFill="1" applyBorder="1"/>
    <xf numFmtId="164" fontId="0" fillId="2" borderId="13" xfId="0" applyNumberFormat="1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10" fontId="0" fillId="2" borderId="19" xfId="0" applyNumberFormat="1" applyFill="1" applyBorder="1"/>
    <xf numFmtId="49" fontId="0" fillId="3" borderId="32" xfId="0" applyNumberFormat="1" applyFill="1" applyBorder="1"/>
    <xf numFmtId="10" fontId="0" fillId="0" borderId="13" xfId="0" applyNumberFormat="1" applyBorder="1"/>
    <xf numFmtId="0" fontId="0" fillId="2" borderId="13" xfId="0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0" fontId="0" fillId="3" borderId="6" xfId="0" applyFill="1" applyBorder="1"/>
    <xf numFmtId="49" fontId="0" fillId="4" borderId="24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49" fontId="0" fillId="4" borderId="25" xfId="0" applyNumberFormat="1" applyFill="1" applyBorder="1" applyProtection="1">
      <protection locked="0"/>
    </xf>
    <xf numFmtId="164" fontId="0" fillId="4" borderId="25" xfId="0" applyNumberFormat="1" applyFill="1" applyBorder="1" applyProtection="1">
      <protection locked="0"/>
    </xf>
    <xf numFmtId="49" fontId="0" fillId="2" borderId="25" xfId="0" quotePrefix="1" applyNumberFormat="1" applyFill="1" applyBorder="1"/>
    <xf numFmtId="49" fontId="0" fillId="4" borderId="26" xfId="0" applyNumberFormat="1" applyFill="1" applyBorder="1" applyProtection="1">
      <protection locked="0"/>
    </xf>
    <xf numFmtId="164" fontId="0" fillId="4" borderId="26" xfId="0" applyNumberFormat="1" applyFill="1" applyBorder="1" applyProtection="1">
      <protection locked="0"/>
    </xf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4" fontId="0" fillId="0" borderId="6" xfId="0" applyNumberFormat="1" applyBorder="1" applyProtection="1">
      <protection locked="0"/>
    </xf>
    <xf numFmtId="164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0" borderId="6" xfId="0" applyNumberFormat="1" applyBorder="1" applyProtection="1">
      <protection locked="0"/>
    </xf>
    <xf numFmtId="164" fontId="0" fillId="3" borderId="6" xfId="0" applyNumberFormat="1" applyFill="1" applyBorder="1" applyProtection="1"/>
    <xf numFmtId="164" fontId="0" fillId="3" borderId="23" xfId="0" applyNumberFormat="1" applyFill="1" applyBorder="1"/>
    <xf numFmtId="0" fontId="0" fillId="3" borderId="21" xfId="0" applyFill="1" applyBorder="1" applyAlignment="1"/>
    <xf numFmtId="0" fontId="0" fillId="3" borderId="23" xfId="0" applyFill="1" applyBorder="1"/>
    <xf numFmtId="164" fontId="0" fillId="2" borderId="6" xfId="0" applyNumberFormat="1" applyFill="1" applyBorder="1" applyProtection="1"/>
    <xf numFmtId="4" fontId="0" fillId="2" borderId="6" xfId="0" applyNumberFormat="1" applyFill="1" applyBorder="1" applyProtection="1"/>
    <xf numFmtId="49" fontId="0" fillId="3" borderId="21" xfId="0" applyNumberFormat="1" applyFill="1" applyBorder="1" applyAlignment="1"/>
    <xf numFmtId="4" fontId="0" fillId="4" borderId="24" xfId="0" applyNumberFormat="1" applyFill="1" applyBorder="1"/>
    <xf numFmtId="164" fontId="0" fillId="0" borderId="24" xfId="0" applyNumberFormat="1" applyBorder="1" applyProtection="1">
      <protection locked="0"/>
    </xf>
    <xf numFmtId="4" fontId="0" fillId="3" borderId="24" xfId="0" applyNumberFormat="1" applyFill="1" applyBorder="1" applyProtection="1"/>
    <xf numFmtId="4" fontId="0" fillId="4" borderId="25" xfId="0" applyNumberFormat="1" applyFill="1" applyBorder="1"/>
    <xf numFmtId="164" fontId="0" fillId="0" borderId="25" xfId="0" applyNumberFormat="1" applyBorder="1" applyProtection="1">
      <protection locked="0"/>
    </xf>
    <xf numFmtId="4" fontId="0" fillId="3" borderId="25" xfId="0" applyNumberFormat="1" applyFill="1" applyBorder="1" applyProtection="1"/>
    <xf numFmtId="4" fontId="0" fillId="4" borderId="26" xfId="0" applyNumberFormat="1" applyFill="1" applyBorder="1"/>
    <xf numFmtId="164" fontId="0" fillId="0" borderId="26" xfId="0" applyNumberFormat="1" applyBorder="1" applyProtection="1">
      <protection locked="0"/>
    </xf>
    <xf numFmtId="4" fontId="0" fillId="3" borderId="26" xfId="0" applyNumberFormat="1" applyFill="1" applyBorder="1" applyProtection="1"/>
    <xf numFmtId="164" fontId="0" fillId="2" borderId="24" xfId="0" applyNumberFormat="1" applyFill="1" applyBorder="1" applyProtection="1"/>
    <xf numFmtId="164" fontId="0" fillId="2" borderId="25" xfId="0" applyNumberFormat="1" applyFill="1" applyBorder="1" applyProtection="1"/>
    <xf numFmtId="164" fontId="0" fillId="2" borderId="26" xfId="0" applyNumberFormat="1" applyFill="1" applyBorder="1" applyProtection="1"/>
    <xf numFmtId="49" fontId="0" fillId="3" borderId="24" xfId="0" applyNumberFormat="1" applyFill="1" applyBorder="1" applyAlignment="1">
      <alignment wrapText="1"/>
    </xf>
    <xf numFmtId="49" fontId="0" fillId="3" borderId="25" xfId="0" applyNumberFormat="1" applyFill="1" applyBorder="1" applyAlignment="1">
      <alignment wrapText="1"/>
    </xf>
    <xf numFmtId="4" fontId="0" fillId="3" borderId="25" xfId="0" applyNumberFormat="1" applyFill="1" applyBorder="1"/>
    <xf numFmtId="49" fontId="0" fillId="3" borderId="26" xfId="0" applyNumberFormat="1" applyFill="1" applyBorder="1" applyAlignment="1">
      <alignment wrapText="1"/>
    </xf>
    <xf numFmtId="4" fontId="0" fillId="3" borderId="2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BC6E2-1005-42FD-9AE7-E247BDB30862}">
  <dimension ref="A1:H33"/>
  <sheetViews>
    <sheetView workbookViewId="0"/>
  </sheetViews>
  <sheetFormatPr defaultRowHeight="12.6" x14ac:dyDescent="0.2"/>
  <sheetData>
    <row r="1" spans="1:8" x14ac:dyDescent="0.2">
      <c r="A1" s="1" t="s">
        <v>0</v>
      </c>
    </row>
    <row r="3" spans="1:8" x14ac:dyDescent="0.2">
      <c r="A3" t="s">
        <v>1</v>
      </c>
    </row>
    <row r="5" spans="1:8" x14ac:dyDescent="0.2">
      <c r="A5" t="s">
        <v>2</v>
      </c>
      <c r="B5" t="s">
        <v>3</v>
      </c>
    </row>
    <row r="7" spans="1:8" x14ac:dyDescent="0.2">
      <c r="A7" s="4" t="s">
        <v>4</v>
      </c>
      <c r="B7" s="5"/>
      <c r="D7" s="4" t="s">
        <v>30</v>
      </c>
      <c r="E7" s="5"/>
      <c r="G7" s="4" t="s">
        <v>32</v>
      </c>
      <c r="H7" s="5"/>
    </row>
    <row r="8" spans="1:8" x14ac:dyDescent="0.2">
      <c r="A8" s="2"/>
      <c r="B8" s="3"/>
      <c r="D8" s="2"/>
      <c r="E8" s="3"/>
      <c r="G8" s="2"/>
      <c r="H8" s="3"/>
    </row>
    <row r="9" spans="1:8" x14ac:dyDescent="0.2">
      <c r="A9" s="2" t="s">
        <v>5</v>
      </c>
      <c r="B9" s="3">
        <v>255</v>
      </c>
      <c r="D9" s="2" t="s">
        <v>5</v>
      </c>
      <c r="E9" s="3">
        <v>8</v>
      </c>
      <c r="G9" s="2" t="s">
        <v>5</v>
      </c>
      <c r="H9" s="3">
        <v>102</v>
      </c>
    </row>
    <row r="10" spans="1:8" x14ac:dyDescent="0.2">
      <c r="A10" s="2" t="s">
        <v>6</v>
      </c>
      <c r="B10" s="3">
        <v>5</v>
      </c>
      <c r="D10" s="2" t="s">
        <v>6</v>
      </c>
      <c r="E10" s="3">
        <v>1</v>
      </c>
      <c r="G10" s="2" t="s">
        <v>6</v>
      </c>
      <c r="H10" s="3">
        <v>2</v>
      </c>
    </row>
    <row r="11" spans="1:8" x14ac:dyDescent="0.2">
      <c r="A11" s="2"/>
      <c r="B11" s="3"/>
      <c r="D11" s="2"/>
      <c r="E11" s="3"/>
      <c r="G11" s="2"/>
      <c r="H11" s="3"/>
    </row>
    <row r="12" spans="1:8" x14ac:dyDescent="0.2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</row>
    <row r="13" spans="1:8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  <c r="D13" s="2" t="s">
        <v>9</v>
      </c>
      <c r="E13" s="3">
        <f>IF(D13="2½W",2.5/dagenperweek2,IF(RIGHT(D13,1)="W",VALUE(LEFT(D13,LEN(D13)-1))/dagenperweek2,IF(RIGHT(D13,1)="J",VALUE(LEFT(D13,LEN(D13)-1))/dagenperjaar2,"handmatig!")))</f>
        <v>5</v>
      </c>
      <c r="G13" s="2" t="s">
        <v>18</v>
      </c>
      <c r="H13" s="3">
        <f>IF(G13="2½W",2.5/dagenperweek3,IF(RIGHT(G13,1)="W",VALUE(LEFT(G13,LEN(G13)-1))/dagenperweek3,IF(RIGHT(G13,1)="J",VALUE(LEFT(G13,LEN(G13)-1))/dagenperjaar3,"handmatig!")))</f>
        <v>1</v>
      </c>
    </row>
    <row r="14" spans="1:8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1</v>
      </c>
      <c r="D14" s="2" t="s">
        <v>12</v>
      </c>
      <c r="E14" s="3">
        <f>IF(D14="2½W",2.5/dagenperweek2,IF(RIGHT(D14,1)="W",VALUE(LEFT(D14,LEN(D14)-1))/dagenperweek2,IF(RIGHT(D14,1)="J",VALUE(LEFT(D14,LEN(D14)-1))/dagenperjaar2,"handmatig!")))</f>
        <v>4</v>
      </c>
      <c r="G14" s="2" t="s">
        <v>33</v>
      </c>
      <c r="H14" s="3">
        <f>IF(G14="2½W",2.5/dagenperweek3,IF(RIGHT(G14,1)="W",VALUE(LEFT(G14,LEN(G14)-1))/dagenperweek3,IF(RIGHT(G14,1)="J",VALUE(LEFT(G14,LEN(G14)-1))/dagenperjaar3,"handmatig!")))</f>
        <v>0.88235294117647056</v>
      </c>
    </row>
    <row r="15" spans="1:8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0.88235294117647056</v>
      </c>
      <c r="D15" s="2" t="s">
        <v>31</v>
      </c>
      <c r="E15" s="3">
        <f>IF(D15="2½W",2.5/dagenperweek2,IF(RIGHT(D15,1)="W",VALUE(LEFT(D15,LEN(D15)-1))/dagenperweek2,IF(RIGHT(D15,1)="J",VALUE(LEFT(D15,LEN(D15)-1))/dagenperjaar2,"handmatig!")))</f>
        <v>3.75</v>
      </c>
      <c r="G15" s="2" t="s">
        <v>34</v>
      </c>
      <c r="H15" s="3">
        <f>IF(G15="2½W",2.5/dagenperweek3,IF(RIGHT(G15,1)="W",VALUE(LEFT(G15,LEN(G15)-1))/dagenperweek3,IF(RIGHT(G15,1)="J",VALUE(LEFT(G15,LEN(G15)-1))/dagenperjaar3,"handmatig!")))</f>
        <v>0.78431372549019607</v>
      </c>
    </row>
    <row r="16" spans="1:8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0.8</v>
      </c>
      <c r="D16" s="2" t="s">
        <v>15</v>
      </c>
      <c r="E16" s="3">
        <f>IF(D16="2½W",2.5/dagenperweek2,IF(RIGHT(D16,1)="W",VALUE(LEFT(D16,LEN(D16)-1))/dagenperweek2,IF(RIGHT(D16,1)="J",VALUE(LEFT(D16,LEN(D16)-1))/dagenperjaar2,"handmatig!")))</f>
        <v>3</v>
      </c>
      <c r="G16" s="2" t="s">
        <v>35</v>
      </c>
      <c r="H16" s="3">
        <f>IF(G16="2½W",2.5/dagenperweek3,IF(RIGHT(G16,1)="W",VALUE(LEFT(G16,LEN(G16)-1))/dagenperweek3,IF(RIGHT(G16,1)="J",VALUE(LEFT(G16,LEN(G16)-1))/dagenperjaar3,"handmatig!")))</f>
        <v>0.68627450980392157</v>
      </c>
    </row>
    <row r="17" spans="1:8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0.78431372549019607</v>
      </c>
      <c r="D17" s="2" t="s">
        <v>18</v>
      </c>
      <c r="E17" s="3">
        <f>IF(D17="2½W",2.5/dagenperweek2,IF(RIGHT(D17,1)="W",VALUE(LEFT(D17,LEN(D17)-1))/dagenperweek2,IF(RIGHT(D17,1)="J",VALUE(LEFT(D17,LEN(D17)-1))/dagenperjaar2,"handmatig!")))</f>
        <v>2</v>
      </c>
      <c r="G17" s="2" t="s">
        <v>20</v>
      </c>
      <c r="H17" s="3">
        <f>IF(G17="2½W",2.5/dagenperweek3,IF(RIGHT(G17,1)="W",VALUE(LEFT(G17,LEN(G17)-1))/dagenperweek3,IF(RIGHT(G17,1)="J",VALUE(LEFT(G17,LEN(G17)-1))/dagenperjaar3,"handmatig!")))</f>
        <v>0.5</v>
      </c>
    </row>
    <row r="18" spans="1:8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0.68627450980392157</v>
      </c>
      <c r="D18" s="2" t="s">
        <v>20</v>
      </c>
      <c r="E18" s="3">
        <f>IF(D18="2½W",2.5/dagenperweek2,IF(RIGHT(D18,1)="W",VALUE(LEFT(D18,LEN(D18)-1))/dagenperweek2,IF(RIGHT(D18,1)="J",VALUE(LEFT(D18,LEN(D18)-1))/dagenperjaar2,"handmatig!")))</f>
        <v>1</v>
      </c>
      <c r="G18" s="2" t="s">
        <v>36</v>
      </c>
      <c r="H18" s="3">
        <f>IF(G18="2½W",2.5/dagenperweek3,IF(RIGHT(G18,1)="W",VALUE(LEFT(G18,LEN(G18)-1))/dagenperweek3,IF(RIGHT(G18,1)="J",VALUE(LEFT(G18,LEN(G18)-1))/dagenperjaar3,"handmatig!")))</f>
        <v>0.49019607843137253</v>
      </c>
    </row>
    <row r="19" spans="1:8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0.6</v>
      </c>
      <c r="D19" s="2" t="s">
        <v>23</v>
      </c>
      <c r="E19" s="3">
        <f>IF(D19="2½W",2.5/dagenperweek2,IF(RIGHT(D19,1)="W",VALUE(LEFT(D19,LEN(D19)-1))/dagenperweek2,IF(RIGHT(D19,1)="J",VALUE(LEFT(D19,LEN(D19)-1))/dagenperjaar2,"handmatig!")))</f>
        <v>3.25</v>
      </c>
      <c r="G19" s="2" t="s">
        <v>24</v>
      </c>
      <c r="H19" s="3">
        <f>IF(G19="2½W",2.5/dagenperweek3,IF(RIGHT(G19,1)="W",VALUE(LEFT(G19,LEN(G19)-1))/dagenperweek3,IF(RIGHT(G19,1)="J",VALUE(LEFT(G19,LEN(G19)-1))/dagenperjaar3,"handmatig!")))</f>
        <v>0.11764705882352941</v>
      </c>
    </row>
    <row r="20" spans="1:8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0.58823529411764708</v>
      </c>
      <c r="D20" s="2" t="s">
        <v>24</v>
      </c>
      <c r="E20" s="3">
        <f>IF(D20="2½W",2.5/dagenperweek2,IF(RIGHT(D20,1)="W",VALUE(LEFT(D20,LEN(D20)-1))/dagenperweek2,IF(RIGHT(D20,1)="J",VALUE(LEFT(D20,LEN(D20)-1))/dagenperjaar2,"handmatig!")))</f>
        <v>1.5</v>
      </c>
      <c r="G20" s="6" t="s">
        <v>29</v>
      </c>
      <c r="H20" s="7">
        <f>IF(G20="2½W",2.5/dagenperweek3,IF(RIGHT(G20,1)="W",VALUE(LEFT(G20,LEN(G20)-1))/dagenperweek3,IF(RIGHT(G20,1)="J",VALUE(LEFT(G20,LEN(G20)-1))/dagenperjaar3,"handmatig!")))</f>
        <v>9.8039215686274508E-3</v>
      </c>
    </row>
    <row r="21" spans="1:8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0.47058823529411764</v>
      </c>
      <c r="D21" s="2" t="s">
        <v>25</v>
      </c>
      <c r="E21" s="3">
        <f>IF(D21="2½W",2.5/dagenperweek2,IF(RIGHT(D21,1)="W",VALUE(LEFT(D21,LEN(D21)-1))/dagenperweek2,IF(RIGHT(D21,1)="J",VALUE(LEFT(D21,LEN(D21)-1))/dagenperjaar2,"handmatig!")))</f>
        <v>0.75</v>
      </c>
    </row>
    <row r="22" spans="1:8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0.4</v>
      </c>
      <c r="D22" s="2" t="s">
        <v>26</v>
      </c>
      <c r="E22" s="3">
        <f>IF(D22="2½W",2.5/dagenperweek2,IF(RIGHT(D22,1)="W",VALUE(LEFT(D22,LEN(D22)-1))/dagenperweek2,IF(RIGHT(D22,1)="J",VALUE(LEFT(D22,LEN(D22)-1))/dagenperjaar2,"handmatig!")))</f>
        <v>0.5</v>
      </c>
    </row>
    <row r="23" spans="1:8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0.23529411764705882</v>
      </c>
      <c r="D23" s="2" t="s">
        <v>27</v>
      </c>
      <c r="E23" s="3">
        <f>IF(D23="2½W",2.5/dagenperweek2,IF(RIGHT(D23,1)="W",VALUE(LEFT(D23,LEN(D23)-1))/dagenperweek2,IF(RIGHT(D23,1)="J",VALUE(LEFT(D23,LEN(D23)-1))/dagenperjaar2,"handmatig!")))</f>
        <v>0.375</v>
      </c>
    </row>
    <row r="24" spans="1:8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0.2</v>
      </c>
      <c r="D24" s="2" t="s">
        <v>28</v>
      </c>
      <c r="E24" s="3">
        <f>IF(D24="2½W",2.5/dagenperweek2,IF(RIGHT(D24,1)="W",VALUE(LEFT(D24,LEN(D24)-1))/dagenperweek2,IF(RIGHT(D24,1)="J",VALUE(LEFT(D24,LEN(D24)-1))/dagenperjaar2,"handmatig!")))</f>
        <v>0.25</v>
      </c>
    </row>
    <row r="25" spans="1:8" x14ac:dyDescent="0.2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0.17647058823529413</v>
      </c>
      <c r="D25" s="6" t="s">
        <v>29</v>
      </c>
      <c r="E25" s="7">
        <f>IF(D25="2½W",2.5/dagenperweek2,IF(RIGHT(D25,1)="W",VALUE(LEFT(D25,LEN(D25)-1))/dagenperweek2,IF(RIGHT(D25,1)="J",VALUE(LEFT(D25,LEN(D25)-1))/dagenperjaar2,"handmatig!")))</f>
        <v>0.125</v>
      </c>
    </row>
    <row r="26" spans="1:8" x14ac:dyDescent="0.2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0.15686274509803921</v>
      </c>
    </row>
    <row r="27" spans="1:8" x14ac:dyDescent="0.2">
      <c r="A27" s="2" t="s">
        <v>23</v>
      </c>
      <c r="B27" s="3">
        <f>IF(A27="2½W",2.5/dagenperweek1,IF(RIGHT(A27,1)="W",VALUE(LEFT(A27,LEN(A27)-1))/dagenperweek1,IF(RIGHT(A27,1)="J",VALUE(LEFT(A27,LEN(A27)-1))/dagenperjaar1,"handmatig!")))</f>
        <v>0.10196078431372549</v>
      </c>
    </row>
    <row r="28" spans="1:8" x14ac:dyDescent="0.2">
      <c r="A28" s="2" t="s">
        <v>24</v>
      </c>
      <c r="B28" s="3">
        <f>IF(A28="2½W",2.5/dagenperweek1,IF(RIGHT(A28,1)="W",VALUE(LEFT(A28,LEN(A28)-1))/dagenperweek1,IF(RIGHT(A28,1)="J",VALUE(LEFT(A28,LEN(A28)-1))/dagenperjaar1,"handmatig!")))</f>
        <v>4.7058823529411764E-2</v>
      </c>
    </row>
    <row r="29" spans="1:8" x14ac:dyDescent="0.2">
      <c r="A29" s="2" t="s">
        <v>25</v>
      </c>
      <c r="B29" s="3">
        <f>IF(A29="2½W",2.5/dagenperweek1,IF(RIGHT(A29,1)="W",VALUE(LEFT(A29,LEN(A29)-1))/dagenperweek1,IF(RIGHT(A29,1)="J",VALUE(LEFT(A29,LEN(A29)-1))/dagenperjaar1,"handmatig!")))</f>
        <v>2.3529411764705882E-2</v>
      </c>
    </row>
    <row r="30" spans="1:8" x14ac:dyDescent="0.2">
      <c r="A30" s="2" t="s">
        <v>26</v>
      </c>
      <c r="B30" s="3">
        <f>IF(A30="2½W",2.5/dagenperweek1,IF(RIGHT(A30,1)="W",VALUE(LEFT(A30,LEN(A30)-1))/dagenperweek1,IF(RIGHT(A30,1)="J",VALUE(LEFT(A30,LEN(A30)-1))/dagenperjaar1,"handmatig!")))</f>
        <v>1.5686274509803921E-2</v>
      </c>
    </row>
    <row r="31" spans="1:8" x14ac:dyDescent="0.2">
      <c r="A31" s="2" t="s">
        <v>27</v>
      </c>
      <c r="B31" s="3">
        <f>IF(A31="2½W",2.5/dagenperweek1,IF(RIGHT(A31,1)="W",VALUE(LEFT(A31,LEN(A31)-1))/dagenperweek1,IF(RIGHT(A31,1)="J",VALUE(LEFT(A31,LEN(A31)-1))/dagenperjaar1,"handmatig!")))</f>
        <v>1.1764705882352941E-2</v>
      </c>
    </row>
    <row r="32" spans="1:8" x14ac:dyDescent="0.2">
      <c r="A32" s="2" t="s">
        <v>28</v>
      </c>
      <c r="B32" s="3">
        <f>IF(A32="2½W",2.5/dagenperweek1,IF(RIGHT(A32,1)="W",VALUE(LEFT(A32,LEN(A32)-1))/dagenperweek1,IF(RIGHT(A32,1)="J",VALUE(LEFT(A32,LEN(A32)-1))/dagenperjaar1,"handmatig!")))</f>
        <v>7.8431372549019607E-3</v>
      </c>
    </row>
    <row r="33" spans="1:2" x14ac:dyDescent="0.2">
      <c r="A33" s="6" t="s">
        <v>29</v>
      </c>
      <c r="B33" s="7">
        <f>IF(A33="2½W",2.5/dagenperweek1,IF(RIGHT(A33,1)="W",VALUE(LEFT(A33,LEN(A33)-1))/dagenperweek1,IF(RIGHT(A33,1)="J",VALUE(LEFT(A33,LEN(A33)-1))/dagenperjaar1,"handmatig!")))</f>
        <v>3.9215686274509803E-3</v>
      </c>
    </row>
  </sheetData>
  <sheetProtection algorithmName="SHA-512" hashValue="zPWDbNhb5MkmOf18Fl8bcP4KgahfMz4MnU2eOyq3v9iH0PJBwj9Ns+5H2auciJUMdjDHIuEZFtEdStLukOYm/Q==" saltValue="PROzMVo6vf8hDYzYX8amzQ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7FE57-DB6D-41BB-9F2C-FD5C3FF47DE3}">
  <dimension ref="A1:H33"/>
  <sheetViews>
    <sheetView workbookViewId="0"/>
  </sheetViews>
  <sheetFormatPr defaultRowHeight="12.6" x14ac:dyDescent="0.2"/>
  <cols>
    <col min="1" max="1" width="8.6328125" customWidth="1"/>
    <col min="2" max="2" width="32.6328125" customWidth="1"/>
    <col min="3" max="3" width="20.6328125" customWidth="1"/>
    <col min="4" max="4" width="18.6328125" customWidth="1"/>
    <col min="5" max="6" width="12.6328125" customWidth="1"/>
    <col min="7" max="7" width="14.6328125" customWidth="1"/>
    <col min="8" max="8" width="13.6328125" customWidth="1"/>
  </cols>
  <sheetData>
    <row r="1" spans="1:8" x14ac:dyDescent="0.2">
      <c r="A1" s="1" t="str">
        <f>CONCATENATE("Bijlage F.2.7: ",tabeltype," totaalblad objecten")</f>
        <v>Bijlage F.2.7: Invultabel totaalblad objecten</v>
      </c>
    </row>
    <row r="3" spans="1:8" ht="37.799999999999997" x14ac:dyDescent="0.2">
      <c r="A3" s="40" t="s">
        <v>334</v>
      </c>
      <c r="B3" s="40" t="s">
        <v>711</v>
      </c>
      <c r="C3" s="40" t="s">
        <v>712</v>
      </c>
      <c r="D3" s="40" t="s">
        <v>713</v>
      </c>
      <c r="E3" s="40" t="s">
        <v>722</v>
      </c>
      <c r="F3" s="40" t="s">
        <v>243</v>
      </c>
      <c r="G3" s="40" t="s">
        <v>244</v>
      </c>
      <c r="H3" s="40" t="s">
        <v>787</v>
      </c>
    </row>
    <row r="4" spans="1:8" x14ac:dyDescent="0.2">
      <c r="A4" s="51" t="s">
        <v>344</v>
      </c>
      <c r="B4" s="51" t="s">
        <v>724</v>
      </c>
      <c r="C4" s="51" t="s">
        <v>725</v>
      </c>
      <c r="D4" s="51" t="s">
        <v>726</v>
      </c>
      <c r="E4" s="69">
        <f>objecturenhf1_1</f>
        <v>0</v>
      </c>
      <c r="F4" s="69">
        <f>objecturen1_1</f>
        <v>0</v>
      </c>
      <c r="G4" s="55">
        <f>objectprijs1_1</f>
        <v>0</v>
      </c>
      <c r="H4" s="55">
        <f>G4/12</f>
        <v>0</v>
      </c>
    </row>
    <row r="5" spans="1:8" x14ac:dyDescent="0.2">
      <c r="A5" s="56" t="s">
        <v>405</v>
      </c>
      <c r="B5" s="56" t="s">
        <v>727</v>
      </c>
      <c r="C5" s="56" t="s">
        <v>728</v>
      </c>
      <c r="D5" s="56" t="s">
        <v>726</v>
      </c>
      <c r="E5" s="72">
        <f>objecturenhf2_1</f>
        <v>0</v>
      </c>
      <c r="F5" s="72">
        <f>objecturen2_1</f>
        <v>0</v>
      </c>
      <c r="G5" s="60">
        <f>objectprijs2_1</f>
        <v>0</v>
      </c>
      <c r="H5" s="60">
        <f>G5/12</f>
        <v>0</v>
      </c>
    </row>
    <row r="6" spans="1:8" x14ac:dyDescent="0.2">
      <c r="A6" s="56" t="s">
        <v>417</v>
      </c>
      <c r="B6" s="56" t="s">
        <v>729</v>
      </c>
      <c r="C6" s="56" t="s">
        <v>730</v>
      </c>
      <c r="D6" s="56" t="s">
        <v>726</v>
      </c>
      <c r="E6" s="72">
        <f>objecturenhf3_1+objecturenhf3_2+objecturenhf3_3</f>
        <v>0</v>
      </c>
      <c r="F6" s="72">
        <f>objecturen3_1+objecturen3_2+objecturen3_3</f>
        <v>0</v>
      </c>
      <c r="G6" s="60">
        <f>objectprijs3_1+objectprijs3_2+objectprijs3_3</f>
        <v>0</v>
      </c>
      <c r="H6" s="60">
        <f>G6/12</f>
        <v>0</v>
      </c>
    </row>
    <row r="7" spans="1:8" x14ac:dyDescent="0.2">
      <c r="A7" s="56" t="s">
        <v>519</v>
      </c>
      <c r="B7" s="56" t="s">
        <v>731</v>
      </c>
      <c r="C7" s="56" t="s">
        <v>732</v>
      </c>
      <c r="D7" s="56" t="s">
        <v>726</v>
      </c>
      <c r="E7" s="72">
        <f>objecturenhf4_1</f>
        <v>0</v>
      </c>
      <c r="F7" s="72">
        <f>objecturen4_1</f>
        <v>0</v>
      </c>
      <c r="G7" s="60">
        <f>objectprijs4_1</f>
        <v>0</v>
      </c>
      <c r="H7" s="60">
        <f>G7/12</f>
        <v>0</v>
      </c>
    </row>
    <row r="8" spans="1:8" x14ac:dyDescent="0.2">
      <c r="A8" s="56" t="s">
        <v>545</v>
      </c>
      <c r="B8" s="56" t="s">
        <v>733</v>
      </c>
      <c r="C8" s="56" t="s">
        <v>734</v>
      </c>
      <c r="D8" s="56" t="s">
        <v>726</v>
      </c>
      <c r="E8" s="72">
        <f>objecturenhf5_1</f>
        <v>0</v>
      </c>
      <c r="F8" s="72">
        <f>objecturen5_1</f>
        <v>0</v>
      </c>
      <c r="G8" s="60">
        <f>objectprijs5_1</f>
        <v>0</v>
      </c>
      <c r="H8" s="60">
        <f>G8/12</f>
        <v>0</v>
      </c>
    </row>
    <row r="9" spans="1:8" x14ac:dyDescent="0.2">
      <c r="A9" s="56" t="s">
        <v>552</v>
      </c>
      <c r="B9" s="56" t="s">
        <v>735</v>
      </c>
      <c r="C9" s="56" t="s">
        <v>736</v>
      </c>
      <c r="D9" s="56" t="s">
        <v>726</v>
      </c>
      <c r="E9" s="72">
        <f>objecturenhf6_1</f>
        <v>0</v>
      </c>
      <c r="F9" s="72">
        <f>objecturen6_1</f>
        <v>0</v>
      </c>
      <c r="G9" s="60">
        <f>objectprijs6_1</f>
        <v>0</v>
      </c>
      <c r="H9" s="60">
        <f>G9/12</f>
        <v>0</v>
      </c>
    </row>
    <row r="10" spans="1:8" x14ac:dyDescent="0.2">
      <c r="A10" s="56" t="s">
        <v>554</v>
      </c>
      <c r="B10" s="56" t="s">
        <v>737</v>
      </c>
      <c r="C10" s="56" t="s">
        <v>738</v>
      </c>
      <c r="D10" s="56" t="s">
        <v>726</v>
      </c>
      <c r="E10" s="72">
        <f>objecturenhf7_1</f>
        <v>0</v>
      </c>
      <c r="F10" s="72">
        <f>objecturen7_1</f>
        <v>0</v>
      </c>
      <c r="G10" s="60">
        <f>objectprijs7_1</f>
        <v>0</v>
      </c>
      <c r="H10" s="60">
        <f>G10/12</f>
        <v>0</v>
      </c>
    </row>
    <row r="11" spans="1:8" x14ac:dyDescent="0.2">
      <c r="A11" s="56" t="s">
        <v>556</v>
      </c>
      <c r="B11" s="56" t="s">
        <v>739</v>
      </c>
      <c r="C11" s="56" t="s">
        <v>740</v>
      </c>
      <c r="D11" s="56" t="s">
        <v>726</v>
      </c>
      <c r="E11" s="72">
        <f>objecturenhf8_1</f>
        <v>0</v>
      </c>
      <c r="F11" s="72">
        <f>objecturen8_1</f>
        <v>0</v>
      </c>
      <c r="G11" s="60">
        <f>objectprijs8_1</f>
        <v>0</v>
      </c>
      <c r="H11" s="60">
        <f>G11/12</f>
        <v>0</v>
      </c>
    </row>
    <row r="12" spans="1:8" x14ac:dyDescent="0.2">
      <c r="A12" s="56" t="s">
        <v>558</v>
      </c>
      <c r="B12" s="56" t="s">
        <v>741</v>
      </c>
      <c r="C12" s="56" t="s">
        <v>742</v>
      </c>
      <c r="D12" s="56" t="s">
        <v>726</v>
      </c>
      <c r="E12" s="72">
        <f>objecturenhf9_1</f>
        <v>0</v>
      </c>
      <c r="F12" s="72">
        <f>objecturen9_1</f>
        <v>0</v>
      </c>
      <c r="G12" s="60">
        <f>objectprijs9_1</f>
        <v>0</v>
      </c>
      <c r="H12" s="60">
        <f>G12/12</f>
        <v>0</v>
      </c>
    </row>
    <row r="13" spans="1:8" x14ac:dyDescent="0.2">
      <c r="A13" s="56" t="s">
        <v>561</v>
      </c>
      <c r="B13" s="56" t="s">
        <v>743</v>
      </c>
      <c r="C13" s="56" t="s">
        <v>744</v>
      </c>
      <c r="D13" s="56" t="s">
        <v>726</v>
      </c>
      <c r="E13" s="72">
        <f>objecturenhf10_1</f>
        <v>0</v>
      </c>
      <c r="F13" s="72">
        <f>objecturen10_1</f>
        <v>0</v>
      </c>
      <c r="G13" s="60">
        <f>objectprijs10_1</f>
        <v>0</v>
      </c>
      <c r="H13" s="60">
        <f>G13/12</f>
        <v>0</v>
      </c>
    </row>
    <row r="14" spans="1:8" x14ac:dyDescent="0.2">
      <c r="A14" s="56" t="s">
        <v>564</v>
      </c>
      <c r="B14" s="56" t="s">
        <v>745</v>
      </c>
      <c r="C14" s="56" t="s">
        <v>746</v>
      </c>
      <c r="D14" s="56" t="s">
        <v>726</v>
      </c>
      <c r="E14" s="72">
        <f>objecturenhf11_1</f>
        <v>0</v>
      </c>
      <c r="F14" s="72">
        <f>objecturen11_1</f>
        <v>0</v>
      </c>
      <c r="G14" s="60">
        <f>objectprijs11_1</f>
        <v>0</v>
      </c>
      <c r="H14" s="60">
        <f>G14/12</f>
        <v>0</v>
      </c>
    </row>
    <row r="15" spans="1:8" x14ac:dyDescent="0.2">
      <c r="A15" s="56" t="s">
        <v>568</v>
      </c>
      <c r="B15" s="56" t="s">
        <v>747</v>
      </c>
      <c r="C15" s="56" t="s">
        <v>748</v>
      </c>
      <c r="D15" s="56" t="s">
        <v>726</v>
      </c>
      <c r="E15" s="72">
        <f>objecturenhf12_1</f>
        <v>0</v>
      </c>
      <c r="F15" s="72">
        <f>objecturen12_1</f>
        <v>0</v>
      </c>
      <c r="G15" s="60">
        <f>objectprijs12_1</f>
        <v>0</v>
      </c>
      <c r="H15" s="60">
        <f>G15/12</f>
        <v>0</v>
      </c>
    </row>
    <row r="16" spans="1:8" x14ac:dyDescent="0.2">
      <c r="A16" s="56" t="s">
        <v>570</v>
      </c>
      <c r="B16" s="56" t="s">
        <v>749</v>
      </c>
      <c r="C16" s="56" t="s">
        <v>750</v>
      </c>
      <c r="D16" s="56" t="s">
        <v>726</v>
      </c>
      <c r="E16" s="72">
        <f>objecturenhf13_1</f>
        <v>0</v>
      </c>
      <c r="F16" s="72">
        <f>objecturen13_1</f>
        <v>0</v>
      </c>
      <c r="G16" s="60">
        <f>objectprijs13_1</f>
        <v>0</v>
      </c>
      <c r="H16" s="60">
        <f>G16/12</f>
        <v>0</v>
      </c>
    </row>
    <row r="17" spans="1:8" x14ac:dyDescent="0.2">
      <c r="A17" s="56" t="s">
        <v>572</v>
      </c>
      <c r="B17" s="56" t="s">
        <v>751</v>
      </c>
      <c r="C17" s="56" t="s">
        <v>752</v>
      </c>
      <c r="D17" s="56" t="s">
        <v>726</v>
      </c>
      <c r="E17" s="72">
        <f>objecturenhf14_1</f>
        <v>0</v>
      </c>
      <c r="F17" s="72">
        <f>objecturen14_1</f>
        <v>0</v>
      </c>
      <c r="G17" s="60">
        <f>objectprijs14_1</f>
        <v>0</v>
      </c>
      <c r="H17" s="60">
        <f>G17/12</f>
        <v>0</v>
      </c>
    </row>
    <row r="18" spans="1:8" x14ac:dyDescent="0.2">
      <c r="A18" s="56" t="s">
        <v>574</v>
      </c>
      <c r="B18" s="56" t="s">
        <v>753</v>
      </c>
      <c r="C18" s="56" t="s">
        <v>754</v>
      </c>
      <c r="D18" s="56" t="s">
        <v>726</v>
      </c>
      <c r="E18" s="72">
        <f>objecturenhf15_1</f>
        <v>0</v>
      </c>
      <c r="F18" s="72">
        <f>objecturen15_1</f>
        <v>0</v>
      </c>
      <c r="G18" s="60">
        <f>objectprijs15_1</f>
        <v>0</v>
      </c>
      <c r="H18" s="60">
        <f>G18/12</f>
        <v>0</v>
      </c>
    </row>
    <row r="19" spans="1:8" x14ac:dyDescent="0.2">
      <c r="A19" s="56" t="s">
        <v>577</v>
      </c>
      <c r="B19" s="56" t="s">
        <v>755</v>
      </c>
      <c r="C19" s="56" t="s">
        <v>756</v>
      </c>
      <c r="D19" s="56" t="s">
        <v>726</v>
      </c>
      <c r="E19" s="72">
        <f>objecturenhf16_1</f>
        <v>0</v>
      </c>
      <c r="F19" s="72">
        <f>objecturen16_1</f>
        <v>0</v>
      </c>
      <c r="G19" s="60">
        <f>objectprijs16_1</f>
        <v>0</v>
      </c>
      <c r="H19" s="60">
        <f>G19/12</f>
        <v>0</v>
      </c>
    </row>
    <row r="20" spans="1:8" x14ac:dyDescent="0.2">
      <c r="A20" s="56" t="s">
        <v>582</v>
      </c>
      <c r="B20" s="56" t="s">
        <v>757</v>
      </c>
      <c r="C20" s="56" t="s">
        <v>758</v>
      </c>
      <c r="D20" s="56" t="s">
        <v>726</v>
      </c>
      <c r="E20" s="72">
        <f>objecturenhf17_1</f>
        <v>0</v>
      </c>
      <c r="F20" s="72">
        <f>objecturen17_1</f>
        <v>0</v>
      </c>
      <c r="G20" s="60">
        <f>objectprijs17_1</f>
        <v>0</v>
      </c>
      <c r="H20" s="60">
        <f>G20/12</f>
        <v>0</v>
      </c>
    </row>
    <row r="21" spans="1:8" x14ac:dyDescent="0.2">
      <c r="A21" s="56" t="s">
        <v>584</v>
      </c>
      <c r="B21" s="56" t="s">
        <v>759</v>
      </c>
      <c r="C21" s="56" t="s">
        <v>760</v>
      </c>
      <c r="D21" s="56" t="s">
        <v>726</v>
      </c>
      <c r="E21" s="72">
        <f>objecturenhf18_1+objecturenhf18_3</f>
        <v>0</v>
      </c>
      <c r="F21" s="72">
        <f>objecturen18_1+objecturen18_3</f>
        <v>110</v>
      </c>
      <c r="G21" s="60">
        <f>objectprijs18_1+objectprijs18_3</f>
        <v>0</v>
      </c>
      <c r="H21" s="60">
        <f>G21/12</f>
        <v>0</v>
      </c>
    </row>
    <row r="22" spans="1:8" x14ac:dyDescent="0.2">
      <c r="A22" s="56" t="s">
        <v>588</v>
      </c>
      <c r="B22" s="56" t="s">
        <v>761</v>
      </c>
      <c r="C22" s="56" t="s">
        <v>762</v>
      </c>
      <c r="D22" s="56" t="s">
        <v>726</v>
      </c>
      <c r="E22" s="72">
        <f>objecturenhf19_1</f>
        <v>0</v>
      </c>
      <c r="F22" s="72">
        <f>objecturen19_1</f>
        <v>0</v>
      </c>
      <c r="G22" s="60">
        <f>objectprijs19_1</f>
        <v>0</v>
      </c>
      <c r="H22" s="60">
        <f>G22/12</f>
        <v>0</v>
      </c>
    </row>
    <row r="23" spans="1:8" x14ac:dyDescent="0.2">
      <c r="A23" s="56" t="s">
        <v>590</v>
      </c>
      <c r="B23" s="56" t="s">
        <v>763</v>
      </c>
      <c r="C23" s="56" t="s">
        <v>764</v>
      </c>
      <c r="D23" s="56" t="s">
        <v>726</v>
      </c>
      <c r="E23" s="72">
        <f>objecturenhf20_1</f>
        <v>0</v>
      </c>
      <c r="F23" s="72">
        <f>objecturen20_1</f>
        <v>0</v>
      </c>
      <c r="G23" s="60">
        <f>objectprijs20_1</f>
        <v>0</v>
      </c>
      <c r="H23" s="60">
        <f>G23/12</f>
        <v>0</v>
      </c>
    </row>
    <row r="24" spans="1:8" x14ac:dyDescent="0.2">
      <c r="A24" s="56" t="s">
        <v>616</v>
      </c>
      <c r="B24" s="56" t="s">
        <v>765</v>
      </c>
      <c r="C24" s="56" t="s">
        <v>766</v>
      </c>
      <c r="D24" s="56" t="s">
        <v>726</v>
      </c>
      <c r="E24" s="72">
        <f>objecturenhf21_1+objecturenhf21_3</f>
        <v>0</v>
      </c>
      <c r="F24" s="72">
        <f>objecturen21_1+objecturen21_3</f>
        <v>0</v>
      </c>
      <c r="G24" s="60">
        <f>objectprijs21_1+objectprijs21_3</f>
        <v>0</v>
      </c>
      <c r="H24" s="60">
        <f>G24/12</f>
        <v>0</v>
      </c>
    </row>
    <row r="25" spans="1:8" x14ac:dyDescent="0.2">
      <c r="A25" s="56" t="s">
        <v>633</v>
      </c>
      <c r="B25" s="121" t="s">
        <v>767</v>
      </c>
      <c r="C25" s="56" t="s">
        <v>768</v>
      </c>
      <c r="D25" s="56" t="s">
        <v>769</v>
      </c>
      <c r="E25" s="72">
        <f>objecturenhf22_1</f>
        <v>0</v>
      </c>
      <c r="F25" s="72">
        <f>objecturen22_1</f>
        <v>0</v>
      </c>
      <c r="G25" s="60">
        <f>objectprijs22_1</f>
        <v>0</v>
      </c>
      <c r="H25" s="60">
        <f>G25/12</f>
        <v>0</v>
      </c>
    </row>
    <row r="26" spans="1:8" x14ac:dyDescent="0.2">
      <c r="A26" s="56" t="s">
        <v>635</v>
      </c>
      <c r="B26" s="56" t="s">
        <v>770</v>
      </c>
      <c r="C26" s="56" t="s">
        <v>771</v>
      </c>
      <c r="D26" s="56" t="s">
        <v>772</v>
      </c>
      <c r="E26" s="72">
        <f>objecturenhf23_1</f>
        <v>0</v>
      </c>
      <c r="F26" s="72">
        <f>objecturen23_1</f>
        <v>0</v>
      </c>
      <c r="G26" s="60">
        <f>objectprijs23_1</f>
        <v>0</v>
      </c>
      <c r="H26" s="60">
        <f>G26/12</f>
        <v>0</v>
      </c>
    </row>
    <row r="27" spans="1:8" x14ac:dyDescent="0.2">
      <c r="A27" s="56" t="s">
        <v>644</v>
      </c>
      <c r="B27" s="56" t="s">
        <v>773</v>
      </c>
      <c r="C27" s="56" t="s">
        <v>774</v>
      </c>
      <c r="D27" s="56" t="s">
        <v>772</v>
      </c>
      <c r="E27" s="72">
        <f>objecturenhf24_1</f>
        <v>0</v>
      </c>
      <c r="F27" s="72">
        <f>objecturen24_1</f>
        <v>0</v>
      </c>
      <c r="G27" s="60">
        <f>objectprijs24_1</f>
        <v>0</v>
      </c>
      <c r="H27" s="60">
        <f>G27/12</f>
        <v>0</v>
      </c>
    </row>
    <row r="28" spans="1:8" x14ac:dyDescent="0.2">
      <c r="A28" s="56" t="s">
        <v>647</v>
      </c>
      <c r="B28" s="56" t="s">
        <v>775</v>
      </c>
      <c r="C28" s="56" t="s">
        <v>776</v>
      </c>
      <c r="D28" s="56" t="s">
        <v>772</v>
      </c>
      <c r="E28" s="72">
        <f>objecturenhf25_1</f>
        <v>0</v>
      </c>
      <c r="F28" s="72">
        <f>objecturen25_1</f>
        <v>0</v>
      </c>
      <c r="G28" s="60">
        <f>objectprijs25_1</f>
        <v>0</v>
      </c>
      <c r="H28" s="60">
        <f>G28/12</f>
        <v>0</v>
      </c>
    </row>
    <row r="29" spans="1:8" x14ac:dyDescent="0.2">
      <c r="A29" s="56" t="s">
        <v>649</v>
      </c>
      <c r="B29" s="56" t="s">
        <v>777</v>
      </c>
      <c r="C29" s="56" t="s">
        <v>778</v>
      </c>
      <c r="D29" s="56" t="s">
        <v>779</v>
      </c>
      <c r="E29" s="72">
        <f>objecturenhf26_1</f>
        <v>0</v>
      </c>
      <c r="F29" s="72">
        <f>objecturen26_1</f>
        <v>0</v>
      </c>
      <c r="G29" s="60">
        <f>objectprijs26_1</f>
        <v>0</v>
      </c>
      <c r="H29" s="60">
        <f>G29/12</f>
        <v>0</v>
      </c>
    </row>
    <row r="30" spans="1:8" x14ac:dyDescent="0.2">
      <c r="A30" s="56" t="s">
        <v>651</v>
      </c>
      <c r="B30" s="56" t="s">
        <v>780</v>
      </c>
      <c r="C30" s="56" t="s">
        <v>781</v>
      </c>
      <c r="D30" s="56" t="s">
        <v>782</v>
      </c>
      <c r="E30" s="72">
        <f>objecturenhf27_1</f>
        <v>0</v>
      </c>
      <c r="F30" s="72">
        <f>objecturen27_1</f>
        <v>0</v>
      </c>
      <c r="G30" s="60">
        <f>objectprijs27_1</f>
        <v>0</v>
      </c>
      <c r="H30" s="60">
        <f>G30/12</f>
        <v>0</v>
      </c>
    </row>
    <row r="31" spans="1:8" x14ac:dyDescent="0.2">
      <c r="A31" s="61" t="s">
        <v>654</v>
      </c>
      <c r="B31" s="61" t="s">
        <v>783</v>
      </c>
      <c r="C31" s="61" t="s">
        <v>784</v>
      </c>
      <c r="D31" s="61" t="s">
        <v>785</v>
      </c>
      <c r="E31" s="75">
        <f>objecturenhf28_1</f>
        <v>0</v>
      </c>
      <c r="F31" s="75">
        <f>objecturen28_1</f>
        <v>0</v>
      </c>
      <c r="G31" s="65">
        <f>objectprijs28_1</f>
        <v>0</v>
      </c>
      <c r="H31" s="65">
        <f>G31/12</f>
        <v>0</v>
      </c>
    </row>
    <row r="33" spans="1:8" x14ac:dyDescent="0.2">
      <c r="A33" s="78" t="s">
        <v>788</v>
      </c>
      <c r="B33" s="79"/>
      <c r="C33" s="79"/>
      <c r="D33" s="79"/>
      <c r="E33" s="80">
        <f>SUM(E4:E31)</f>
        <v>0</v>
      </c>
      <c r="F33" s="80">
        <f>SUM(F4:F31)</f>
        <v>110</v>
      </c>
      <c r="G33" s="81">
        <f>SUM(G4:G31)</f>
        <v>0</v>
      </c>
      <c r="H33" s="81">
        <f>SUM(H4:H31)</f>
        <v>0</v>
      </c>
    </row>
  </sheetData>
  <sheetProtection algorithmName="SHA-512" hashValue="GkIORLy1ZcXjQxgRQj1F2NfCOH7GGZvuLhO6rOO1ttVTVjHpXHdfcAtG1Wj9Yq9lWv3ISziljua1pBd/DCHbMA==" saltValue="DZk2p5Ehokg2Si+fDQnpqw==" spinCount="100000" sheet="1" objects="1" scenarios="1" autoFilter="0"/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B5E30-E7C6-4CC0-8D6C-4C90189DE049}">
  <dimension ref="A1:L9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">
      <c r="A1" s="1" t="str">
        <f>CONCATENATE("Bijlage F.2.8: ",tabeltype," additioneel werk")</f>
        <v>Bijlage F.2.8: Invultabel additioneel werk</v>
      </c>
    </row>
    <row r="3" spans="1:12" ht="37.799999999999997" x14ac:dyDescent="0.2">
      <c r="A3" s="40" t="s">
        <v>789</v>
      </c>
      <c r="B3" s="40" t="s">
        <v>7</v>
      </c>
      <c r="C3" s="40" t="s">
        <v>790</v>
      </c>
      <c r="D3" s="40" t="s">
        <v>100</v>
      </c>
      <c r="E3" s="40" t="s">
        <v>103</v>
      </c>
      <c r="F3" s="40" t="s">
        <v>791</v>
      </c>
      <c r="G3" s="40" t="s">
        <v>792</v>
      </c>
      <c r="H3" s="40" t="s">
        <v>793</v>
      </c>
      <c r="I3" s="40" t="s">
        <v>794</v>
      </c>
      <c r="J3" s="40" t="s">
        <v>795</v>
      </c>
      <c r="K3" s="40" t="s">
        <v>244</v>
      </c>
      <c r="L3" s="40" t="s">
        <v>723</v>
      </c>
    </row>
    <row r="4" spans="1:12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">
      <c r="A5" s="44" t="s">
        <v>105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6"/>
    </row>
    <row r="6" spans="1:12" x14ac:dyDescent="0.2">
      <c r="A6" s="124" t="s">
        <v>796</v>
      </c>
      <c r="B6" s="124" t="s">
        <v>29</v>
      </c>
      <c r="C6" s="130">
        <f>IF(ISBLANK(B6),0,IF(ISERROR(VALUE(B6)),VLOOKUP(B6,dagsoorttabel1,2,FALSE)*dagenperjaar1,VALUE(B6)))</f>
        <v>1</v>
      </c>
      <c r="D6" s="124" t="s">
        <v>797</v>
      </c>
      <c r="E6" s="124" t="s">
        <v>798</v>
      </c>
      <c r="F6" s="131">
        <v>2045.4499999999998</v>
      </c>
      <c r="G6" s="132"/>
      <c r="H6" s="128"/>
      <c r="I6" s="133"/>
      <c r="J6" s="129">
        <f>IF(ISBLANK(H6),0,F6 / ROUND(H6,4) * ROUND(G6,2))</f>
        <v>0</v>
      </c>
      <c r="K6" s="129">
        <f>C6*J6</f>
        <v>0</v>
      </c>
      <c r="L6" s="129">
        <f>K6/12</f>
        <v>0</v>
      </c>
    </row>
    <row r="7" spans="1:12" x14ac:dyDescent="0.2">
      <c r="A7" s="78" t="s">
        <v>297</v>
      </c>
      <c r="B7" s="79"/>
      <c r="C7" s="79"/>
      <c r="D7" s="79"/>
      <c r="E7" s="79"/>
      <c r="F7" s="79"/>
      <c r="G7" s="79"/>
      <c r="H7" s="79"/>
      <c r="I7" s="79"/>
      <c r="J7" s="79"/>
      <c r="K7" s="81">
        <f>SUM(K6:K6)</f>
        <v>0</v>
      </c>
      <c r="L7" s="134">
        <f>K7/12</f>
        <v>0</v>
      </c>
    </row>
    <row r="9" spans="1:12" x14ac:dyDescent="0.2">
      <c r="A9" s="78" t="s">
        <v>799</v>
      </c>
      <c r="B9" s="79"/>
      <c r="C9" s="79"/>
      <c r="D9" s="79"/>
      <c r="E9" s="79"/>
      <c r="F9" s="79"/>
      <c r="G9" s="79"/>
      <c r="H9" s="79"/>
      <c r="I9" s="79"/>
      <c r="J9" s="79"/>
      <c r="K9" s="81">
        <f>prijsjaaradditioneel1</f>
        <v>0</v>
      </c>
      <c r="L9" s="134">
        <f>K9/12</f>
        <v>0</v>
      </c>
    </row>
  </sheetData>
  <sheetProtection algorithmName="SHA-512" hashValue="chdt5ZIMi+0I1sGzDzjKR2T1zE4jCeQYvCcpMT36Z91BC6ZYyLtkqtQZCuwgHIjzdQziheggLoCsP4b8FdcAmA==" saltValue="2gjF51voFoo/pRtniEgVkw==" spinCount="100000" sheet="1" objects="1" scenarios="1" autoFilter="0"/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0D4A8-3F3D-44E7-AE12-6D1220B9D03D}">
  <dimension ref="A1:M35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11.6328125" customWidth="1"/>
    <col min="5" max="5" width="50.6328125" customWidth="1"/>
    <col min="6" max="7" width="14.6328125" customWidth="1"/>
    <col min="8" max="10" width="11.6328125" customWidth="1"/>
    <col min="11" max="11" width="12.6328125" customWidth="1"/>
    <col min="12" max="12" width="14.6328125" customWidth="1"/>
    <col min="13" max="13" width="13.6328125" customWidth="1"/>
  </cols>
  <sheetData>
    <row r="1" spans="1:13" x14ac:dyDescent="0.2">
      <c r="A1" s="1" t="str">
        <f>CONCATENATE("Bijlage F.2.9: ",tabeltype," additioneel werk per locatie")</f>
        <v>Bijlage F.2.9: Invultabel additioneel werk per locatie</v>
      </c>
    </row>
    <row r="3" spans="1:13" ht="37.799999999999997" x14ac:dyDescent="0.2">
      <c r="A3" s="40" t="s">
        <v>789</v>
      </c>
      <c r="B3" s="40" t="s">
        <v>7</v>
      </c>
      <c r="C3" s="40" t="s">
        <v>790</v>
      </c>
      <c r="D3" s="40" t="s">
        <v>673</v>
      </c>
      <c r="E3" s="40" t="s">
        <v>100</v>
      </c>
      <c r="F3" s="40" t="s">
        <v>103</v>
      </c>
      <c r="G3" s="40" t="s">
        <v>791</v>
      </c>
      <c r="H3" s="40" t="s">
        <v>792</v>
      </c>
      <c r="I3" s="40" t="s">
        <v>793</v>
      </c>
      <c r="J3" s="40" t="s">
        <v>794</v>
      </c>
      <c r="K3" s="40" t="s">
        <v>795</v>
      </c>
      <c r="L3" s="40" t="s">
        <v>244</v>
      </c>
      <c r="M3" s="40" t="s">
        <v>723</v>
      </c>
    </row>
    <row r="5" spans="1:13" x14ac:dyDescent="0.2">
      <c r="A5" s="135" t="s">
        <v>416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136"/>
    </row>
    <row r="6" spans="1:13" x14ac:dyDescent="0.2">
      <c r="A6" s="124" t="s">
        <v>796</v>
      </c>
      <c r="B6" s="124" t="s">
        <v>29</v>
      </c>
      <c r="C6" s="130">
        <f>IF(ISBLANK(B6),0,IF(ISERROR(VALUE(B6)),VLOOKUP(B6,dagsoorttabel1,2,FALSE)*dagenperjaar1,VALUE(B6)))</f>
        <v>1</v>
      </c>
      <c r="D6" s="124" t="s">
        <v>708</v>
      </c>
      <c r="E6" s="124" t="s">
        <v>797</v>
      </c>
      <c r="F6" s="124" t="s">
        <v>798</v>
      </c>
      <c r="G6" s="131">
        <v>1675.6699999999998</v>
      </c>
      <c r="H6" s="137">
        <f>'Additioneel werk'!G6</f>
        <v>0</v>
      </c>
      <c r="I6" s="138">
        <f>'Additioneel werk'!H6</f>
        <v>0</v>
      </c>
      <c r="J6" s="133"/>
      <c r="K6" s="129" t="e">
        <f>IF(ISBLANK(I6),0,G6 / ROUND(I6,4) * ROUND(H6,2))</f>
        <v>#DIV/0!</v>
      </c>
      <c r="L6" s="129" t="e">
        <f>C6*K6</f>
        <v>#DIV/0!</v>
      </c>
      <c r="M6" s="129" t="e">
        <f>L6/12</f>
        <v>#DIV/0!</v>
      </c>
    </row>
    <row r="7" spans="1:13" x14ac:dyDescent="0.2">
      <c r="A7" s="139" t="s">
        <v>800</v>
      </c>
      <c r="B7" s="79"/>
      <c r="C7" s="79"/>
      <c r="D7" s="79"/>
      <c r="E7" s="79"/>
      <c r="F7" s="79"/>
      <c r="G7" s="79"/>
      <c r="H7" s="79"/>
      <c r="I7" s="79"/>
      <c r="J7" s="79"/>
      <c r="K7" s="81" t="e">
        <f>SUM(K6:K6)</f>
        <v>#DIV/0!</v>
      </c>
      <c r="L7" s="81" t="e">
        <f>SUM(L6:L6)</f>
        <v>#DIV/0!</v>
      </c>
      <c r="M7" s="134" t="e">
        <f>L7/12</f>
        <v>#DIV/0!</v>
      </c>
    </row>
    <row r="9" spans="1:13" x14ac:dyDescent="0.2">
      <c r="A9" s="135" t="s">
        <v>518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136"/>
    </row>
    <row r="10" spans="1:13" x14ac:dyDescent="0.2">
      <c r="A10" s="124" t="s">
        <v>796</v>
      </c>
      <c r="B10" s="124" t="s">
        <v>29</v>
      </c>
      <c r="C10" s="130">
        <f>IF(ISBLANK(B10),0,IF(ISERROR(VALUE(B10)),VLOOKUP(B10,dagsoorttabel1,2,FALSE)*dagenperjaar1,VALUE(B10)))</f>
        <v>1</v>
      </c>
      <c r="D10" s="124" t="s">
        <v>708</v>
      </c>
      <c r="E10" s="124" t="s">
        <v>797</v>
      </c>
      <c r="F10" s="124" t="s">
        <v>798</v>
      </c>
      <c r="G10" s="131">
        <v>115.89</v>
      </c>
      <c r="H10" s="137">
        <f>'Additioneel werk'!G6</f>
        <v>0</v>
      </c>
      <c r="I10" s="138">
        <f>'Additioneel werk'!H6</f>
        <v>0</v>
      </c>
      <c r="J10" s="133"/>
      <c r="K10" s="129" t="e">
        <f>IF(ISBLANK(I10),0,G10 / ROUND(I10,4) * ROUND(H10,2))</f>
        <v>#DIV/0!</v>
      </c>
      <c r="L10" s="129" t="e">
        <f>C10*K10</f>
        <v>#DIV/0!</v>
      </c>
      <c r="M10" s="129" t="e">
        <f>L10/12</f>
        <v>#DIV/0!</v>
      </c>
    </row>
    <row r="11" spans="1:13" x14ac:dyDescent="0.2">
      <c r="A11" s="139" t="s">
        <v>801</v>
      </c>
      <c r="B11" s="79"/>
      <c r="C11" s="79"/>
      <c r="D11" s="79"/>
      <c r="E11" s="79"/>
      <c r="F11" s="79"/>
      <c r="G11" s="79"/>
      <c r="H11" s="79"/>
      <c r="I11" s="79"/>
      <c r="J11" s="79"/>
      <c r="K11" s="81" t="e">
        <f>SUM(K10:K10)</f>
        <v>#DIV/0!</v>
      </c>
      <c r="L11" s="81" t="e">
        <f>SUM(L10:L10)</f>
        <v>#DIV/0!</v>
      </c>
      <c r="M11" s="134" t="e">
        <f>L11/12</f>
        <v>#DIV/0!</v>
      </c>
    </row>
    <row r="13" spans="1:13" x14ac:dyDescent="0.2">
      <c r="A13" s="135" t="s">
        <v>581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136"/>
    </row>
    <row r="14" spans="1:13" x14ac:dyDescent="0.2">
      <c r="A14" s="124" t="s">
        <v>796</v>
      </c>
      <c r="B14" s="124" t="s">
        <v>29</v>
      </c>
      <c r="C14" s="130">
        <f>IF(ISBLANK(B14),0,IF(ISERROR(VALUE(B14)),VLOOKUP(B14,dagsoorttabel1,2,FALSE)*dagenperjaar1,VALUE(B14)))</f>
        <v>1</v>
      </c>
      <c r="D14" s="124" t="s">
        <v>708</v>
      </c>
      <c r="E14" s="124" t="s">
        <v>797</v>
      </c>
      <c r="F14" s="124" t="s">
        <v>798</v>
      </c>
      <c r="G14" s="131">
        <v>26</v>
      </c>
      <c r="H14" s="137">
        <f>'Additioneel werk'!G6</f>
        <v>0</v>
      </c>
      <c r="I14" s="138">
        <f>'Additioneel werk'!H6</f>
        <v>0</v>
      </c>
      <c r="J14" s="133"/>
      <c r="K14" s="129" t="e">
        <f>IF(ISBLANK(I14),0,G14 / ROUND(I14,4) * ROUND(H14,2))</f>
        <v>#DIV/0!</v>
      </c>
      <c r="L14" s="129" t="e">
        <f>C14*K14</f>
        <v>#DIV/0!</v>
      </c>
      <c r="M14" s="129" t="e">
        <f>L14/12</f>
        <v>#DIV/0!</v>
      </c>
    </row>
    <row r="15" spans="1:13" x14ac:dyDescent="0.2">
      <c r="A15" s="139" t="s">
        <v>802</v>
      </c>
      <c r="B15" s="79"/>
      <c r="C15" s="79"/>
      <c r="D15" s="79"/>
      <c r="E15" s="79"/>
      <c r="F15" s="79"/>
      <c r="G15" s="79"/>
      <c r="H15" s="79"/>
      <c r="I15" s="79"/>
      <c r="J15" s="79"/>
      <c r="K15" s="81" t="e">
        <f>SUM(K14:K14)</f>
        <v>#DIV/0!</v>
      </c>
      <c r="L15" s="81" t="e">
        <f>SUM(L14:L14)</f>
        <v>#DIV/0!</v>
      </c>
      <c r="M15" s="134" t="e">
        <f>L15/12</f>
        <v>#DIV/0!</v>
      </c>
    </row>
    <row r="17" spans="1:13" x14ac:dyDescent="0.2">
      <c r="A17" s="135" t="s">
        <v>587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136"/>
    </row>
    <row r="18" spans="1:13" x14ac:dyDescent="0.2">
      <c r="A18" s="124" t="s">
        <v>796</v>
      </c>
      <c r="B18" s="124" t="s">
        <v>29</v>
      </c>
      <c r="C18" s="130">
        <f>IF(ISBLANK(B18),0,IF(ISERROR(VALUE(B18)),VLOOKUP(B18,dagsoorttabel1,2,FALSE)*dagenperjaar1,VALUE(B18)))</f>
        <v>1</v>
      </c>
      <c r="D18" s="124" t="s">
        <v>708</v>
      </c>
      <c r="E18" s="124" t="s">
        <v>797</v>
      </c>
      <c r="F18" s="124" t="s">
        <v>798</v>
      </c>
      <c r="G18" s="131">
        <v>16.079999999999998</v>
      </c>
      <c r="H18" s="137">
        <f>'Additioneel werk'!G6</f>
        <v>0</v>
      </c>
      <c r="I18" s="138">
        <f>'Additioneel werk'!H6</f>
        <v>0</v>
      </c>
      <c r="J18" s="133"/>
      <c r="K18" s="129" t="e">
        <f>IF(ISBLANK(I18),0,G18 / ROUND(I18,4) * ROUND(H18,2))</f>
        <v>#DIV/0!</v>
      </c>
      <c r="L18" s="129" t="e">
        <f>C18*K18</f>
        <v>#DIV/0!</v>
      </c>
      <c r="M18" s="129" t="e">
        <f>L18/12</f>
        <v>#DIV/0!</v>
      </c>
    </row>
    <row r="19" spans="1:13" x14ac:dyDescent="0.2">
      <c r="A19" s="139" t="s">
        <v>803</v>
      </c>
      <c r="B19" s="79"/>
      <c r="C19" s="79"/>
      <c r="D19" s="79"/>
      <c r="E19" s="79"/>
      <c r="F19" s="79"/>
      <c r="G19" s="79"/>
      <c r="H19" s="79"/>
      <c r="I19" s="79"/>
      <c r="J19" s="79"/>
      <c r="K19" s="81" t="e">
        <f>SUM(K18:K18)</f>
        <v>#DIV/0!</v>
      </c>
      <c r="L19" s="81" t="e">
        <f>SUM(L18:L18)</f>
        <v>#DIV/0!</v>
      </c>
      <c r="M19" s="134" t="e">
        <f>L19/12</f>
        <v>#DIV/0!</v>
      </c>
    </row>
    <row r="21" spans="1:13" x14ac:dyDescent="0.2">
      <c r="A21" s="135" t="s">
        <v>634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136"/>
    </row>
    <row r="22" spans="1:13" x14ac:dyDescent="0.2">
      <c r="A22" s="124" t="s">
        <v>796</v>
      </c>
      <c r="B22" s="124" t="s">
        <v>29</v>
      </c>
      <c r="C22" s="130">
        <f>IF(ISBLANK(B22),0,IF(ISERROR(VALUE(B22)),VLOOKUP(B22,dagsoorttabel1,2,FALSE)*dagenperjaar1,VALUE(B22)))</f>
        <v>1</v>
      </c>
      <c r="D22" s="124" t="s">
        <v>708</v>
      </c>
      <c r="E22" s="124" t="s">
        <v>797</v>
      </c>
      <c r="F22" s="124" t="s">
        <v>798</v>
      </c>
      <c r="G22" s="131">
        <v>36.39</v>
      </c>
      <c r="H22" s="137">
        <f>'Additioneel werk'!G6</f>
        <v>0</v>
      </c>
      <c r="I22" s="138">
        <f>'Additioneel werk'!H6</f>
        <v>0</v>
      </c>
      <c r="J22" s="133"/>
      <c r="K22" s="129" t="e">
        <f>IF(ISBLANK(I22),0,G22 / ROUND(I22,4) * ROUND(H22,2))</f>
        <v>#DIV/0!</v>
      </c>
      <c r="L22" s="129" t="e">
        <f>C22*K22</f>
        <v>#DIV/0!</v>
      </c>
      <c r="M22" s="129" t="e">
        <f>L22/12</f>
        <v>#DIV/0!</v>
      </c>
    </row>
    <row r="23" spans="1:13" x14ac:dyDescent="0.2">
      <c r="A23" s="139" t="s">
        <v>804</v>
      </c>
      <c r="B23" s="79"/>
      <c r="C23" s="79"/>
      <c r="D23" s="79"/>
      <c r="E23" s="79"/>
      <c r="F23" s="79"/>
      <c r="G23" s="79"/>
      <c r="H23" s="79"/>
      <c r="I23" s="79"/>
      <c r="J23" s="79"/>
      <c r="K23" s="81" t="e">
        <f>SUM(K22:K22)</f>
        <v>#DIV/0!</v>
      </c>
      <c r="L23" s="81" t="e">
        <f>SUM(L22:L22)</f>
        <v>#DIV/0!</v>
      </c>
      <c r="M23" s="134" t="e">
        <f>L23/12</f>
        <v>#DIV/0!</v>
      </c>
    </row>
    <row r="25" spans="1:13" x14ac:dyDescent="0.2">
      <c r="A25" s="135" t="s">
        <v>643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136"/>
    </row>
    <row r="26" spans="1:13" x14ac:dyDescent="0.2">
      <c r="A26" s="124" t="s">
        <v>796</v>
      </c>
      <c r="B26" s="124" t="s">
        <v>29</v>
      </c>
      <c r="C26" s="130">
        <f>IF(ISBLANK(B26),0,IF(ISERROR(VALUE(B26)),VLOOKUP(B26,dagsoorttabel1,2,FALSE)*dagenperjaar1,VALUE(B26)))</f>
        <v>1</v>
      </c>
      <c r="D26" s="124" t="s">
        <v>708</v>
      </c>
      <c r="E26" s="124" t="s">
        <v>797</v>
      </c>
      <c r="F26" s="124" t="s">
        <v>798</v>
      </c>
      <c r="G26" s="131">
        <v>29.779999999999998</v>
      </c>
      <c r="H26" s="137">
        <f>'Additioneel werk'!G6</f>
        <v>0</v>
      </c>
      <c r="I26" s="138">
        <f>'Additioneel werk'!H6</f>
        <v>0</v>
      </c>
      <c r="J26" s="133"/>
      <c r="K26" s="129" t="e">
        <f>IF(ISBLANK(I26),0,G26 / ROUND(I26,4) * ROUND(H26,2))</f>
        <v>#DIV/0!</v>
      </c>
      <c r="L26" s="129" t="e">
        <f>C26*K26</f>
        <v>#DIV/0!</v>
      </c>
      <c r="M26" s="129" t="e">
        <f>L26/12</f>
        <v>#DIV/0!</v>
      </c>
    </row>
    <row r="27" spans="1:13" x14ac:dyDescent="0.2">
      <c r="A27" s="139" t="s">
        <v>805</v>
      </c>
      <c r="B27" s="79"/>
      <c r="C27" s="79"/>
      <c r="D27" s="79"/>
      <c r="E27" s="79"/>
      <c r="F27" s="79"/>
      <c r="G27" s="79"/>
      <c r="H27" s="79"/>
      <c r="I27" s="79"/>
      <c r="J27" s="79"/>
      <c r="K27" s="81" t="e">
        <f>SUM(K26:K26)</f>
        <v>#DIV/0!</v>
      </c>
      <c r="L27" s="81" t="e">
        <f>SUM(L26:L26)</f>
        <v>#DIV/0!</v>
      </c>
      <c r="M27" s="134" t="e">
        <f>L27/12</f>
        <v>#DIV/0!</v>
      </c>
    </row>
    <row r="29" spans="1:13" x14ac:dyDescent="0.2">
      <c r="A29" s="135" t="s">
        <v>646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136"/>
    </row>
    <row r="30" spans="1:13" x14ac:dyDescent="0.2">
      <c r="A30" s="124" t="s">
        <v>796</v>
      </c>
      <c r="B30" s="124" t="s">
        <v>29</v>
      </c>
      <c r="C30" s="130">
        <f>IF(ISBLANK(B30),0,IF(ISERROR(VALUE(B30)),VLOOKUP(B30,dagsoorttabel1,2,FALSE)*dagenperjaar1,VALUE(B30)))</f>
        <v>1</v>
      </c>
      <c r="D30" s="124" t="s">
        <v>708</v>
      </c>
      <c r="E30" s="124" t="s">
        <v>797</v>
      </c>
      <c r="F30" s="124" t="s">
        <v>798</v>
      </c>
      <c r="G30" s="131">
        <v>102.02000000000001</v>
      </c>
      <c r="H30" s="137">
        <f>'Additioneel werk'!G6</f>
        <v>0</v>
      </c>
      <c r="I30" s="138">
        <f>'Additioneel werk'!H6</f>
        <v>0</v>
      </c>
      <c r="J30" s="133"/>
      <c r="K30" s="129" t="e">
        <f>IF(ISBLANK(I30),0,G30 / ROUND(I30,4) * ROUND(H30,2))</f>
        <v>#DIV/0!</v>
      </c>
      <c r="L30" s="129" t="e">
        <f>C30*K30</f>
        <v>#DIV/0!</v>
      </c>
      <c r="M30" s="129" t="e">
        <f>L30/12</f>
        <v>#DIV/0!</v>
      </c>
    </row>
    <row r="31" spans="1:13" x14ac:dyDescent="0.2">
      <c r="A31" s="139" t="s">
        <v>806</v>
      </c>
      <c r="B31" s="79"/>
      <c r="C31" s="79"/>
      <c r="D31" s="79"/>
      <c r="E31" s="79"/>
      <c r="F31" s="79"/>
      <c r="G31" s="79"/>
      <c r="H31" s="79"/>
      <c r="I31" s="79"/>
      <c r="J31" s="79"/>
      <c r="K31" s="81" t="e">
        <f>SUM(K30:K30)</f>
        <v>#DIV/0!</v>
      </c>
      <c r="L31" s="81" t="e">
        <f>SUM(L30:L30)</f>
        <v>#DIV/0!</v>
      </c>
      <c r="M31" s="134" t="e">
        <f>L31/12</f>
        <v>#DIV/0!</v>
      </c>
    </row>
    <row r="33" spans="1:13" x14ac:dyDescent="0.2">
      <c r="A33" s="135" t="s">
        <v>650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136"/>
    </row>
    <row r="34" spans="1:13" x14ac:dyDescent="0.2">
      <c r="A34" s="124" t="s">
        <v>796</v>
      </c>
      <c r="B34" s="124" t="s">
        <v>29</v>
      </c>
      <c r="C34" s="130">
        <f>IF(ISBLANK(B34),0,IF(ISERROR(VALUE(B34)),VLOOKUP(B34,dagsoorttabel1,2,FALSE)*dagenperjaar1,VALUE(B34)))</f>
        <v>1</v>
      </c>
      <c r="D34" s="124" t="s">
        <v>708</v>
      </c>
      <c r="E34" s="124" t="s">
        <v>797</v>
      </c>
      <c r="F34" s="124" t="s">
        <v>798</v>
      </c>
      <c r="G34" s="131">
        <v>43.62</v>
      </c>
      <c r="H34" s="137">
        <f>'Additioneel werk'!G6</f>
        <v>0</v>
      </c>
      <c r="I34" s="138">
        <f>'Additioneel werk'!H6</f>
        <v>0</v>
      </c>
      <c r="J34" s="133"/>
      <c r="K34" s="129" t="e">
        <f>IF(ISBLANK(I34),0,G34 / ROUND(I34,4) * ROUND(H34,2))</f>
        <v>#DIV/0!</v>
      </c>
      <c r="L34" s="129" t="e">
        <f>C34*K34</f>
        <v>#DIV/0!</v>
      </c>
      <c r="M34" s="129" t="e">
        <f>L34/12</f>
        <v>#DIV/0!</v>
      </c>
    </row>
    <row r="35" spans="1:13" x14ac:dyDescent="0.2">
      <c r="A35" s="139" t="s">
        <v>807</v>
      </c>
      <c r="B35" s="79"/>
      <c r="C35" s="79"/>
      <c r="D35" s="79"/>
      <c r="E35" s="79"/>
      <c r="F35" s="79"/>
      <c r="G35" s="79"/>
      <c r="H35" s="79"/>
      <c r="I35" s="79"/>
      <c r="J35" s="79"/>
      <c r="K35" s="81" t="e">
        <f>SUM(K34:K34)</f>
        <v>#DIV/0!</v>
      </c>
      <c r="L35" s="81" t="e">
        <f>SUM(L34:L34)</f>
        <v>#DIV/0!</v>
      </c>
      <c r="M35" s="134" t="e">
        <f>L35/12</f>
        <v>#DIV/0!</v>
      </c>
    </row>
  </sheetData>
  <sheetProtection algorithmName="SHA-512" hashValue="ru1UuuP42HQRJ4pP5yRwUJypRhxitesokXcX6M7kNPNHEOpHrq4iK2jyaBXzMLwwfFO7tF+jp4H7VaqfdBp7qA==" saltValue="UuOXWQLXlLQhaTFtFZnqkg==" spinCount="100000" sheet="1" objects="1" scenarios="1" autoFilter="0"/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042B9-1279-4069-BEC8-ECF5907F7593}">
  <dimension ref="A1:L18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">
      <c r="A1" s="1" t="str">
        <f>CONCATENATE("Bijlage F.2.10: ",tabeltype," afroep")</f>
        <v>Bijlage F.2.10: Invultabel afroep</v>
      </c>
    </row>
    <row r="3" spans="1:12" ht="37.799999999999997" x14ac:dyDescent="0.2">
      <c r="A3" s="40" t="s">
        <v>789</v>
      </c>
      <c r="B3" s="40" t="s">
        <v>7</v>
      </c>
      <c r="C3" s="40" t="s">
        <v>790</v>
      </c>
      <c r="D3" s="40" t="s">
        <v>100</v>
      </c>
      <c r="E3" s="40" t="s">
        <v>103</v>
      </c>
      <c r="F3" s="40" t="s">
        <v>791</v>
      </c>
      <c r="G3" s="40" t="s">
        <v>792</v>
      </c>
      <c r="H3" s="40" t="s">
        <v>793</v>
      </c>
      <c r="I3" s="40" t="s">
        <v>794</v>
      </c>
      <c r="J3" s="40" t="s">
        <v>795</v>
      </c>
      <c r="K3" s="40" t="s">
        <v>244</v>
      </c>
      <c r="L3" s="40" t="s">
        <v>723</v>
      </c>
    </row>
    <row r="4" spans="1:12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">
      <c r="A5" s="44" t="s">
        <v>105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6"/>
    </row>
    <row r="6" spans="1:12" x14ac:dyDescent="0.2">
      <c r="A6" s="51" t="s">
        <v>808</v>
      </c>
      <c r="B6" s="51" t="s">
        <v>24</v>
      </c>
      <c r="C6" s="52">
        <f>IF(ISBLANK(B6),0,IF(ISERROR(VALUE(B6)),VLOOKUP(B6,dagsoorttabel1,2,FALSE)*dagenperjaar1,VALUE(B6)))</f>
        <v>12</v>
      </c>
      <c r="D6" s="51" t="s">
        <v>809</v>
      </c>
      <c r="E6" s="51" t="s">
        <v>810</v>
      </c>
      <c r="F6" s="140">
        <v>20</v>
      </c>
      <c r="G6" s="141"/>
      <c r="H6" s="142"/>
      <c r="I6" s="141"/>
      <c r="J6" s="55">
        <f>IF(ISBLANK(F6),0,F6)*ROUND(I6,2)</f>
        <v>0</v>
      </c>
      <c r="K6" s="55">
        <f>C6*J6</f>
        <v>0</v>
      </c>
      <c r="L6" s="55">
        <f>K6/12</f>
        <v>0</v>
      </c>
    </row>
    <row r="7" spans="1:12" x14ac:dyDescent="0.2">
      <c r="A7" s="56" t="s">
        <v>811</v>
      </c>
      <c r="B7" s="56" t="s">
        <v>24</v>
      </c>
      <c r="C7" s="57">
        <f>IF(ISBLANK(B7),0,IF(ISERROR(VALUE(B7)),VLOOKUP(B7,dagsoorttabel1,2,FALSE)*dagenperjaar1,VALUE(B7)))</f>
        <v>12</v>
      </c>
      <c r="D7" s="56" t="s">
        <v>812</v>
      </c>
      <c r="E7" s="56" t="s">
        <v>810</v>
      </c>
      <c r="F7" s="143">
        <v>10</v>
      </c>
      <c r="G7" s="144"/>
      <c r="H7" s="145"/>
      <c r="I7" s="144"/>
      <c r="J7" s="60">
        <f>IF(ISBLANK(F7),0,F7)*ROUND(I7,2)</f>
        <v>0</v>
      </c>
      <c r="K7" s="60">
        <f>C7*J7</f>
        <v>0</v>
      </c>
      <c r="L7" s="60">
        <f>K7/12</f>
        <v>0</v>
      </c>
    </row>
    <row r="8" spans="1:12" x14ac:dyDescent="0.2">
      <c r="A8" s="56" t="s">
        <v>813</v>
      </c>
      <c r="B8" s="56" t="s">
        <v>24</v>
      </c>
      <c r="C8" s="57">
        <f>IF(ISBLANK(B8),0,IF(ISERROR(VALUE(B8)),VLOOKUP(B8,dagsoorttabel1,2,FALSE)*dagenperjaar1,VALUE(B8)))</f>
        <v>12</v>
      </c>
      <c r="D8" s="56" t="s">
        <v>814</v>
      </c>
      <c r="E8" s="56" t="s">
        <v>810</v>
      </c>
      <c r="F8" s="143">
        <v>4</v>
      </c>
      <c r="G8" s="144"/>
      <c r="H8" s="145"/>
      <c r="I8" s="144"/>
      <c r="J8" s="60">
        <f>IF(ISBLANK(F8),0,F8)*ROUND(I8,2)</f>
        <v>0</v>
      </c>
      <c r="K8" s="60">
        <f>C8*J8</f>
        <v>0</v>
      </c>
      <c r="L8" s="60">
        <f>K8/12</f>
        <v>0</v>
      </c>
    </row>
    <row r="9" spans="1:12" x14ac:dyDescent="0.2">
      <c r="A9" s="61" t="s">
        <v>815</v>
      </c>
      <c r="B9" s="61" t="s">
        <v>24</v>
      </c>
      <c r="C9" s="62">
        <f>IF(ISBLANK(B9),0,IF(ISERROR(VALUE(B9)),VLOOKUP(B9,dagsoorttabel1,2,FALSE)*dagenperjaar1,VALUE(B9)))</f>
        <v>12</v>
      </c>
      <c r="D9" s="61" t="s">
        <v>816</v>
      </c>
      <c r="E9" s="61" t="s">
        <v>810</v>
      </c>
      <c r="F9" s="146">
        <v>5</v>
      </c>
      <c r="G9" s="147"/>
      <c r="H9" s="148"/>
      <c r="I9" s="147"/>
      <c r="J9" s="65">
        <f>IF(ISBLANK(F9),0,F9)*ROUND(I9,2)</f>
        <v>0</v>
      </c>
      <c r="K9" s="65">
        <f>C9*J9</f>
        <v>0</v>
      </c>
      <c r="L9" s="65">
        <f>K9/12</f>
        <v>0</v>
      </c>
    </row>
    <row r="10" spans="1:12" x14ac:dyDescent="0.2">
      <c r="A10" s="78" t="s">
        <v>297</v>
      </c>
      <c r="B10" s="79"/>
      <c r="C10" s="79"/>
      <c r="D10" s="79"/>
      <c r="E10" s="79"/>
      <c r="F10" s="79"/>
      <c r="G10" s="79"/>
      <c r="H10" s="79"/>
      <c r="I10" s="79"/>
      <c r="J10" s="79"/>
      <c r="K10" s="81">
        <f>SUM(K6:K9)</f>
        <v>0</v>
      </c>
      <c r="L10" s="134">
        <f>K10/12</f>
        <v>0</v>
      </c>
    </row>
    <row r="11" spans="1:12" x14ac:dyDescent="0.2">
      <c r="A11" s="41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3"/>
    </row>
    <row r="12" spans="1:12" x14ac:dyDescent="0.2">
      <c r="A12" s="44" t="s">
        <v>214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6"/>
    </row>
    <row r="13" spans="1:12" x14ac:dyDescent="0.2">
      <c r="A13" s="51" t="s">
        <v>817</v>
      </c>
      <c r="B13" s="51" t="s">
        <v>24</v>
      </c>
      <c r="C13" s="52">
        <f>IF(ISBLANK(B13),0,IF(ISERROR(VALUE(B13)),VLOOKUP(B13,dagsoorttabel3,2,FALSE)*dagenperjaar3,VALUE(B13)))</f>
        <v>12</v>
      </c>
      <c r="D13" s="51" t="s">
        <v>809</v>
      </c>
      <c r="E13" s="51" t="s">
        <v>810</v>
      </c>
      <c r="F13" s="140">
        <v>110</v>
      </c>
      <c r="G13" s="141"/>
      <c r="H13" s="142"/>
      <c r="I13" s="141"/>
      <c r="J13" s="55">
        <f>IF(ISBLANK(F13),0,F13)*ROUND(I13,2)</f>
        <v>0</v>
      </c>
      <c r="K13" s="55">
        <f>C13*J13</f>
        <v>0</v>
      </c>
      <c r="L13" s="55">
        <f>K13/12</f>
        <v>0</v>
      </c>
    </row>
    <row r="14" spans="1:12" x14ac:dyDescent="0.2">
      <c r="A14" s="56" t="s">
        <v>818</v>
      </c>
      <c r="B14" s="56" t="s">
        <v>24</v>
      </c>
      <c r="C14" s="57">
        <f>IF(ISBLANK(B14),0,IF(ISERROR(VALUE(B14)),VLOOKUP(B14,dagsoorttabel3,2,FALSE)*dagenperjaar3,VALUE(B14)))</f>
        <v>12</v>
      </c>
      <c r="D14" s="56" t="s">
        <v>812</v>
      </c>
      <c r="E14" s="56" t="s">
        <v>810</v>
      </c>
      <c r="F14" s="143">
        <v>40</v>
      </c>
      <c r="G14" s="144"/>
      <c r="H14" s="145"/>
      <c r="I14" s="144"/>
      <c r="J14" s="60">
        <f>IF(ISBLANK(F14),0,F14)*ROUND(I14,2)</f>
        <v>0</v>
      </c>
      <c r="K14" s="60">
        <f>C14*J14</f>
        <v>0</v>
      </c>
      <c r="L14" s="60">
        <f>K14/12</f>
        <v>0</v>
      </c>
    </row>
    <row r="15" spans="1:12" x14ac:dyDescent="0.2">
      <c r="A15" s="61" t="s">
        <v>819</v>
      </c>
      <c r="B15" s="61" t="s">
        <v>24</v>
      </c>
      <c r="C15" s="62">
        <f>IF(ISBLANK(B15),0,IF(ISERROR(VALUE(B15)),VLOOKUP(B15,dagsoorttabel3,2,FALSE)*dagenperjaar3,VALUE(B15)))</f>
        <v>12</v>
      </c>
      <c r="D15" s="61" t="s">
        <v>814</v>
      </c>
      <c r="E15" s="61" t="s">
        <v>810</v>
      </c>
      <c r="F15" s="146">
        <v>4</v>
      </c>
      <c r="G15" s="147"/>
      <c r="H15" s="148"/>
      <c r="I15" s="147"/>
      <c r="J15" s="65">
        <f>IF(ISBLANK(F15),0,F15)*ROUND(I15,2)</f>
        <v>0</v>
      </c>
      <c r="K15" s="65">
        <f>C15*J15</f>
        <v>0</v>
      </c>
      <c r="L15" s="65">
        <f>K15/12</f>
        <v>0</v>
      </c>
    </row>
    <row r="16" spans="1:12" x14ac:dyDescent="0.2">
      <c r="A16" s="78" t="s">
        <v>331</v>
      </c>
      <c r="B16" s="79"/>
      <c r="C16" s="79"/>
      <c r="D16" s="79"/>
      <c r="E16" s="79"/>
      <c r="F16" s="79"/>
      <c r="G16" s="79"/>
      <c r="H16" s="79"/>
      <c r="I16" s="79"/>
      <c r="J16" s="79"/>
      <c r="K16" s="81">
        <f>SUM(K13:K15)</f>
        <v>0</v>
      </c>
      <c r="L16" s="134">
        <f>K16/12</f>
        <v>0</v>
      </c>
    </row>
    <row r="18" spans="1:12" x14ac:dyDescent="0.2">
      <c r="A18" s="78" t="s">
        <v>820</v>
      </c>
      <c r="B18" s="79"/>
      <c r="C18" s="79"/>
      <c r="D18" s="79"/>
      <c r="E18" s="79"/>
      <c r="F18" s="79"/>
      <c r="G18" s="79"/>
      <c r="H18" s="79"/>
      <c r="I18" s="79"/>
      <c r="J18" s="79"/>
      <c r="K18" s="81">
        <f>prijsjaarafroep1+prijsjaarafroep3</f>
        <v>0</v>
      </c>
      <c r="L18" s="134">
        <f>K18/12</f>
        <v>0</v>
      </c>
    </row>
  </sheetData>
  <sheetProtection algorithmName="SHA-512" hashValue="3+GZIVqXE+UBDBDSzpME5AgBwCqXVRWKRyKWiypiWFBFFTHWXYn9YHKNu410MKY1yXKlTmgdD+SMF5Mnzp1ong==" saltValue="wMZwph9y9W5nvZkDr4eYOQ==" spinCount="100000" sheet="1" objects="1" scenarios="1" autoFilter="0"/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6B50C-D675-4787-A64E-394EBD5E38F3}">
  <dimension ref="A1:E84"/>
  <sheetViews>
    <sheetView workbookViewId="0"/>
  </sheetViews>
  <sheetFormatPr defaultRowHeight="12.6" x14ac:dyDescent="0.2"/>
  <cols>
    <col min="1" max="1" width="7.6328125" customWidth="1"/>
    <col min="2" max="2" width="40.6328125" customWidth="1"/>
    <col min="3" max="3" width="18.6328125" customWidth="1"/>
    <col min="4" max="4" width="20.6328125" customWidth="1"/>
    <col min="5" max="5" width="15.6328125" customWidth="1"/>
  </cols>
  <sheetData>
    <row r="1" spans="1:5" x14ac:dyDescent="0.2">
      <c r="A1" s="1" t="str">
        <f>CONCATENATE("Bijlage F.2.11: ",tabeltype," afroep incidenteel")</f>
        <v>Bijlage F.2.11: Invultabel afroep incidenteel</v>
      </c>
    </row>
    <row r="3" spans="1:5" ht="37.799999999999997" x14ac:dyDescent="0.2">
      <c r="A3" s="40" t="s">
        <v>789</v>
      </c>
      <c r="B3" s="40" t="s">
        <v>100</v>
      </c>
      <c r="C3" s="40" t="s">
        <v>103</v>
      </c>
      <c r="D3" s="40" t="s">
        <v>821</v>
      </c>
      <c r="E3" s="40" t="s">
        <v>794</v>
      </c>
    </row>
    <row r="4" spans="1:5" x14ac:dyDescent="0.2">
      <c r="A4" s="41"/>
      <c r="B4" s="42"/>
      <c r="C4" s="42"/>
      <c r="D4" s="42"/>
      <c r="E4" s="43"/>
    </row>
    <row r="5" spans="1:5" x14ac:dyDescent="0.2">
      <c r="A5" s="44" t="s">
        <v>105</v>
      </c>
      <c r="B5" s="45"/>
      <c r="C5" s="45"/>
      <c r="D5" s="45"/>
      <c r="E5" s="46"/>
    </row>
    <row r="6" spans="1:5" x14ac:dyDescent="0.2">
      <c r="A6" s="51" t="s">
        <v>822</v>
      </c>
      <c r="B6" s="51" t="s">
        <v>823</v>
      </c>
      <c r="C6" s="51" t="s">
        <v>824</v>
      </c>
      <c r="D6" s="51" t="s">
        <v>825</v>
      </c>
      <c r="E6" s="141"/>
    </row>
    <row r="7" spans="1:5" x14ac:dyDescent="0.2">
      <c r="A7" s="56" t="s">
        <v>826</v>
      </c>
      <c r="B7" s="56" t="s">
        <v>823</v>
      </c>
      <c r="C7" s="56" t="s">
        <v>824</v>
      </c>
      <c r="D7" s="56" t="s">
        <v>827</v>
      </c>
      <c r="E7" s="144"/>
    </row>
    <row r="8" spans="1:5" x14ac:dyDescent="0.2">
      <c r="A8" s="56" t="s">
        <v>828</v>
      </c>
      <c r="B8" s="56" t="s">
        <v>823</v>
      </c>
      <c r="C8" s="56" t="s">
        <v>824</v>
      </c>
      <c r="D8" s="56" t="s">
        <v>829</v>
      </c>
      <c r="E8" s="144"/>
    </row>
    <row r="9" spans="1:5" x14ac:dyDescent="0.2">
      <c r="A9" s="56" t="s">
        <v>830</v>
      </c>
      <c r="B9" s="56" t="s">
        <v>823</v>
      </c>
      <c r="C9" s="56" t="s">
        <v>824</v>
      </c>
      <c r="D9" s="56" t="s">
        <v>831</v>
      </c>
      <c r="E9" s="144"/>
    </row>
    <row r="10" spans="1:5" x14ac:dyDescent="0.2">
      <c r="A10" s="56" t="s">
        <v>832</v>
      </c>
      <c r="B10" s="56" t="s">
        <v>833</v>
      </c>
      <c r="C10" s="56" t="s">
        <v>824</v>
      </c>
      <c r="D10" s="56" t="s">
        <v>825</v>
      </c>
      <c r="E10" s="144"/>
    </row>
    <row r="11" spans="1:5" x14ac:dyDescent="0.2">
      <c r="A11" s="56" t="s">
        <v>834</v>
      </c>
      <c r="B11" s="56" t="s">
        <v>833</v>
      </c>
      <c r="C11" s="56" t="s">
        <v>824</v>
      </c>
      <c r="D11" s="56" t="s">
        <v>827</v>
      </c>
      <c r="E11" s="144"/>
    </row>
    <row r="12" spans="1:5" x14ac:dyDescent="0.2">
      <c r="A12" s="56" t="s">
        <v>835</v>
      </c>
      <c r="B12" s="56" t="s">
        <v>833</v>
      </c>
      <c r="C12" s="56" t="s">
        <v>824</v>
      </c>
      <c r="D12" s="56" t="s">
        <v>829</v>
      </c>
      <c r="E12" s="144"/>
    </row>
    <row r="13" spans="1:5" x14ac:dyDescent="0.2">
      <c r="A13" s="56" t="s">
        <v>836</v>
      </c>
      <c r="B13" s="56" t="s">
        <v>833</v>
      </c>
      <c r="C13" s="56" t="s">
        <v>824</v>
      </c>
      <c r="D13" s="56" t="s">
        <v>831</v>
      </c>
      <c r="E13" s="144"/>
    </row>
    <row r="14" spans="1:5" x14ac:dyDescent="0.2">
      <c r="A14" s="56" t="s">
        <v>837</v>
      </c>
      <c r="B14" s="56" t="s">
        <v>838</v>
      </c>
      <c r="C14" s="56" t="s">
        <v>824</v>
      </c>
      <c r="D14" s="56" t="s">
        <v>825</v>
      </c>
      <c r="E14" s="144"/>
    </row>
    <row r="15" spans="1:5" x14ac:dyDescent="0.2">
      <c r="A15" s="56" t="s">
        <v>839</v>
      </c>
      <c r="B15" s="56" t="s">
        <v>838</v>
      </c>
      <c r="C15" s="56" t="s">
        <v>824</v>
      </c>
      <c r="D15" s="56" t="s">
        <v>827</v>
      </c>
      <c r="E15" s="144"/>
    </row>
    <row r="16" spans="1:5" x14ac:dyDescent="0.2">
      <c r="A16" s="56" t="s">
        <v>840</v>
      </c>
      <c r="B16" s="56" t="s">
        <v>838</v>
      </c>
      <c r="C16" s="56" t="s">
        <v>824</v>
      </c>
      <c r="D16" s="56" t="s">
        <v>829</v>
      </c>
      <c r="E16" s="144"/>
    </row>
    <row r="17" spans="1:5" x14ac:dyDescent="0.2">
      <c r="A17" s="56" t="s">
        <v>841</v>
      </c>
      <c r="B17" s="56" t="s">
        <v>838</v>
      </c>
      <c r="C17" s="56" t="s">
        <v>824</v>
      </c>
      <c r="D17" s="56" t="s">
        <v>831</v>
      </c>
      <c r="E17" s="144"/>
    </row>
    <row r="18" spans="1:5" x14ac:dyDescent="0.2">
      <c r="A18" s="56" t="s">
        <v>842</v>
      </c>
      <c r="B18" s="56" t="s">
        <v>843</v>
      </c>
      <c r="C18" s="56" t="s">
        <v>844</v>
      </c>
      <c r="D18" s="56" t="s">
        <v>845</v>
      </c>
      <c r="E18" s="144"/>
    </row>
    <row r="19" spans="1:5" x14ac:dyDescent="0.2">
      <c r="A19" s="56" t="s">
        <v>846</v>
      </c>
      <c r="B19" s="56" t="s">
        <v>843</v>
      </c>
      <c r="C19" s="56" t="s">
        <v>844</v>
      </c>
      <c r="D19" s="56" t="s">
        <v>847</v>
      </c>
      <c r="E19" s="144"/>
    </row>
    <row r="20" spans="1:5" x14ac:dyDescent="0.2">
      <c r="A20" s="56" t="s">
        <v>848</v>
      </c>
      <c r="B20" s="56" t="s">
        <v>843</v>
      </c>
      <c r="C20" s="56" t="s">
        <v>844</v>
      </c>
      <c r="D20" s="56" t="s">
        <v>849</v>
      </c>
      <c r="E20" s="144"/>
    </row>
    <row r="21" spans="1:5" x14ac:dyDescent="0.2">
      <c r="A21" s="56" t="s">
        <v>850</v>
      </c>
      <c r="B21" s="56" t="s">
        <v>843</v>
      </c>
      <c r="C21" s="56" t="s">
        <v>844</v>
      </c>
      <c r="D21" s="56" t="s">
        <v>851</v>
      </c>
      <c r="E21" s="144"/>
    </row>
    <row r="22" spans="1:5" x14ac:dyDescent="0.2">
      <c r="A22" s="56" t="s">
        <v>852</v>
      </c>
      <c r="B22" s="56" t="s">
        <v>853</v>
      </c>
      <c r="C22" s="56" t="s">
        <v>844</v>
      </c>
      <c r="D22" s="56" t="s">
        <v>845</v>
      </c>
      <c r="E22" s="144"/>
    </row>
    <row r="23" spans="1:5" x14ac:dyDescent="0.2">
      <c r="A23" s="56" t="s">
        <v>854</v>
      </c>
      <c r="B23" s="56" t="s">
        <v>853</v>
      </c>
      <c r="C23" s="56" t="s">
        <v>844</v>
      </c>
      <c r="D23" s="56" t="s">
        <v>847</v>
      </c>
      <c r="E23" s="144"/>
    </row>
    <row r="24" spans="1:5" x14ac:dyDescent="0.2">
      <c r="A24" s="56" t="s">
        <v>855</v>
      </c>
      <c r="B24" s="56" t="s">
        <v>853</v>
      </c>
      <c r="C24" s="56" t="s">
        <v>844</v>
      </c>
      <c r="D24" s="56" t="s">
        <v>849</v>
      </c>
      <c r="E24" s="144"/>
    </row>
    <row r="25" spans="1:5" x14ac:dyDescent="0.2">
      <c r="A25" s="56" t="s">
        <v>856</v>
      </c>
      <c r="B25" s="56" t="s">
        <v>853</v>
      </c>
      <c r="C25" s="56" t="s">
        <v>844</v>
      </c>
      <c r="D25" s="56" t="s">
        <v>851</v>
      </c>
      <c r="E25" s="144"/>
    </row>
    <row r="26" spans="1:5" x14ac:dyDescent="0.2">
      <c r="A26" s="56" t="s">
        <v>857</v>
      </c>
      <c r="B26" s="56" t="s">
        <v>858</v>
      </c>
      <c r="C26" s="56" t="s">
        <v>844</v>
      </c>
      <c r="D26" s="56" t="s">
        <v>845</v>
      </c>
      <c r="E26" s="144"/>
    </row>
    <row r="27" spans="1:5" x14ac:dyDescent="0.2">
      <c r="A27" s="56" t="s">
        <v>859</v>
      </c>
      <c r="B27" s="56" t="s">
        <v>858</v>
      </c>
      <c r="C27" s="56" t="s">
        <v>844</v>
      </c>
      <c r="D27" s="56" t="s">
        <v>847</v>
      </c>
      <c r="E27" s="144"/>
    </row>
    <row r="28" spans="1:5" x14ac:dyDescent="0.2">
      <c r="A28" s="56" t="s">
        <v>860</v>
      </c>
      <c r="B28" s="56" t="s">
        <v>858</v>
      </c>
      <c r="C28" s="56" t="s">
        <v>844</v>
      </c>
      <c r="D28" s="56" t="s">
        <v>849</v>
      </c>
      <c r="E28" s="144"/>
    </row>
    <row r="29" spans="1:5" x14ac:dyDescent="0.2">
      <c r="A29" s="56" t="s">
        <v>861</v>
      </c>
      <c r="B29" s="56" t="s">
        <v>858</v>
      </c>
      <c r="C29" s="56" t="s">
        <v>844</v>
      </c>
      <c r="D29" s="56" t="s">
        <v>851</v>
      </c>
      <c r="E29" s="144"/>
    </row>
    <row r="30" spans="1:5" x14ac:dyDescent="0.2">
      <c r="A30" s="56" t="s">
        <v>862</v>
      </c>
      <c r="B30" s="56" t="s">
        <v>863</v>
      </c>
      <c r="C30" s="56" t="s">
        <v>844</v>
      </c>
      <c r="D30" s="56" t="s">
        <v>845</v>
      </c>
      <c r="E30" s="144"/>
    </row>
    <row r="31" spans="1:5" x14ac:dyDescent="0.2">
      <c r="A31" s="56" t="s">
        <v>864</v>
      </c>
      <c r="B31" s="56" t="s">
        <v>863</v>
      </c>
      <c r="C31" s="56" t="s">
        <v>844</v>
      </c>
      <c r="D31" s="56" t="s">
        <v>847</v>
      </c>
      <c r="E31" s="144"/>
    </row>
    <row r="32" spans="1:5" x14ac:dyDescent="0.2">
      <c r="A32" s="56" t="s">
        <v>865</v>
      </c>
      <c r="B32" s="56" t="s">
        <v>863</v>
      </c>
      <c r="C32" s="56" t="s">
        <v>844</v>
      </c>
      <c r="D32" s="56" t="s">
        <v>849</v>
      </c>
      <c r="E32" s="144"/>
    </row>
    <row r="33" spans="1:5" x14ac:dyDescent="0.2">
      <c r="A33" s="56" t="s">
        <v>866</v>
      </c>
      <c r="B33" s="56" t="s">
        <v>863</v>
      </c>
      <c r="C33" s="56" t="s">
        <v>844</v>
      </c>
      <c r="D33" s="56" t="s">
        <v>851</v>
      </c>
      <c r="E33" s="144"/>
    </row>
    <row r="34" spans="1:5" x14ac:dyDescent="0.2">
      <c r="A34" s="56" t="s">
        <v>867</v>
      </c>
      <c r="B34" s="56" t="s">
        <v>868</v>
      </c>
      <c r="C34" s="56" t="s">
        <v>844</v>
      </c>
      <c r="D34" s="56" t="s">
        <v>845</v>
      </c>
      <c r="E34" s="144"/>
    </row>
    <row r="35" spans="1:5" x14ac:dyDescent="0.2">
      <c r="A35" s="56" t="s">
        <v>869</v>
      </c>
      <c r="B35" s="56" t="s">
        <v>868</v>
      </c>
      <c r="C35" s="56" t="s">
        <v>844</v>
      </c>
      <c r="D35" s="56" t="s">
        <v>847</v>
      </c>
      <c r="E35" s="144"/>
    </row>
    <row r="36" spans="1:5" x14ac:dyDescent="0.2">
      <c r="A36" s="56" t="s">
        <v>870</v>
      </c>
      <c r="B36" s="56" t="s">
        <v>868</v>
      </c>
      <c r="C36" s="56" t="s">
        <v>844</v>
      </c>
      <c r="D36" s="56" t="s">
        <v>849</v>
      </c>
      <c r="E36" s="144"/>
    </row>
    <row r="37" spans="1:5" x14ac:dyDescent="0.2">
      <c r="A37" s="56" t="s">
        <v>871</v>
      </c>
      <c r="B37" s="56" t="s">
        <v>868</v>
      </c>
      <c r="C37" s="56" t="s">
        <v>844</v>
      </c>
      <c r="D37" s="56" t="s">
        <v>851</v>
      </c>
      <c r="E37" s="144"/>
    </row>
    <row r="38" spans="1:5" x14ac:dyDescent="0.2">
      <c r="A38" s="56" t="s">
        <v>872</v>
      </c>
      <c r="B38" s="56" t="s">
        <v>873</v>
      </c>
      <c r="C38" s="56" t="s">
        <v>844</v>
      </c>
      <c r="D38" s="56" t="s">
        <v>845</v>
      </c>
      <c r="E38" s="144"/>
    </row>
    <row r="39" spans="1:5" x14ac:dyDescent="0.2">
      <c r="A39" s="56" t="s">
        <v>874</v>
      </c>
      <c r="B39" s="56" t="s">
        <v>873</v>
      </c>
      <c r="C39" s="56" t="s">
        <v>844</v>
      </c>
      <c r="D39" s="56" t="s">
        <v>847</v>
      </c>
      <c r="E39" s="144"/>
    </row>
    <row r="40" spans="1:5" x14ac:dyDescent="0.2">
      <c r="A40" s="56" t="s">
        <v>875</v>
      </c>
      <c r="B40" s="56" t="s">
        <v>873</v>
      </c>
      <c r="C40" s="56" t="s">
        <v>844</v>
      </c>
      <c r="D40" s="56" t="s">
        <v>849</v>
      </c>
      <c r="E40" s="144"/>
    </row>
    <row r="41" spans="1:5" x14ac:dyDescent="0.2">
      <c r="A41" s="56" t="s">
        <v>876</v>
      </c>
      <c r="B41" s="56" t="s">
        <v>873</v>
      </c>
      <c r="C41" s="56" t="s">
        <v>844</v>
      </c>
      <c r="D41" s="56" t="s">
        <v>851</v>
      </c>
      <c r="E41" s="144"/>
    </row>
    <row r="42" spans="1:5" x14ac:dyDescent="0.2">
      <c r="A42" s="56" t="s">
        <v>877</v>
      </c>
      <c r="B42" s="56" t="s">
        <v>878</v>
      </c>
      <c r="C42" s="56" t="s">
        <v>844</v>
      </c>
      <c r="D42" s="56" t="s">
        <v>879</v>
      </c>
      <c r="E42" s="144"/>
    </row>
    <row r="43" spans="1:5" x14ac:dyDescent="0.2">
      <c r="A43" s="56" t="s">
        <v>880</v>
      </c>
      <c r="B43" s="56" t="s">
        <v>878</v>
      </c>
      <c r="C43" s="56" t="s">
        <v>844</v>
      </c>
      <c r="D43" s="56" t="s">
        <v>881</v>
      </c>
      <c r="E43" s="144"/>
    </row>
    <row r="44" spans="1:5" x14ac:dyDescent="0.2">
      <c r="A44" s="56" t="s">
        <v>882</v>
      </c>
      <c r="B44" s="56" t="s">
        <v>878</v>
      </c>
      <c r="C44" s="56" t="s">
        <v>844</v>
      </c>
      <c r="D44" s="56" t="s">
        <v>883</v>
      </c>
      <c r="E44" s="144"/>
    </row>
    <row r="45" spans="1:5" x14ac:dyDescent="0.2">
      <c r="A45" s="56" t="s">
        <v>884</v>
      </c>
      <c r="B45" s="56" t="s">
        <v>878</v>
      </c>
      <c r="C45" s="56" t="s">
        <v>844</v>
      </c>
      <c r="D45" s="56" t="s">
        <v>885</v>
      </c>
      <c r="E45" s="144"/>
    </row>
    <row r="46" spans="1:5" x14ac:dyDescent="0.2">
      <c r="A46" s="56" t="s">
        <v>886</v>
      </c>
      <c r="B46" s="56" t="s">
        <v>887</v>
      </c>
      <c r="C46" s="56" t="s">
        <v>844</v>
      </c>
      <c r="D46" s="56" t="s">
        <v>879</v>
      </c>
      <c r="E46" s="144"/>
    </row>
    <row r="47" spans="1:5" x14ac:dyDescent="0.2">
      <c r="A47" s="56" t="s">
        <v>888</v>
      </c>
      <c r="B47" s="56" t="s">
        <v>887</v>
      </c>
      <c r="C47" s="56" t="s">
        <v>844</v>
      </c>
      <c r="D47" s="56" t="s">
        <v>881</v>
      </c>
      <c r="E47" s="144"/>
    </row>
    <row r="48" spans="1:5" x14ac:dyDescent="0.2">
      <c r="A48" s="56" t="s">
        <v>889</v>
      </c>
      <c r="B48" s="56" t="s">
        <v>887</v>
      </c>
      <c r="C48" s="56" t="s">
        <v>844</v>
      </c>
      <c r="D48" s="56" t="s">
        <v>883</v>
      </c>
      <c r="E48" s="144"/>
    </row>
    <row r="49" spans="1:5" x14ac:dyDescent="0.2">
      <c r="A49" s="56" t="s">
        <v>890</v>
      </c>
      <c r="B49" s="56" t="s">
        <v>887</v>
      </c>
      <c r="C49" s="56" t="s">
        <v>844</v>
      </c>
      <c r="D49" s="56" t="s">
        <v>885</v>
      </c>
      <c r="E49" s="144"/>
    </row>
    <row r="50" spans="1:5" x14ac:dyDescent="0.2">
      <c r="A50" s="56" t="s">
        <v>891</v>
      </c>
      <c r="B50" s="56" t="s">
        <v>892</v>
      </c>
      <c r="C50" s="56" t="s">
        <v>844</v>
      </c>
      <c r="D50" s="56" t="s">
        <v>879</v>
      </c>
      <c r="E50" s="144"/>
    </row>
    <row r="51" spans="1:5" x14ac:dyDescent="0.2">
      <c r="A51" s="56" t="s">
        <v>893</v>
      </c>
      <c r="B51" s="56" t="s">
        <v>892</v>
      </c>
      <c r="C51" s="56" t="s">
        <v>844</v>
      </c>
      <c r="D51" s="56" t="s">
        <v>881</v>
      </c>
      <c r="E51" s="144"/>
    </row>
    <row r="52" spans="1:5" x14ac:dyDescent="0.2">
      <c r="A52" s="56" t="s">
        <v>894</v>
      </c>
      <c r="B52" s="56" t="s">
        <v>892</v>
      </c>
      <c r="C52" s="56" t="s">
        <v>844</v>
      </c>
      <c r="D52" s="56" t="s">
        <v>883</v>
      </c>
      <c r="E52" s="144"/>
    </row>
    <row r="53" spans="1:5" x14ac:dyDescent="0.2">
      <c r="A53" s="56" t="s">
        <v>895</v>
      </c>
      <c r="B53" s="56" t="s">
        <v>892</v>
      </c>
      <c r="C53" s="56" t="s">
        <v>844</v>
      </c>
      <c r="D53" s="56" t="s">
        <v>885</v>
      </c>
      <c r="E53" s="144"/>
    </row>
    <row r="54" spans="1:5" x14ac:dyDescent="0.2">
      <c r="A54" s="56" t="s">
        <v>896</v>
      </c>
      <c r="B54" s="56" t="s">
        <v>897</v>
      </c>
      <c r="C54" s="56" t="s">
        <v>844</v>
      </c>
      <c r="D54" s="56" t="s">
        <v>879</v>
      </c>
      <c r="E54" s="144"/>
    </row>
    <row r="55" spans="1:5" x14ac:dyDescent="0.2">
      <c r="A55" s="56" t="s">
        <v>898</v>
      </c>
      <c r="B55" s="56" t="s">
        <v>897</v>
      </c>
      <c r="C55" s="56" t="s">
        <v>844</v>
      </c>
      <c r="D55" s="56" t="s">
        <v>881</v>
      </c>
      <c r="E55" s="144"/>
    </row>
    <row r="56" spans="1:5" x14ac:dyDescent="0.2">
      <c r="A56" s="56" t="s">
        <v>899</v>
      </c>
      <c r="B56" s="56" t="s">
        <v>897</v>
      </c>
      <c r="C56" s="56" t="s">
        <v>844</v>
      </c>
      <c r="D56" s="56" t="s">
        <v>883</v>
      </c>
      <c r="E56" s="144"/>
    </row>
    <row r="57" spans="1:5" x14ac:dyDescent="0.2">
      <c r="A57" s="56" t="s">
        <v>900</v>
      </c>
      <c r="B57" s="56" t="s">
        <v>897</v>
      </c>
      <c r="C57" s="56" t="s">
        <v>844</v>
      </c>
      <c r="D57" s="56" t="s">
        <v>885</v>
      </c>
      <c r="E57" s="144"/>
    </row>
    <row r="58" spans="1:5" x14ac:dyDescent="0.2">
      <c r="A58" s="56" t="s">
        <v>901</v>
      </c>
      <c r="B58" s="56" t="s">
        <v>902</v>
      </c>
      <c r="C58" s="56" t="s">
        <v>844</v>
      </c>
      <c r="D58" s="56" t="s">
        <v>879</v>
      </c>
      <c r="E58" s="144"/>
    </row>
    <row r="59" spans="1:5" x14ac:dyDescent="0.2">
      <c r="A59" s="56" t="s">
        <v>903</v>
      </c>
      <c r="B59" s="56" t="s">
        <v>902</v>
      </c>
      <c r="C59" s="56" t="s">
        <v>844</v>
      </c>
      <c r="D59" s="56" t="s">
        <v>881</v>
      </c>
      <c r="E59" s="144"/>
    </row>
    <row r="60" spans="1:5" x14ac:dyDescent="0.2">
      <c r="A60" s="56" t="s">
        <v>904</v>
      </c>
      <c r="B60" s="56" t="s">
        <v>902</v>
      </c>
      <c r="C60" s="56" t="s">
        <v>844</v>
      </c>
      <c r="D60" s="56" t="s">
        <v>883</v>
      </c>
      <c r="E60" s="144"/>
    </row>
    <row r="61" spans="1:5" x14ac:dyDescent="0.2">
      <c r="A61" s="56" t="s">
        <v>905</v>
      </c>
      <c r="B61" s="56" t="s">
        <v>902</v>
      </c>
      <c r="C61" s="56" t="s">
        <v>844</v>
      </c>
      <c r="D61" s="56" t="s">
        <v>885</v>
      </c>
      <c r="E61" s="144"/>
    </row>
    <row r="62" spans="1:5" x14ac:dyDescent="0.2">
      <c r="A62" s="56" t="s">
        <v>906</v>
      </c>
      <c r="B62" s="56" t="s">
        <v>907</v>
      </c>
      <c r="C62" s="56" t="s">
        <v>844</v>
      </c>
      <c r="D62" s="56" t="s">
        <v>879</v>
      </c>
      <c r="E62" s="144"/>
    </row>
    <row r="63" spans="1:5" x14ac:dyDescent="0.2">
      <c r="A63" s="56" t="s">
        <v>908</v>
      </c>
      <c r="B63" s="56" t="s">
        <v>907</v>
      </c>
      <c r="C63" s="56" t="s">
        <v>844</v>
      </c>
      <c r="D63" s="56" t="s">
        <v>881</v>
      </c>
      <c r="E63" s="144"/>
    </row>
    <row r="64" spans="1:5" x14ac:dyDescent="0.2">
      <c r="A64" s="56" t="s">
        <v>909</v>
      </c>
      <c r="B64" s="56" t="s">
        <v>907</v>
      </c>
      <c r="C64" s="56" t="s">
        <v>844</v>
      </c>
      <c r="D64" s="56" t="s">
        <v>883</v>
      </c>
      <c r="E64" s="144"/>
    </row>
    <row r="65" spans="1:5" x14ac:dyDescent="0.2">
      <c r="A65" s="56" t="s">
        <v>910</v>
      </c>
      <c r="B65" s="56" t="s">
        <v>907</v>
      </c>
      <c r="C65" s="56" t="s">
        <v>844</v>
      </c>
      <c r="D65" s="56" t="s">
        <v>885</v>
      </c>
      <c r="E65" s="144"/>
    </row>
    <row r="66" spans="1:5" x14ac:dyDescent="0.2">
      <c r="A66" s="56" t="s">
        <v>911</v>
      </c>
      <c r="B66" s="56" t="s">
        <v>912</v>
      </c>
      <c r="C66" s="56" t="s">
        <v>844</v>
      </c>
      <c r="D66" s="56" t="s">
        <v>879</v>
      </c>
      <c r="E66" s="144"/>
    </row>
    <row r="67" spans="1:5" x14ac:dyDescent="0.2">
      <c r="A67" s="56" t="s">
        <v>913</v>
      </c>
      <c r="B67" s="56" t="s">
        <v>912</v>
      </c>
      <c r="C67" s="56" t="s">
        <v>844</v>
      </c>
      <c r="D67" s="56" t="s">
        <v>881</v>
      </c>
      <c r="E67" s="144"/>
    </row>
    <row r="68" spans="1:5" x14ac:dyDescent="0.2">
      <c r="A68" s="56" t="s">
        <v>914</v>
      </c>
      <c r="B68" s="56" t="s">
        <v>912</v>
      </c>
      <c r="C68" s="56" t="s">
        <v>844</v>
      </c>
      <c r="D68" s="56" t="s">
        <v>883</v>
      </c>
      <c r="E68" s="144"/>
    </row>
    <row r="69" spans="1:5" x14ac:dyDescent="0.2">
      <c r="A69" s="56" t="s">
        <v>915</v>
      </c>
      <c r="B69" s="56" t="s">
        <v>912</v>
      </c>
      <c r="C69" s="56" t="s">
        <v>844</v>
      </c>
      <c r="D69" s="56" t="s">
        <v>885</v>
      </c>
      <c r="E69" s="144"/>
    </row>
    <row r="70" spans="1:5" x14ac:dyDescent="0.2">
      <c r="A70" s="56" t="s">
        <v>916</v>
      </c>
      <c r="B70" s="56" t="s">
        <v>917</v>
      </c>
      <c r="C70" s="56" t="s">
        <v>844</v>
      </c>
      <c r="D70" s="56" t="s">
        <v>879</v>
      </c>
      <c r="E70" s="144"/>
    </row>
    <row r="71" spans="1:5" x14ac:dyDescent="0.2">
      <c r="A71" s="56" t="s">
        <v>918</v>
      </c>
      <c r="B71" s="56" t="s">
        <v>917</v>
      </c>
      <c r="C71" s="56" t="s">
        <v>844</v>
      </c>
      <c r="D71" s="56" t="s">
        <v>881</v>
      </c>
      <c r="E71" s="144"/>
    </row>
    <row r="72" spans="1:5" x14ac:dyDescent="0.2">
      <c r="A72" s="56" t="s">
        <v>919</v>
      </c>
      <c r="B72" s="56" t="s">
        <v>917</v>
      </c>
      <c r="C72" s="56" t="s">
        <v>844</v>
      </c>
      <c r="D72" s="56" t="s">
        <v>883</v>
      </c>
      <c r="E72" s="144"/>
    </row>
    <row r="73" spans="1:5" x14ac:dyDescent="0.2">
      <c r="A73" s="56" t="s">
        <v>920</v>
      </c>
      <c r="B73" s="56" t="s">
        <v>917</v>
      </c>
      <c r="C73" s="56" t="s">
        <v>844</v>
      </c>
      <c r="D73" s="56" t="s">
        <v>885</v>
      </c>
      <c r="E73" s="144"/>
    </row>
    <row r="74" spans="1:5" x14ac:dyDescent="0.2">
      <c r="A74" s="56" t="s">
        <v>921</v>
      </c>
      <c r="B74" s="56" t="s">
        <v>922</v>
      </c>
      <c r="C74" s="56" t="s">
        <v>844</v>
      </c>
      <c r="D74" s="56" t="s">
        <v>879</v>
      </c>
      <c r="E74" s="144"/>
    </row>
    <row r="75" spans="1:5" x14ac:dyDescent="0.2">
      <c r="A75" s="56" t="s">
        <v>923</v>
      </c>
      <c r="B75" s="56" t="s">
        <v>922</v>
      </c>
      <c r="C75" s="56" t="s">
        <v>844</v>
      </c>
      <c r="D75" s="56" t="s">
        <v>881</v>
      </c>
      <c r="E75" s="144"/>
    </row>
    <row r="76" spans="1:5" x14ac:dyDescent="0.2">
      <c r="A76" s="56" t="s">
        <v>924</v>
      </c>
      <c r="B76" s="56" t="s">
        <v>922</v>
      </c>
      <c r="C76" s="56" t="s">
        <v>844</v>
      </c>
      <c r="D76" s="56" t="s">
        <v>883</v>
      </c>
      <c r="E76" s="144"/>
    </row>
    <row r="77" spans="1:5" x14ac:dyDescent="0.2">
      <c r="A77" s="56" t="s">
        <v>925</v>
      </c>
      <c r="B77" s="56" t="s">
        <v>922</v>
      </c>
      <c r="C77" s="56" t="s">
        <v>844</v>
      </c>
      <c r="D77" s="56" t="s">
        <v>885</v>
      </c>
      <c r="E77" s="144"/>
    </row>
    <row r="78" spans="1:5" x14ac:dyDescent="0.2">
      <c r="A78" s="56" t="s">
        <v>926</v>
      </c>
      <c r="B78" s="56" t="s">
        <v>927</v>
      </c>
      <c r="C78" s="56" t="s">
        <v>824</v>
      </c>
      <c r="D78" s="56" t="s">
        <v>825</v>
      </c>
      <c r="E78" s="144"/>
    </row>
    <row r="79" spans="1:5" x14ac:dyDescent="0.2">
      <c r="A79" s="56" t="s">
        <v>928</v>
      </c>
      <c r="B79" s="56" t="s">
        <v>927</v>
      </c>
      <c r="C79" s="56" t="s">
        <v>824</v>
      </c>
      <c r="D79" s="56" t="s">
        <v>929</v>
      </c>
      <c r="E79" s="144"/>
    </row>
    <row r="80" spans="1:5" x14ac:dyDescent="0.2">
      <c r="A80" s="56" t="s">
        <v>930</v>
      </c>
      <c r="B80" s="56" t="s">
        <v>927</v>
      </c>
      <c r="C80" s="56" t="s">
        <v>824</v>
      </c>
      <c r="D80" s="56" t="s">
        <v>931</v>
      </c>
      <c r="E80" s="144"/>
    </row>
    <row r="81" spans="1:5" x14ac:dyDescent="0.2">
      <c r="A81" s="61" t="s">
        <v>932</v>
      </c>
      <c r="B81" s="61" t="s">
        <v>927</v>
      </c>
      <c r="C81" s="61" t="s">
        <v>824</v>
      </c>
      <c r="D81" s="61" t="s">
        <v>933</v>
      </c>
      <c r="E81" s="147"/>
    </row>
    <row r="82" spans="1:5" x14ac:dyDescent="0.2">
      <c r="A82" s="78" t="s">
        <v>297</v>
      </c>
      <c r="B82" s="79"/>
      <c r="C82" s="79"/>
      <c r="D82" s="79"/>
      <c r="E82" s="136"/>
    </row>
    <row r="84" spans="1:5" x14ac:dyDescent="0.2">
      <c r="A84" s="78" t="s">
        <v>934</v>
      </c>
      <c r="B84" s="79"/>
      <c r="C84" s="79"/>
      <c r="D84" s="79"/>
      <c r="E84" s="136"/>
    </row>
  </sheetData>
  <sheetProtection algorithmName="SHA-512" hashValue="zrjHUvplbWzoMg87bHTlYz5qhYjvRIzcfbAYGpNFwcT7wIoKe3AbLuLdSMotSk5bcnEHZmJrXjIARoArPIGhoA==" saltValue="GlC+OZtrWPeKcFGMoOh6iw==" spinCount="100000" sheet="1" objects="1" scenarios="1" autoFilter="0"/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13976-F9F9-44B9-99B5-E772113864EA}">
  <dimension ref="A1:L33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">
      <c r="A1" s="1" t="str">
        <f>CONCATENATE("Bijlage F.2.12: ",tabeltype," glas")</f>
        <v>Bijlage F.2.12: Invultabel glas</v>
      </c>
    </row>
    <row r="3" spans="1:12" ht="37.799999999999997" x14ac:dyDescent="0.2">
      <c r="A3" s="40" t="s">
        <v>789</v>
      </c>
      <c r="B3" s="40" t="s">
        <v>7</v>
      </c>
      <c r="C3" s="40" t="s">
        <v>790</v>
      </c>
      <c r="D3" s="40" t="s">
        <v>100</v>
      </c>
      <c r="E3" s="40" t="s">
        <v>103</v>
      </c>
      <c r="F3" s="40" t="s">
        <v>791</v>
      </c>
      <c r="G3" s="40" t="s">
        <v>792</v>
      </c>
      <c r="H3" s="40" t="s">
        <v>793</v>
      </c>
      <c r="I3" s="40" t="s">
        <v>794</v>
      </c>
      <c r="J3" s="40" t="s">
        <v>795</v>
      </c>
      <c r="K3" s="40" t="s">
        <v>244</v>
      </c>
      <c r="L3" s="40" t="s">
        <v>723</v>
      </c>
    </row>
    <row r="4" spans="1:12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">
      <c r="A5" s="44" t="s">
        <v>105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6"/>
    </row>
    <row r="6" spans="1:12" x14ac:dyDescent="0.2">
      <c r="A6" s="51" t="s">
        <v>935</v>
      </c>
      <c r="B6" s="51" t="s">
        <v>29</v>
      </c>
      <c r="C6" s="52">
        <f>IF(ISBLANK(B6),0,IF(ISERROR(VALUE(B6)),VLOOKUP(B6,dagsoorttabel1,2,FALSE)*dagenperjaar1,VALUE(B6)))</f>
        <v>1</v>
      </c>
      <c r="D6" s="51" t="s">
        <v>936</v>
      </c>
      <c r="E6" s="51" t="s">
        <v>844</v>
      </c>
      <c r="F6" s="140">
        <v>4926.6600000000017</v>
      </c>
      <c r="G6" s="141"/>
      <c r="H6" s="142"/>
      <c r="I6" s="141"/>
      <c r="J6" s="55">
        <f>IF(ISBLANK(F6),0,F6)*ROUND(I6,2)</f>
        <v>0</v>
      </c>
      <c r="K6" s="55">
        <f>C6*J6</f>
        <v>0</v>
      </c>
      <c r="L6" s="55">
        <f>K6/12</f>
        <v>0</v>
      </c>
    </row>
    <row r="7" spans="1:12" x14ac:dyDescent="0.2">
      <c r="A7" s="56" t="s">
        <v>935</v>
      </c>
      <c r="B7" s="56" t="s">
        <v>27</v>
      </c>
      <c r="C7" s="57">
        <f>IF(ISBLANK(B7),0,IF(ISERROR(VALUE(B7)),VLOOKUP(B7,dagsoorttabel1,2,FALSE)*dagenperjaar1,VALUE(B7)))</f>
        <v>3</v>
      </c>
      <c r="D7" s="56" t="s">
        <v>936</v>
      </c>
      <c r="E7" s="56" t="s">
        <v>844</v>
      </c>
      <c r="F7" s="143">
        <v>844</v>
      </c>
      <c r="G7" s="144"/>
      <c r="H7" s="145"/>
      <c r="I7" s="144"/>
      <c r="J7" s="60">
        <f>IF(ISBLANK(F7),0,F7)*ROUND(I7,2)</f>
        <v>0</v>
      </c>
      <c r="K7" s="60">
        <f>C7*J7</f>
        <v>0</v>
      </c>
      <c r="L7" s="60">
        <f>K7/12</f>
        <v>0</v>
      </c>
    </row>
    <row r="8" spans="1:12" x14ac:dyDescent="0.2">
      <c r="A8" s="56" t="s">
        <v>937</v>
      </c>
      <c r="B8" s="56" t="s">
        <v>29</v>
      </c>
      <c r="C8" s="57">
        <f>IF(ISBLANK(B8),0,IF(ISERROR(VALUE(B8)),VLOOKUP(B8,dagsoorttabel1,2,FALSE)*dagenperjaar1,VALUE(B8)))</f>
        <v>1</v>
      </c>
      <c r="D8" s="56" t="s">
        <v>938</v>
      </c>
      <c r="E8" s="56" t="s">
        <v>844</v>
      </c>
      <c r="F8" s="143">
        <v>4926.6600000000017</v>
      </c>
      <c r="G8" s="144"/>
      <c r="H8" s="145"/>
      <c r="I8" s="144"/>
      <c r="J8" s="60">
        <f>IF(ISBLANK(F8),0,F8)*ROUND(I8,2)</f>
        <v>0</v>
      </c>
      <c r="K8" s="60">
        <f>C8*J8</f>
        <v>0</v>
      </c>
      <c r="L8" s="60">
        <f>K8/12</f>
        <v>0</v>
      </c>
    </row>
    <row r="9" spans="1:12" x14ac:dyDescent="0.2">
      <c r="A9" s="56" t="s">
        <v>937</v>
      </c>
      <c r="B9" s="56" t="s">
        <v>27</v>
      </c>
      <c r="C9" s="57">
        <f>IF(ISBLANK(B9),0,IF(ISERROR(VALUE(B9)),VLOOKUP(B9,dagsoorttabel1,2,FALSE)*dagenperjaar1,VALUE(B9)))</f>
        <v>3</v>
      </c>
      <c r="D9" s="56" t="s">
        <v>938</v>
      </c>
      <c r="E9" s="56" t="s">
        <v>844</v>
      </c>
      <c r="F9" s="143">
        <v>844</v>
      </c>
      <c r="G9" s="144"/>
      <c r="H9" s="145"/>
      <c r="I9" s="144"/>
      <c r="J9" s="60">
        <f>IF(ISBLANK(F9),0,F9)*ROUND(I9,2)</f>
        <v>0</v>
      </c>
      <c r="K9" s="60">
        <f>C9*J9</f>
        <v>0</v>
      </c>
      <c r="L9" s="60">
        <f>K9/12</f>
        <v>0</v>
      </c>
    </row>
    <row r="10" spans="1:12" x14ac:dyDescent="0.2">
      <c r="A10" s="56" t="s">
        <v>939</v>
      </c>
      <c r="B10" s="56" t="s">
        <v>29</v>
      </c>
      <c r="C10" s="57">
        <f>IF(ISBLANK(B10),0,IF(ISERROR(VALUE(B10)),VLOOKUP(B10,dagsoorttabel1,2,FALSE)*dagenperjaar1,VALUE(B10)))</f>
        <v>1</v>
      </c>
      <c r="D10" s="56" t="s">
        <v>940</v>
      </c>
      <c r="E10" s="56" t="s">
        <v>844</v>
      </c>
      <c r="F10" s="143">
        <v>4696</v>
      </c>
      <c r="G10" s="144"/>
      <c r="H10" s="145"/>
      <c r="I10" s="144"/>
      <c r="J10" s="60">
        <f>IF(ISBLANK(F10),0,F10)*ROUND(I10,2)</f>
        <v>0</v>
      </c>
      <c r="K10" s="60">
        <f>C10*J10</f>
        <v>0</v>
      </c>
      <c r="L10" s="60">
        <f>K10/12</f>
        <v>0</v>
      </c>
    </row>
    <row r="11" spans="1:12" x14ac:dyDescent="0.2">
      <c r="A11" s="56" t="s">
        <v>939</v>
      </c>
      <c r="B11" s="56" t="s">
        <v>27</v>
      </c>
      <c r="C11" s="57">
        <f>IF(ISBLANK(B11),0,IF(ISERROR(VALUE(B11)),VLOOKUP(B11,dagsoorttabel1,2,FALSE)*dagenperjaar1,VALUE(B11)))</f>
        <v>3</v>
      </c>
      <c r="D11" s="56" t="s">
        <v>940</v>
      </c>
      <c r="E11" s="56" t="s">
        <v>844</v>
      </c>
      <c r="F11" s="143">
        <v>384</v>
      </c>
      <c r="G11" s="144"/>
      <c r="H11" s="145"/>
      <c r="I11" s="144"/>
      <c r="J11" s="60">
        <f>IF(ISBLANK(F11),0,F11)*ROUND(I11,2)</f>
        <v>0</v>
      </c>
      <c r="K11" s="60">
        <f>C11*J11</f>
        <v>0</v>
      </c>
      <c r="L11" s="60">
        <f>K11/12</f>
        <v>0</v>
      </c>
    </row>
    <row r="12" spans="1:12" x14ac:dyDescent="0.2">
      <c r="A12" s="56" t="s">
        <v>941</v>
      </c>
      <c r="B12" s="56" t="s">
        <v>29</v>
      </c>
      <c r="C12" s="57">
        <f>IF(ISBLANK(B12),0,IF(ISERROR(VALUE(B12)),VLOOKUP(B12,dagsoorttabel1,2,FALSE)*dagenperjaar1,VALUE(B12)))</f>
        <v>1</v>
      </c>
      <c r="D12" s="56" t="s">
        <v>942</v>
      </c>
      <c r="E12" s="56" t="s">
        <v>943</v>
      </c>
      <c r="F12" s="143">
        <v>1</v>
      </c>
      <c r="G12" s="144"/>
      <c r="H12" s="145"/>
      <c r="I12" s="144"/>
      <c r="J12" s="60">
        <f>IF(ISBLANK(F12),1,F12)*ROUND(I12,2)</f>
        <v>0</v>
      </c>
      <c r="K12" s="60">
        <f>C12*J12</f>
        <v>0</v>
      </c>
      <c r="L12" s="60">
        <f>K12/12</f>
        <v>0</v>
      </c>
    </row>
    <row r="13" spans="1:12" x14ac:dyDescent="0.2">
      <c r="A13" s="56" t="s">
        <v>944</v>
      </c>
      <c r="B13" s="56" t="s">
        <v>29</v>
      </c>
      <c r="C13" s="57">
        <f>IF(ISBLANK(B13),0,IF(ISERROR(VALUE(B13)),VLOOKUP(B13,dagsoorttabel1,2,FALSE)*dagenperjaar1,VALUE(B13)))</f>
        <v>1</v>
      </c>
      <c r="D13" s="56" t="s">
        <v>945</v>
      </c>
      <c r="E13" s="56" t="s">
        <v>943</v>
      </c>
      <c r="F13" s="143">
        <v>1</v>
      </c>
      <c r="G13" s="144"/>
      <c r="H13" s="145"/>
      <c r="I13" s="144"/>
      <c r="J13" s="60">
        <f>IF(ISBLANK(F13),1,F13)*ROUND(I13,2)</f>
        <v>0</v>
      </c>
      <c r="K13" s="60">
        <f>C13*J13</f>
        <v>0</v>
      </c>
      <c r="L13" s="60">
        <f>K13/12</f>
        <v>0</v>
      </c>
    </row>
    <row r="14" spans="1:12" x14ac:dyDescent="0.2">
      <c r="A14" s="56" t="s">
        <v>946</v>
      </c>
      <c r="B14" s="56" t="s">
        <v>29</v>
      </c>
      <c r="C14" s="57">
        <f>IF(ISBLANK(B14),0,IF(ISERROR(VALUE(B14)),VLOOKUP(B14,dagsoorttabel1,2,FALSE)*dagenperjaar1,VALUE(B14)))</f>
        <v>1</v>
      </c>
      <c r="D14" s="56" t="s">
        <v>947</v>
      </c>
      <c r="E14" s="56" t="s">
        <v>943</v>
      </c>
      <c r="F14" s="143">
        <v>1</v>
      </c>
      <c r="G14" s="144"/>
      <c r="H14" s="145"/>
      <c r="I14" s="144"/>
      <c r="J14" s="60">
        <f>IF(ISBLANK(F14),1,F14)*ROUND(I14,2)</f>
        <v>0</v>
      </c>
      <c r="K14" s="60">
        <f>C14*J14</f>
        <v>0</v>
      </c>
      <c r="L14" s="60">
        <f>K14/12</f>
        <v>0</v>
      </c>
    </row>
    <row r="15" spans="1:12" x14ac:dyDescent="0.2">
      <c r="A15" s="56" t="s">
        <v>948</v>
      </c>
      <c r="B15" s="56" t="s">
        <v>29</v>
      </c>
      <c r="C15" s="57">
        <f>IF(ISBLANK(B15),0,IF(ISERROR(VALUE(B15)),VLOOKUP(B15,dagsoorttabel1,2,FALSE)*dagenperjaar1,VALUE(B15)))</f>
        <v>1</v>
      </c>
      <c r="D15" s="56" t="s">
        <v>949</v>
      </c>
      <c r="E15" s="56" t="s">
        <v>943</v>
      </c>
      <c r="F15" s="143">
        <v>1</v>
      </c>
      <c r="G15" s="144"/>
      <c r="H15" s="145"/>
      <c r="I15" s="144"/>
      <c r="J15" s="60">
        <f>IF(ISBLANK(F15),1,F15)*ROUND(I15,2)</f>
        <v>0</v>
      </c>
      <c r="K15" s="60">
        <f>C15*J15</f>
        <v>0</v>
      </c>
      <c r="L15" s="60">
        <f>K15/12</f>
        <v>0</v>
      </c>
    </row>
    <row r="16" spans="1:12" x14ac:dyDescent="0.2">
      <c r="A16" s="56" t="s">
        <v>950</v>
      </c>
      <c r="B16" s="56" t="s">
        <v>29</v>
      </c>
      <c r="C16" s="57">
        <f>IF(ISBLANK(B16),0,IF(ISERROR(VALUE(B16)),VLOOKUP(B16,dagsoorttabel1,2,FALSE)*dagenperjaar1,VALUE(B16)))</f>
        <v>1</v>
      </c>
      <c r="D16" s="56" t="s">
        <v>951</v>
      </c>
      <c r="E16" s="56" t="s">
        <v>943</v>
      </c>
      <c r="F16" s="143">
        <v>1</v>
      </c>
      <c r="G16" s="144"/>
      <c r="H16" s="145"/>
      <c r="I16" s="144"/>
      <c r="J16" s="60">
        <f>IF(ISBLANK(F16),1,F16)*ROUND(I16,2)</f>
        <v>0</v>
      </c>
      <c r="K16" s="60">
        <f>C16*J16</f>
        <v>0</v>
      </c>
      <c r="L16" s="60">
        <f>K16/12</f>
        <v>0</v>
      </c>
    </row>
    <row r="17" spans="1:12" x14ac:dyDescent="0.2">
      <c r="A17" s="56" t="s">
        <v>952</v>
      </c>
      <c r="B17" s="56" t="s">
        <v>29</v>
      </c>
      <c r="C17" s="57">
        <f>IF(ISBLANK(B17),0,IF(ISERROR(VALUE(B17)),VLOOKUP(B17,dagsoorttabel1,2,FALSE)*dagenperjaar1,VALUE(B17)))</f>
        <v>1</v>
      </c>
      <c r="D17" s="56" t="s">
        <v>953</v>
      </c>
      <c r="E17" s="56" t="s">
        <v>943</v>
      </c>
      <c r="F17" s="143">
        <v>1</v>
      </c>
      <c r="G17" s="144"/>
      <c r="H17" s="145"/>
      <c r="I17" s="144"/>
      <c r="J17" s="60">
        <f>IF(ISBLANK(F17),1,F17)*ROUND(I17,2)</f>
        <v>0</v>
      </c>
      <c r="K17" s="60">
        <f>C17*J17</f>
        <v>0</v>
      </c>
      <c r="L17" s="60">
        <f>K17/12</f>
        <v>0</v>
      </c>
    </row>
    <row r="18" spans="1:12" x14ac:dyDescent="0.2">
      <c r="A18" s="56" t="s">
        <v>954</v>
      </c>
      <c r="B18" s="56" t="s">
        <v>29</v>
      </c>
      <c r="C18" s="57">
        <f>IF(ISBLANK(B18),0,IF(ISERROR(VALUE(B18)),VLOOKUP(B18,dagsoorttabel1,2,FALSE)*dagenperjaar1,VALUE(B18)))</f>
        <v>1</v>
      </c>
      <c r="D18" s="56" t="s">
        <v>955</v>
      </c>
      <c r="E18" s="56" t="s">
        <v>943</v>
      </c>
      <c r="F18" s="143">
        <v>1</v>
      </c>
      <c r="G18" s="144"/>
      <c r="H18" s="145"/>
      <c r="I18" s="144"/>
      <c r="J18" s="60">
        <f>IF(ISBLANK(F18),1,F18)*ROUND(I18,2)</f>
        <v>0</v>
      </c>
      <c r="K18" s="60">
        <f>C18*J18</f>
        <v>0</v>
      </c>
      <c r="L18" s="60">
        <f>K18/12</f>
        <v>0</v>
      </c>
    </row>
    <row r="19" spans="1:12" x14ac:dyDescent="0.2">
      <c r="A19" s="56" t="s">
        <v>956</v>
      </c>
      <c r="B19" s="56" t="s">
        <v>29</v>
      </c>
      <c r="C19" s="57">
        <f>IF(ISBLANK(B19),0,IF(ISERROR(VALUE(B19)),VLOOKUP(B19,dagsoorttabel1,2,FALSE)*dagenperjaar1,VALUE(B19)))</f>
        <v>1</v>
      </c>
      <c r="D19" s="56" t="s">
        <v>957</v>
      </c>
      <c r="E19" s="56" t="s">
        <v>943</v>
      </c>
      <c r="F19" s="143">
        <v>1</v>
      </c>
      <c r="G19" s="144"/>
      <c r="H19" s="145"/>
      <c r="I19" s="144"/>
      <c r="J19" s="60">
        <f>IF(ISBLANK(F19),1,F19)*ROUND(I19,2)</f>
        <v>0</v>
      </c>
      <c r="K19" s="60">
        <f>C19*J19</f>
        <v>0</v>
      </c>
      <c r="L19" s="60">
        <f>K19/12</f>
        <v>0</v>
      </c>
    </row>
    <row r="20" spans="1:12" x14ac:dyDescent="0.2">
      <c r="A20" s="56" t="s">
        <v>958</v>
      </c>
      <c r="B20" s="56" t="s">
        <v>29</v>
      </c>
      <c r="C20" s="57">
        <f>IF(ISBLANK(B20),0,IF(ISERROR(VALUE(B20)),VLOOKUP(B20,dagsoorttabel1,2,FALSE)*dagenperjaar1,VALUE(B20)))</f>
        <v>1</v>
      </c>
      <c r="D20" s="56" t="s">
        <v>959</v>
      </c>
      <c r="E20" s="56" t="s">
        <v>943</v>
      </c>
      <c r="F20" s="143">
        <v>1</v>
      </c>
      <c r="G20" s="144"/>
      <c r="H20" s="145"/>
      <c r="I20" s="144"/>
      <c r="J20" s="60">
        <f>IF(ISBLANK(F20),1,F20)*ROUND(I20,2)</f>
        <v>0</v>
      </c>
      <c r="K20" s="60">
        <f>C20*J20</f>
        <v>0</v>
      </c>
      <c r="L20" s="60">
        <f>K20/12</f>
        <v>0</v>
      </c>
    </row>
    <row r="21" spans="1:12" x14ac:dyDescent="0.2">
      <c r="A21" s="56" t="s">
        <v>960</v>
      </c>
      <c r="B21" s="56" t="s">
        <v>29</v>
      </c>
      <c r="C21" s="57">
        <f>IF(ISBLANK(B21),0,IF(ISERROR(VALUE(B21)),VLOOKUP(B21,dagsoorttabel1,2,FALSE)*dagenperjaar1,VALUE(B21)))</f>
        <v>1</v>
      </c>
      <c r="D21" s="56" t="s">
        <v>961</v>
      </c>
      <c r="E21" s="56" t="s">
        <v>943</v>
      </c>
      <c r="F21" s="143">
        <v>1</v>
      </c>
      <c r="G21" s="144"/>
      <c r="H21" s="145"/>
      <c r="I21" s="144"/>
      <c r="J21" s="60">
        <f>IF(ISBLANK(F21),1,F21)*ROUND(I21,2)</f>
        <v>0</v>
      </c>
      <c r="K21" s="60">
        <f>C21*J21</f>
        <v>0</v>
      </c>
      <c r="L21" s="60">
        <f>K21/12</f>
        <v>0</v>
      </c>
    </row>
    <row r="22" spans="1:12" x14ac:dyDescent="0.2">
      <c r="A22" s="56" t="s">
        <v>962</v>
      </c>
      <c r="B22" s="56" t="s">
        <v>29</v>
      </c>
      <c r="C22" s="57">
        <f>IF(ISBLANK(B22),0,IF(ISERROR(VALUE(B22)),VLOOKUP(B22,dagsoorttabel1,2,FALSE)*dagenperjaar1,VALUE(B22)))</f>
        <v>1</v>
      </c>
      <c r="D22" s="56" t="s">
        <v>963</v>
      </c>
      <c r="E22" s="56" t="s">
        <v>943</v>
      </c>
      <c r="F22" s="143">
        <v>1</v>
      </c>
      <c r="G22" s="144"/>
      <c r="H22" s="145"/>
      <c r="I22" s="144"/>
      <c r="J22" s="60">
        <f>IF(ISBLANK(F22),1,F22)*ROUND(I22,2)</f>
        <v>0</v>
      </c>
      <c r="K22" s="60">
        <f>C22*J22</f>
        <v>0</v>
      </c>
      <c r="L22" s="60">
        <f>K22/12</f>
        <v>0</v>
      </c>
    </row>
    <row r="23" spans="1:12" x14ac:dyDescent="0.2">
      <c r="A23" s="56" t="s">
        <v>964</v>
      </c>
      <c r="B23" s="56" t="s">
        <v>29</v>
      </c>
      <c r="C23" s="57">
        <f>IF(ISBLANK(B23),0,IF(ISERROR(VALUE(B23)),VLOOKUP(B23,dagsoorttabel1,2,FALSE)*dagenperjaar1,VALUE(B23)))</f>
        <v>1</v>
      </c>
      <c r="D23" s="56" t="s">
        <v>965</v>
      </c>
      <c r="E23" s="56" t="s">
        <v>943</v>
      </c>
      <c r="F23" s="143">
        <v>1</v>
      </c>
      <c r="G23" s="144"/>
      <c r="H23" s="145"/>
      <c r="I23" s="144"/>
      <c r="J23" s="60">
        <f>IF(ISBLANK(F23),1,F23)*ROUND(I23,2)</f>
        <v>0</v>
      </c>
      <c r="K23" s="60">
        <f>C23*J23</f>
        <v>0</v>
      </c>
      <c r="L23" s="60">
        <f>K23/12</f>
        <v>0</v>
      </c>
    </row>
    <row r="24" spans="1:12" x14ac:dyDescent="0.2">
      <c r="A24" s="56" t="s">
        <v>966</v>
      </c>
      <c r="B24" s="56" t="s">
        <v>29</v>
      </c>
      <c r="C24" s="57">
        <f>IF(ISBLANK(B24),0,IF(ISERROR(VALUE(B24)),VLOOKUP(B24,dagsoorttabel1,2,FALSE)*dagenperjaar1,VALUE(B24)))</f>
        <v>1</v>
      </c>
      <c r="D24" s="56" t="s">
        <v>967</v>
      </c>
      <c r="E24" s="56" t="s">
        <v>943</v>
      </c>
      <c r="F24" s="143">
        <v>1</v>
      </c>
      <c r="G24" s="144"/>
      <c r="H24" s="145"/>
      <c r="I24" s="144"/>
      <c r="J24" s="60">
        <f>IF(ISBLANK(F24),1,F24)*ROUND(I24,2)</f>
        <v>0</v>
      </c>
      <c r="K24" s="60">
        <f>C24*J24</f>
        <v>0</v>
      </c>
      <c r="L24" s="60">
        <f>K24/12</f>
        <v>0</v>
      </c>
    </row>
    <row r="25" spans="1:12" x14ac:dyDescent="0.2">
      <c r="A25" s="56" t="s">
        <v>968</v>
      </c>
      <c r="B25" s="56" t="s">
        <v>29</v>
      </c>
      <c r="C25" s="57">
        <f>IF(ISBLANK(B25),0,IF(ISERROR(VALUE(B25)),VLOOKUP(B25,dagsoorttabel1,2,FALSE)*dagenperjaar1,VALUE(B25)))</f>
        <v>1</v>
      </c>
      <c r="D25" s="56" t="s">
        <v>969</v>
      </c>
      <c r="E25" s="56" t="s">
        <v>943</v>
      </c>
      <c r="F25" s="143">
        <v>1</v>
      </c>
      <c r="G25" s="144"/>
      <c r="H25" s="145"/>
      <c r="I25" s="144"/>
      <c r="J25" s="60">
        <f>IF(ISBLANK(F25),1,F25)*ROUND(I25,2)</f>
        <v>0</v>
      </c>
      <c r="K25" s="60">
        <f>C25*J25</f>
        <v>0</v>
      </c>
      <c r="L25" s="60">
        <f>K25/12</f>
        <v>0</v>
      </c>
    </row>
    <row r="26" spans="1:12" x14ac:dyDescent="0.2">
      <c r="A26" s="56" t="s">
        <v>970</v>
      </c>
      <c r="B26" s="56" t="s">
        <v>29</v>
      </c>
      <c r="C26" s="57">
        <f>IF(ISBLANK(B26),0,IF(ISERROR(VALUE(B26)),VLOOKUP(B26,dagsoorttabel1,2,FALSE)*dagenperjaar1,VALUE(B26)))</f>
        <v>1</v>
      </c>
      <c r="D26" s="56" t="s">
        <v>971</v>
      </c>
      <c r="E26" s="56" t="s">
        <v>943</v>
      </c>
      <c r="F26" s="143">
        <v>1</v>
      </c>
      <c r="G26" s="144"/>
      <c r="H26" s="145"/>
      <c r="I26" s="144"/>
      <c r="J26" s="60">
        <f>IF(ISBLANK(F26),1,F26)*ROUND(I26,2)</f>
        <v>0</v>
      </c>
      <c r="K26" s="60">
        <f>C26*J26</f>
        <v>0</v>
      </c>
      <c r="L26" s="60">
        <f>K26/12</f>
        <v>0</v>
      </c>
    </row>
    <row r="27" spans="1:12" x14ac:dyDescent="0.2">
      <c r="A27" s="56" t="s">
        <v>972</v>
      </c>
      <c r="B27" s="56" t="s">
        <v>29</v>
      </c>
      <c r="C27" s="57">
        <f>IF(ISBLANK(B27),0,IF(ISERROR(VALUE(B27)),VLOOKUP(B27,dagsoorttabel1,2,FALSE)*dagenperjaar1,VALUE(B27)))</f>
        <v>1</v>
      </c>
      <c r="D27" s="56" t="s">
        <v>973</v>
      </c>
      <c r="E27" s="56" t="s">
        <v>943</v>
      </c>
      <c r="F27" s="143">
        <v>1</v>
      </c>
      <c r="G27" s="144"/>
      <c r="H27" s="145"/>
      <c r="I27" s="144"/>
      <c r="J27" s="60">
        <f>IF(ISBLANK(F27),1,F27)*ROUND(I27,2)</f>
        <v>0</v>
      </c>
      <c r="K27" s="60">
        <f>C27*J27</f>
        <v>0</v>
      </c>
      <c r="L27" s="60">
        <f>K27/12</f>
        <v>0</v>
      </c>
    </row>
    <row r="28" spans="1:12" x14ac:dyDescent="0.2">
      <c r="A28" s="56" t="s">
        <v>974</v>
      </c>
      <c r="B28" s="56" t="s">
        <v>29</v>
      </c>
      <c r="C28" s="57">
        <f>IF(ISBLANK(B28),0,IF(ISERROR(VALUE(B28)),VLOOKUP(B28,dagsoorttabel1,2,FALSE)*dagenperjaar1,VALUE(B28)))</f>
        <v>1</v>
      </c>
      <c r="D28" s="56" t="s">
        <v>975</v>
      </c>
      <c r="E28" s="56" t="s">
        <v>943</v>
      </c>
      <c r="F28" s="143">
        <v>1</v>
      </c>
      <c r="G28" s="144"/>
      <c r="H28" s="145"/>
      <c r="I28" s="144"/>
      <c r="J28" s="60">
        <f>IF(ISBLANK(F28),1,F28)*ROUND(I28,2)</f>
        <v>0</v>
      </c>
      <c r="K28" s="60">
        <f>C28*J28</f>
        <v>0</v>
      </c>
      <c r="L28" s="60">
        <f>K28/12</f>
        <v>0</v>
      </c>
    </row>
    <row r="29" spans="1:12" x14ac:dyDescent="0.2">
      <c r="A29" s="56" t="s">
        <v>976</v>
      </c>
      <c r="B29" s="56" t="s">
        <v>29</v>
      </c>
      <c r="C29" s="57">
        <f>IF(ISBLANK(B29),0,IF(ISERROR(VALUE(B29)),VLOOKUP(B29,dagsoorttabel1,2,FALSE)*dagenperjaar1,VALUE(B29)))</f>
        <v>1</v>
      </c>
      <c r="D29" s="56" t="s">
        <v>977</v>
      </c>
      <c r="E29" s="56" t="s">
        <v>943</v>
      </c>
      <c r="F29" s="143">
        <v>1</v>
      </c>
      <c r="G29" s="144"/>
      <c r="H29" s="145"/>
      <c r="I29" s="144"/>
      <c r="J29" s="60">
        <f>IF(ISBLANK(F29),1,F29)*ROUND(I29,2)</f>
        <v>0</v>
      </c>
      <c r="K29" s="60">
        <f>C29*J29</f>
        <v>0</v>
      </c>
      <c r="L29" s="60">
        <f>K29/12</f>
        <v>0</v>
      </c>
    </row>
    <row r="30" spans="1:12" x14ac:dyDescent="0.2">
      <c r="A30" s="61" t="s">
        <v>978</v>
      </c>
      <c r="B30" s="61" t="s">
        <v>29</v>
      </c>
      <c r="C30" s="62">
        <f>IF(ISBLANK(B30),0,IF(ISERROR(VALUE(B30)),VLOOKUP(B30,dagsoorttabel1,2,FALSE)*dagenperjaar1,VALUE(B30)))</f>
        <v>1</v>
      </c>
      <c r="D30" s="61" t="s">
        <v>979</v>
      </c>
      <c r="E30" s="61" t="s">
        <v>943</v>
      </c>
      <c r="F30" s="146">
        <v>1</v>
      </c>
      <c r="G30" s="147"/>
      <c r="H30" s="148"/>
      <c r="I30" s="147"/>
      <c r="J30" s="65">
        <f>IF(ISBLANK(F30),1,F30)*ROUND(I30,2)</f>
        <v>0</v>
      </c>
      <c r="K30" s="65">
        <f>C30*J30</f>
        <v>0</v>
      </c>
      <c r="L30" s="65">
        <f>K30/12</f>
        <v>0</v>
      </c>
    </row>
    <row r="31" spans="1:12" x14ac:dyDescent="0.2">
      <c r="A31" s="78" t="s">
        <v>297</v>
      </c>
      <c r="B31" s="79"/>
      <c r="C31" s="79"/>
      <c r="D31" s="79"/>
      <c r="E31" s="79"/>
      <c r="F31" s="79"/>
      <c r="G31" s="79"/>
      <c r="H31" s="79"/>
      <c r="I31" s="79"/>
      <c r="J31" s="79"/>
      <c r="K31" s="81">
        <f>SUM(K6:K30)</f>
        <v>0</v>
      </c>
      <c r="L31" s="134">
        <f>K31/12</f>
        <v>0</v>
      </c>
    </row>
    <row r="33" spans="1:12" x14ac:dyDescent="0.2">
      <c r="A33" s="78" t="s">
        <v>980</v>
      </c>
      <c r="B33" s="79"/>
      <c r="C33" s="79"/>
      <c r="D33" s="79"/>
      <c r="E33" s="79"/>
      <c r="F33" s="79"/>
      <c r="G33" s="79"/>
      <c r="H33" s="79"/>
      <c r="I33" s="79"/>
      <c r="J33" s="79"/>
      <c r="K33" s="81">
        <f>prijsjaarglas1</f>
        <v>0</v>
      </c>
      <c r="L33" s="134">
        <f>K33/12</f>
        <v>0</v>
      </c>
    </row>
  </sheetData>
  <sheetProtection algorithmName="SHA-512" hashValue="tcCJmbf54xqq7mKsAn+71RCtfxLiJ67jJCUDYcXlzHidHeE7yEUHxt7y2+ecdSNFtfJhCZaAaK1j0PQ+yftqrQ==" saltValue="OgGr1esUsXzt+55gwOrgWQ==" spinCount="100000" sheet="1" objects="1" scenarios="1" autoFilter="0"/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6707C-0331-4A82-943F-BBEFB188265B}">
  <dimension ref="A1:M163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11.6328125" customWidth="1"/>
    <col min="5" max="5" width="50.6328125" customWidth="1"/>
    <col min="6" max="7" width="14.6328125" customWidth="1"/>
    <col min="8" max="10" width="11.6328125" customWidth="1"/>
    <col min="11" max="11" width="12.6328125" customWidth="1"/>
    <col min="12" max="12" width="14.6328125" customWidth="1"/>
    <col min="13" max="13" width="13.6328125" customWidth="1"/>
  </cols>
  <sheetData>
    <row r="1" spans="1:13" x14ac:dyDescent="0.2">
      <c r="A1" s="1" t="str">
        <f>CONCATENATE("Bijlage F.2.13: ",tabeltype," glas per locatie")</f>
        <v>Bijlage F.2.13: Invultabel glas per locatie</v>
      </c>
    </row>
    <row r="3" spans="1:13" ht="37.799999999999997" x14ac:dyDescent="0.2">
      <c r="A3" s="40" t="s">
        <v>789</v>
      </c>
      <c r="B3" s="40" t="s">
        <v>7</v>
      </c>
      <c r="C3" s="40" t="s">
        <v>790</v>
      </c>
      <c r="D3" s="40" t="s">
        <v>673</v>
      </c>
      <c r="E3" s="40" t="s">
        <v>100</v>
      </c>
      <c r="F3" s="40" t="s">
        <v>103</v>
      </c>
      <c r="G3" s="40" t="s">
        <v>791</v>
      </c>
      <c r="H3" s="40" t="s">
        <v>792</v>
      </c>
      <c r="I3" s="40" t="s">
        <v>793</v>
      </c>
      <c r="J3" s="40" t="s">
        <v>794</v>
      </c>
      <c r="K3" s="40" t="s">
        <v>795</v>
      </c>
      <c r="L3" s="40" t="s">
        <v>244</v>
      </c>
      <c r="M3" s="40" t="s">
        <v>723</v>
      </c>
    </row>
    <row r="5" spans="1:13" x14ac:dyDescent="0.2">
      <c r="A5" s="135" t="s">
        <v>343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136"/>
    </row>
    <row r="6" spans="1:13" x14ac:dyDescent="0.2">
      <c r="A6" s="51" t="s">
        <v>935</v>
      </c>
      <c r="B6" s="51" t="s">
        <v>29</v>
      </c>
      <c r="C6" s="52">
        <f>IF(ISBLANK(B6),0,IF(ISERROR(VALUE(B6)),VLOOKUP(B6,dagsoorttabel1,2,FALSE)*dagenperjaar1,VALUE(B6)))</f>
        <v>1</v>
      </c>
      <c r="D6" s="51" t="s">
        <v>708</v>
      </c>
      <c r="E6" s="51" t="s">
        <v>936</v>
      </c>
      <c r="F6" s="51" t="s">
        <v>844</v>
      </c>
      <c r="G6" s="140">
        <v>189</v>
      </c>
      <c r="H6" s="149">
        <f>Glas!G6</f>
        <v>0</v>
      </c>
      <c r="I6" s="142"/>
      <c r="J6" s="149">
        <f>Glas!I6</f>
        <v>0</v>
      </c>
      <c r="K6" s="55">
        <f>IF(ISBLANK(G6),0,G6)*ROUND(J6,2)</f>
        <v>0</v>
      </c>
      <c r="L6" s="55">
        <f>C6*K6</f>
        <v>0</v>
      </c>
      <c r="M6" s="55">
        <f>L6/12</f>
        <v>0</v>
      </c>
    </row>
    <row r="7" spans="1:13" x14ac:dyDescent="0.2">
      <c r="A7" s="56" t="s">
        <v>937</v>
      </c>
      <c r="B7" s="56" t="s">
        <v>29</v>
      </c>
      <c r="C7" s="57">
        <f>IF(ISBLANK(B7),0,IF(ISERROR(VALUE(B7)),VLOOKUP(B7,dagsoorttabel1,2,FALSE)*dagenperjaar1,VALUE(B7)))</f>
        <v>1</v>
      </c>
      <c r="D7" s="56" t="s">
        <v>708</v>
      </c>
      <c r="E7" s="56" t="s">
        <v>938</v>
      </c>
      <c r="F7" s="56" t="s">
        <v>844</v>
      </c>
      <c r="G7" s="143">
        <v>189</v>
      </c>
      <c r="H7" s="150">
        <f>Glas!G8</f>
        <v>0</v>
      </c>
      <c r="I7" s="145"/>
      <c r="J7" s="150">
        <f>Glas!I8</f>
        <v>0</v>
      </c>
      <c r="K7" s="60">
        <f>IF(ISBLANK(G7),0,G7)*ROUND(J7,2)</f>
        <v>0</v>
      </c>
      <c r="L7" s="60">
        <f>C7*K7</f>
        <v>0</v>
      </c>
      <c r="M7" s="60">
        <f>L7/12</f>
        <v>0</v>
      </c>
    </row>
    <row r="8" spans="1:13" x14ac:dyDescent="0.2">
      <c r="A8" s="56" t="s">
        <v>939</v>
      </c>
      <c r="B8" s="56" t="s">
        <v>29</v>
      </c>
      <c r="C8" s="57">
        <f>IF(ISBLANK(B8),0,IF(ISERROR(VALUE(B8)),VLOOKUP(B8,dagsoorttabel1,2,FALSE)*dagenperjaar1,VALUE(B8)))</f>
        <v>1</v>
      </c>
      <c r="D8" s="56" t="s">
        <v>708</v>
      </c>
      <c r="E8" s="56" t="s">
        <v>940</v>
      </c>
      <c r="F8" s="56" t="s">
        <v>844</v>
      </c>
      <c r="G8" s="143">
        <v>396</v>
      </c>
      <c r="H8" s="150">
        <f>Glas!G10</f>
        <v>0</v>
      </c>
      <c r="I8" s="145"/>
      <c r="J8" s="150">
        <f>Glas!I10</f>
        <v>0</v>
      </c>
      <c r="K8" s="60">
        <f>IF(ISBLANK(G8),0,G8)*ROUND(J8,2)</f>
        <v>0</v>
      </c>
      <c r="L8" s="60">
        <f>C8*K8</f>
        <v>0</v>
      </c>
      <c r="M8" s="60">
        <f>L8/12</f>
        <v>0</v>
      </c>
    </row>
    <row r="9" spans="1:13" x14ac:dyDescent="0.2">
      <c r="A9" s="61" t="s">
        <v>976</v>
      </c>
      <c r="B9" s="61" t="s">
        <v>29</v>
      </c>
      <c r="C9" s="62">
        <f>IF(ISBLANK(B9),0,IF(ISERROR(VALUE(B9)),VLOOKUP(B9,dagsoorttabel1,2,FALSE)*dagenperjaar1,VALUE(B9)))</f>
        <v>1</v>
      </c>
      <c r="D9" s="61" t="s">
        <v>708</v>
      </c>
      <c r="E9" s="61" t="s">
        <v>977</v>
      </c>
      <c r="F9" s="61" t="s">
        <v>943</v>
      </c>
      <c r="G9" s="146">
        <v>1</v>
      </c>
      <c r="H9" s="151">
        <f>Glas!G29</f>
        <v>0</v>
      </c>
      <c r="I9" s="148"/>
      <c r="J9" s="151">
        <f>Glas!I29</f>
        <v>0</v>
      </c>
      <c r="K9" s="65">
        <f>IF(ISBLANK(G9),1,G9)*ROUND(J9,2)</f>
        <v>0</v>
      </c>
      <c r="L9" s="65">
        <f>C9*K9</f>
        <v>0</v>
      </c>
      <c r="M9" s="65">
        <f>L9/12</f>
        <v>0</v>
      </c>
    </row>
    <row r="10" spans="1:13" x14ac:dyDescent="0.2">
      <c r="A10" s="139" t="s">
        <v>981</v>
      </c>
      <c r="B10" s="79"/>
      <c r="C10" s="79"/>
      <c r="D10" s="79"/>
      <c r="E10" s="79"/>
      <c r="F10" s="79"/>
      <c r="G10" s="79"/>
      <c r="H10" s="79"/>
      <c r="I10" s="79"/>
      <c r="J10" s="79"/>
      <c r="K10" s="81">
        <f>SUM(K6:K9)</f>
        <v>0</v>
      </c>
      <c r="L10" s="81">
        <f>SUM(L6:L9)</f>
        <v>0</v>
      </c>
      <c r="M10" s="134">
        <f>L10/12</f>
        <v>0</v>
      </c>
    </row>
    <row r="12" spans="1:13" x14ac:dyDescent="0.2">
      <c r="A12" s="135" t="s">
        <v>404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136"/>
    </row>
    <row r="13" spans="1:13" x14ac:dyDescent="0.2">
      <c r="A13" s="51" t="s">
        <v>935</v>
      </c>
      <c r="B13" s="51" t="s">
        <v>29</v>
      </c>
      <c r="C13" s="52">
        <f>IF(ISBLANK(B13),0,IF(ISERROR(VALUE(B13)),VLOOKUP(B13,dagsoorttabel1,2,FALSE)*dagenperjaar1,VALUE(B13)))</f>
        <v>1</v>
      </c>
      <c r="D13" s="51" t="s">
        <v>708</v>
      </c>
      <c r="E13" s="51" t="s">
        <v>936</v>
      </c>
      <c r="F13" s="51" t="s">
        <v>844</v>
      </c>
      <c r="G13" s="140">
        <v>450</v>
      </c>
      <c r="H13" s="149">
        <f>Glas!G6</f>
        <v>0</v>
      </c>
      <c r="I13" s="142"/>
      <c r="J13" s="149">
        <f>Glas!I6</f>
        <v>0</v>
      </c>
      <c r="K13" s="55">
        <f>IF(ISBLANK(G13),0,G13)*ROUND(J13,2)</f>
        <v>0</v>
      </c>
      <c r="L13" s="55">
        <f>C13*K13</f>
        <v>0</v>
      </c>
      <c r="M13" s="55">
        <f>L13/12</f>
        <v>0</v>
      </c>
    </row>
    <row r="14" spans="1:13" x14ac:dyDescent="0.2">
      <c r="A14" s="56" t="s">
        <v>937</v>
      </c>
      <c r="B14" s="56" t="s">
        <v>29</v>
      </c>
      <c r="C14" s="57">
        <f>IF(ISBLANK(B14),0,IF(ISERROR(VALUE(B14)),VLOOKUP(B14,dagsoorttabel1,2,FALSE)*dagenperjaar1,VALUE(B14)))</f>
        <v>1</v>
      </c>
      <c r="D14" s="56" t="s">
        <v>708</v>
      </c>
      <c r="E14" s="56" t="s">
        <v>938</v>
      </c>
      <c r="F14" s="56" t="s">
        <v>844</v>
      </c>
      <c r="G14" s="143">
        <v>450</v>
      </c>
      <c r="H14" s="150">
        <f>Glas!G8</f>
        <v>0</v>
      </c>
      <c r="I14" s="145"/>
      <c r="J14" s="150">
        <f>Glas!I8</f>
        <v>0</v>
      </c>
      <c r="K14" s="60">
        <f>IF(ISBLANK(G14),0,G14)*ROUND(J14,2)</f>
        <v>0</v>
      </c>
      <c r="L14" s="60">
        <f>C14*K14</f>
        <v>0</v>
      </c>
      <c r="M14" s="60">
        <f>L14/12</f>
        <v>0</v>
      </c>
    </row>
    <row r="15" spans="1:13" x14ac:dyDescent="0.2">
      <c r="A15" s="56" t="s">
        <v>939</v>
      </c>
      <c r="B15" s="56" t="s">
        <v>29</v>
      </c>
      <c r="C15" s="57">
        <f>IF(ISBLANK(B15),0,IF(ISERROR(VALUE(B15)),VLOOKUP(B15,dagsoorttabel1,2,FALSE)*dagenperjaar1,VALUE(B15)))</f>
        <v>1</v>
      </c>
      <c r="D15" s="56" t="s">
        <v>708</v>
      </c>
      <c r="E15" s="56" t="s">
        <v>940</v>
      </c>
      <c r="F15" s="56" t="s">
        <v>844</v>
      </c>
      <c r="G15" s="143">
        <v>300</v>
      </c>
      <c r="H15" s="150">
        <f>Glas!G10</f>
        <v>0</v>
      </c>
      <c r="I15" s="145"/>
      <c r="J15" s="150">
        <f>Glas!I10</f>
        <v>0</v>
      </c>
      <c r="K15" s="60">
        <f>IF(ISBLANK(G15),0,G15)*ROUND(J15,2)</f>
        <v>0</v>
      </c>
      <c r="L15" s="60">
        <f>C15*K15</f>
        <v>0</v>
      </c>
      <c r="M15" s="60">
        <f>L15/12</f>
        <v>0</v>
      </c>
    </row>
    <row r="16" spans="1:13" x14ac:dyDescent="0.2">
      <c r="A16" s="61" t="s">
        <v>978</v>
      </c>
      <c r="B16" s="61" t="s">
        <v>29</v>
      </c>
      <c r="C16" s="62">
        <f>IF(ISBLANK(B16),0,IF(ISERROR(VALUE(B16)),VLOOKUP(B16,dagsoorttabel1,2,FALSE)*dagenperjaar1,VALUE(B16)))</f>
        <v>1</v>
      </c>
      <c r="D16" s="61" t="s">
        <v>708</v>
      </c>
      <c r="E16" s="61" t="s">
        <v>979</v>
      </c>
      <c r="F16" s="61" t="s">
        <v>943</v>
      </c>
      <c r="G16" s="146">
        <v>1</v>
      </c>
      <c r="H16" s="151">
        <f>Glas!G30</f>
        <v>0</v>
      </c>
      <c r="I16" s="148"/>
      <c r="J16" s="151">
        <f>Glas!I30</f>
        <v>0</v>
      </c>
      <c r="K16" s="65">
        <f>IF(ISBLANK(G16),1,G16)*ROUND(J16,2)</f>
        <v>0</v>
      </c>
      <c r="L16" s="65">
        <f>C16*K16</f>
        <v>0</v>
      </c>
      <c r="M16" s="65">
        <f>L16/12</f>
        <v>0</v>
      </c>
    </row>
    <row r="17" spans="1:13" x14ac:dyDescent="0.2">
      <c r="A17" s="139" t="s">
        <v>982</v>
      </c>
      <c r="B17" s="79"/>
      <c r="C17" s="79"/>
      <c r="D17" s="79"/>
      <c r="E17" s="79"/>
      <c r="F17" s="79"/>
      <c r="G17" s="79"/>
      <c r="H17" s="79"/>
      <c r="I17" s="79"/>
      <c r="J17" s="79"/>
      <c r="K17" s="81">
        <f>SUM(K13:K16)</f>
        <v>0</v>
      </c>
      <c r="L17" s="81">
        <f>SUM(L13:L16)</f>
        <v>0</v>
      </c>
      <c r="M17" s="134">
        <f>L17/12</f>
        <v>0</v>
      </c>
    </row>
    <row r="19" spans="1:13" x14ac:dyDescent="0.2">
      <c r="A19" s="135" t="s">
        <v>416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136"/>
    </row>
    <row r="20" spans="1:13" x14ac:dyDescent="0.2">
      <c r="A20" s="51" t="s">
        <v>935</v>
      </c>
      <c r="B20" s="51" t="s">
        <v>29</v>
      </c>
      <c r="C20" s="52">
        <f>IF(ISBLANK(B20),0,IF(ISERROR(VALUE(B20)),VLOOKUP(B20,dagsoorttabel1,2,FALSE)*dagenperjaar1,VALUE(B20)))</f>
        <v>1</v>
      </c>
      <c r="D20" s="51" t="s">
        <v>708</v>
      </c>
      <c r="E20" s="51" t="s">
        <v>936</v>
      </c>
      <c r="F20" s="51" t="s">
        <v>844</v>
      </c>
      <c r="G20" s="140">
        <v>1000</v>
      </c>
      <c r="H20" s="149">
        <f>Glas!G6</f>
        <v>0</v>
      </c>
      <c r="I20" s="142"/>
      <c r="J20" s="149">
        <f>Glas!I6</f>
        <v>0</v>
      </c>
      <c r="K20" s="55">
        <f>IF(ISBLANK(G20),0,G20)*ROUND(J20,2)</f>
        <v>0</v>
      </c>
      <c r="L20" s="55">
        <f>C20*K20</f>
        <v>0</v>
      </c>
      <c r="M20" s="55">
        <f>L20/12</f>
        <v>0</v>
      </c>
    </row>
    <row r="21" spans="1:13" x14ac:dyDescent="0.2">
      <c r="A21" s="56" t="s">
        <v>937</v>
      </c>
      <c r="B21" s="56" t="s">
        <v>29</v>
      </c>
      <c r="C21" s="57">
        <f>IF(ISBLANK(B21),0,IF(ISERROR(VALUE(B21)),VLOOKUP(B21,dagsoorttabel1,2,FALSE)*dagenperjaar1,VALUE(B21)))</f>
        <v>1</v>
      </c>
      <c r="D21" s="56" t="s">
        <v>708</v>
      </c>
      <c r="E21" s="56" t="s">
        <v>938</v>
      </c>
      <c r="F21" s="56" t="s">
        <v>844</v>
      </c>
      <c r="G21" s="143">
        <v>1000</v>
      </c>
      <c r="H21" s="150">
        <f>Glas!G8</f>
        <v>0</v>
      </c>
      <c r="I21" s="145"/>
      <c r="J21" s="150">
        <f>Glas!I8</f>
        <v>0</v>
      </c>
      <c r="K21" s="60">
        <f>IF(ISBLANK(G21),0,G21)*ROUND(J21,2)</f>
        <v>0</v>
      </c>
      <c r="L21" s="60">
        <f>C21*K21</f>
        <v>0</v>
      </c>
      <c r="M21" s="60">
        <f>L21/12</f>
        <v>0</v>
      </c>
    </row>
    <row r="22" spans="1:13" x14ac:dyDescent="0.2">
      <c r="A22" s="56" t="s">
        <v>939</v>
      </c>
      <c r="B22" s="56" t="s">
        <v>29</v>
      </c>
      <c r="C22" s="57">
        <f>IF(ISBLANK(B22),0,IF(ISERROR(VALUE(B22)),VLOOKUP(B22,dagsoorttabel1,2,FALSE)*dagenperjaar1,VALUE(B22)))</f>
        <v>1</v>
      </c>
      <c r="D22" s="56" t="s">
        <v>708</v>
      </c>
      <c r="E22" s="56" t="s">
        <v>940</v>
      </c>
      <c r="F22" s="56" t="s">
        <v>844</v>
      </c>
      <c r="G22" s="143">
        <v>2000</v>
      </c>
      <c r="H22" s="150">
        <f>Glas!G10</f>
        <v>0</v>
      </c>
      <c r="I22" s="145"/>
      <c r="J22" s="150">
        <f>Glas!I10</f>
        <v>0</v>
      </c>
      <c r="K22" s="60">
        <f>IF(ISBLANK(G22),0,G22)*ROUND(J22,2)</f>
        <v>0</v>
      </c>
      <c r="L22" s="60">
        <f>C22*K22</f>
        <v>0</v>
      </c>
      <c r="M22" s="60">
        <f>L22/12</f>
        <v>0</v>
      </c>
    </row>
    <row r="23" spans="1:13" x14ac:dyDescent="0.2">
      <c r="A23" s="61" t="s">
        <v>941</v>
      </c>
      <c r="B23" s="61" t="s">
        <v>29</v>
      </c>
      <c r="C23" s="62">
        <f>IF(ISBLANK(B23),0,IF(ISERROR(VALUE(B23)),VLOOKUP(B23,dagsoorttabel1,2,FALSE)*dagenperjaar1,VALUE(B23)))</f>
        <v>1</v>
      </c>
      <c r="D23" s="61" t="s">
        <v>708</v>
      </c>
      <c r="E23" s="61" t="s">
        <v>942</v>
      </c>
      <c r="F23" s="61" t="s">
        <v>943</v>
      </c>
      <c r="G23" s="146">
        <v>1</v>
      </c>
      <c r="H23" s="151">
        <f>Glas!G12</f>
        <v>0</v>
      </c>
      <c r="I23" s="148"/>
      <c r="J23" s="151">
        <f>Glas!I12</f>
        <v>0</v>
      </c>
      <c r="K23" s="65">
        <f>IF(ISBLANK(G23),1,G23)*ROUND(J23,2)</f>
        <v>0</v>
      </c>
      <c r="L23" s="65">
        <f>C23*K23</f>
        <v>0</v>
      </c>
      <c r="M23" s="65">
        <f>L23/12</f>
        <v>0</v>
      </c>
    </row>
    <row r="24" spans="1:13" x14ac:dyDescent="0.2">
      <c r="A24" s="139" t="s">
        <v>800</v>
      </c>
      <c r="B24" s="79"/>
      <c r="C24" s="79"/>
      <c r="D24" s="79"/>
      <c r="E24" s="79"/>
      <c r="F24" s="79"/>
      <c r="G24" s="79"/>
      <c r="H24" s="79"/>
      <c r="I24" s="79"/>
      <c r="J24" s="79"/>
      <c r="K24" s="81">
        <f>SUM(K20:K23)</f>
        <v>0</v>
      </c>
      <c r="L24" s="81">
        <f>SUM(L20:L23)</f>
        <v>0</v>
      </c>
      <c r="M24" s="134">
        <f>L24/12</f>
        <v>0</v>
      </c>
    </row>
    <row r="26" spans="1:13" x14ac:dyDescent="0.2">
      <c r="A26" s="135" t="s">
        <v>518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136"/>
    </row>
    <row r="27" spans="1:13" x14ac:dyDescent="0.2">
      <c r="A27" s="51" t="s">
        <v>935</v>
      </c>
      <c r="B27" s="51" t="s">
        <v>29</v>
      </c>
      <c r="C27" s="52">
        <f>IF(ISBLANK(B27),0,IF(ISERROR(VALUE(B27)),VLOOKUP(B27,dagsoorttabel1,2,FALSE)*dagenperjaar1,VALUE(B27)))</f>
        <v>1</v>
      </c>
      <c r="D27" s="51" t="s">
        <v>708</v>
      </c>
      <c r="E27" s="51" t="s">
        <v>936</v>
      </c>
      <c r="F27" s="51" t="s">
        <v>844</v>
      </c>
      <c r="G27" s="140">
        <v>800</v>
      </c>
      <c r="H27" s="149">
        <f>Glas!G6</f>
        <v>0</v>
      </c>
      <c r="I27" s="142"/>
      <c r="J27" s="149">
        <f>Glas!I6</f>
        <v>0</v>
      </c>
      <c r="K27" s="55">
        <f>IF(ISBLANK(G27),0,G27)*ROUND(J27,2)</f>
        <v>0</v>
      </c>
      <c r="L27" s="55">
        <f>C27*K27</f>
        <v>0</v>
      </c>
      <c r="M27" s="55">
        <f>L27/12</f>
        <v>0</v>
      </c>
    </row>
    <row r="28" spans="1:13" x14ac:dyDescent="0.2">
      <c r="A28" s="56" t="s">
        <v>937</v>
      </c>
      <c r="B28" s="56" t="s">
        <v>29</v>
      </c>
      <c r="C28" s="57">
        <f>IF(ISBLANK(B28),0,IF(ISERROR(VALUE(B28)),VLOOKUP(B28,dagsoorttabel1,2,FALSE)*dagenperjaar1,VALUE(B28)))</f>
        <v>1</v>
      </c>
      <c r="D28" s="56" t="s">
        <v>708</v>
      </c>
      <c r="E28" s="56" t="s">
        <v>938</v>
      </c>
      <c r="F28" s="56" t="s">
        <v>844</v>
      </c>
      <c r="G28" s="143">
        <v>800</v>
      </c>
      <c r="H28" s="150">
        <f>Glas!G8</f>
        <v>0</v>
      </c>
      <c r="I28" s="145"/>
      <c r="J28" s="150">
        <f>Glas!I8</f>
        <v>0</v>
      </c>
      <c r="K28" s="60">
        <f>IF(ISBLANK(G28),0,G28)*ROUND(J28,2)</f>
        <v>0</v>
      </c>
      <c r="L28" s="60">
        <f>C28*K28</f>
        <v>0</v>
      </c>
      <c r="M28" s="60">
        <f>L28/12</f>
        <v>0</v>
      </c>
    </row>
    <row r="29" spans="1:13" x14ac:dyDescent="0.2">
      <c r="A29" s="56" t="s">
        <v>939</v>
      </c>
      <c r="B29" s="56" t="s">
        <v>29</v>
      </c>
      <c r="C29" s="57">
        <f>IF(ISBLANK(B29),0,IF(ISERROR(VALUE(B29)),VLOOKUP(B29,dagsoorttabel1,2,FALSE)*dagenperjaar1,VALUE(B29)))</f>
        <v>1</v>
      </c>
      <c r="D29" s="56" t="s">
        <v>708</v>
      </c>
      <c r="E29" s="56" t="s">
        <v>940</v>
      </c>
      <c r="F29" s="56" t="s">
        <v>844</v>
      </c>
      <c r="G29" s="143">
        <v>1000</v>
      </c>
      <c r="H29" s="150">
        <f>Glas!G10</f>
        <v>0</v>
      </c>
      <c r="I29" s="145"/>
      <c r="J29" s="150">
        <f>Glas!I10</f>
        <v>0</v>
      </c>
      <c r="K29" s="60">
        <f>IF(ISBLANK(G29),0,G29)*ROUND(J29,2)</f>
        <v>0</v>
      </c>
      <c r="L29" s="60">
        <f>C29*K29</f>
        <v>0</v>
      </c>
      <c r="M29" s="60">
        <f>L29/12</f>
        <v>0</v>
      </c>
    </row>
    <row r="30" spans="1:13" x14ac:dyDescent="0.2">
      <c r="A30" s="61" t="s">
        <v>944</v>
      </c>
      <c r="B30" s="61" t="s">
        <v>29</v>
      </c>
      <c r="C30" s="62">
        <f>IF(ISBLANK(B30),0,IF(ISERROR(VALUE(B30)),VLOOKUP(B30,dagsoorttabel1,2,FALSE)*dagenperjaar1,VALUE(B30)))</f>
        <v>1</v>
      </c>
      <c r="D30" s="61" t="s">
        <v>708</v>
      </c>
      <c r="E30" s="61" t="s">
        <v>945</v>
      </c>
      <c r="F30" s="61" t="s">
        <v>943</v>
      </c>
      <c r="G30" s="146">
        <v>1</v>
      </c>
      <c r="H30" s="151">
        <f>Glas!G13</f>
        <v>0</v>
      </c>
      <c r="I30" s="148"/>
      <c r="J30" s="151">
        <f>Glas!I13</f>
        <v>0</v>
      </c>
      <c r="K30" s="65">
        <f>IF(ISBLANK(G30),1,G30)*ROUND(J30,2)</f>
        <v>0</v>
      </c>
      <c r="L30" s="65">
        <f>C30*K30</f>
        <v>0</v>
      </c>
      <c r="M30" s="65">
        <f>L30/12</f>
        <v>0</v>
      </c>
    </row>
    <row r="31" spans="1:13" x14ac:dyDescent="0.2">
      <c r="A31" s="139" t="s">
        <v>801</v>
      </c>
      <c r="B31" s="79"/>
      <c r="C31" s="79"/>
      <c r="D31" s="79"/>
      <c r="E31" s="79"/>
      <c r="F31" s="79"/>
      <c r="G31" s="79"/>
      <c r="H31" s="79"/>
      <c r="I31" s="79"/>
      <c r="J31" s="79"/>
      <c r="K31" s="81">
        <f>SUM(K27:K30)</f>
        <v>0</v>
      </c>
      <c r="L31" s="81">
        <f>SUM(L27:L30)</f>
        <v>0</v>
      </c>
      <c r="M31" s="134">
        <f>L31/12</f>
        <v>0</v>
      </c>
    </row>
    <row r="33" spans="1:13" x14ac:dyDescent="0.2">
      <c r="A33" s="135" t="s">
        <v>544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136"/>
    </row>
    <row r="34" spans="1:13" x14ac:dyDescent="0.2">
      <c r="A34" s="51" t="s">
        <v>935</v>
      </c>
      <c r="B34" s="51" t="s">
        <v>29</v>
      </c>
      <c r="C34" s="52">
        <f>IF(ISBLANK(B34),0,IF(ISERROR(VALUE(B34)),VLOOKUP(B34,dagsoorttabel1,2,FALSE)*dagenperjaar1,VALUE(B34)))</f>
        <v>1</v>
      </c>
      <c r="D34" s="51" t="s">
        <v>708</v>
      </c>
      <c r="E34" s="51" t="s">
        <v>936</v>
      </c>
      <c r="F34" s="51" t="s">
        <v>844</v>
      </c>
      <c r="G34" s="140">
        <v>129.82000000000002</v>
      </c>
      <c r="H34" s="149">
        <f>Glas!G6</f>
        <v>0</v>
      </c>
      <c r="I34" s="142"/>
      <c r="J34" s="149">
        <f>Glas!I6</f>
        <v>0</v>
      </c>
      <c r="K34" s="55">
        <f>IF(ISBLANK(G34),0,G34)*ROUND(J34,2)</f>
        <v>0</v>
      </c>
      <c r="L34" s="55">
        <f>C34*K34</f>
        <v>0</v>
      </c>
      <c r="M34" s="55">
        <f>L34/12</f>
        <v>0</v>
      </c>
    </row>
    <row r="35" spans="1:13" x14ac:dyDescent="0.2">
      <c r="A35" s="56" t="s">
        <v>937</v>
      </c>
      <c r="B35" s="56" t="s">
        <v>29</v>
      </c>
      <c r="C35" s="57">
        <f>IF(ISBLANK(B35),0,IF(ISERROR(VALUE(B35)),VLOOKUP(B35,dagsoorttabel1,2,FALSE)*dagenperjaar1,VALUE(B35)))</f>
        <v>1</v>
      </c>
      <c r="D35" s="56" t="s">
        <v>708</v>
      </c>
      <c r="E35" s="56" t="s">
        <v>938</v>
      </c>
      <c r="F35" s="56" t="s">
        <v>844</v>
      </c>
      <c r="G35" s="143">
        <v>129.82000000000002</v>
      </c>
      <c r="H35" s="150">
        <f>Glas!G8</f>
        <v>0</v>
      </c>
      <c r="I35" s="145"/>
      <c r="J35" s="150">
        <f>Glas!I8</f>
        <v>0</v>
      </c>
      <c r="K35" s="60">
        <f>IF(ISBLANK(G35),0,G35)*ROUND(J35,2)</f>
        <v>0</v>
      </c>
      <c r="L35" s="60">
        <f>C35*K35</f>
        <v>0</v>
      </c>
      <c r="M35" s="60">
        <f>L35/12</f>
        <v>0</v>
      </c>
    </row>
    <row r="36" spans="1:13" x14ac:dyDescent="0.2">
      <c r="A36" s="61" t="s">
        <v>946</v>
      </c>
      <c r="B36" s="61" t="s">
        <v>29</v>
      </c>
      <c r="C36" s="62">
        <f>IF(ISBLANK(B36),0,IF(ISERROR(VALUE(B36)),VLOOKUP(B36,dagsoorttabel1,2,FALSE)*dagenperjaar1,VALUE(B36)))</f>
        <v>1</v>
      </c>
      <c r="D36" s="61" t="s">
        <v>708</v>
      </c>
      <c r="E36" s="61" t="s">
        <v>947</v>
      </c>
      <c r="F36" s="61" t="s">
        <v>943</v>
      </c>
      <c r="G36" s="146">
        <v>1</v>
      </c>
      <c r="H36" s="151">
        <f>Glas!G14</f>
        <v>0</v>
      </c>
      <c r="I36" s="148"/>
      <c r="J36" s="151">
        <f>Glas!I14</f>
        <v>0</v>
      </c>
      <c r="K36" s="65">
        <f>IF(ISBLANK(G36),1,G36)*ROUND(J36,2)</f>
        <v>0</v>
      </c>
      <c r="L36" s="65">
        <f>C36*K36</f>
        <v>0</v>
      </c>
      <c r="M36" s="65">
        <f>L36/12</f>
        <v>0</v>
      </c>
    </row>
    <row r="37" spans="1:13" x14ac:dyDescent="0.2">
      <c r="A37" s="139" t="s">
        <v>983</v>
      </c>
      <c r="B37" s="79"/>
      <c r="C37" s="79"/>
      <c r="D37" s="79"/>
      <c r="E37" s="79"/>
      <c r="F37" s="79"/>
      <c r="G37" s="79"/>
      <c r="H37" s="79"/>
      <c r="I37" s="79"/>
      <c r="J37" s="79"/>
      <c r="K37" s="81">
        <f>SUM(K34:K36)</f>
        <v>0</v>
      </c>
      <c r="L37" s="81">
        <f>SUM(L34:L36)</f>
        <v>0</v>
      </c>
      <c r="M37" s="134">
        <f>L37/12</f>
        <v>0</v>
      </c>
    </row>
    <row r="39" spans="1:13" x14ac:dyDescent="0.2">
      <c r="A39" s="135" t="s">
        <v>551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136"/>
    </row>
    <row r="40" spans="1:13" x14ac:dyDescent="0.2">
      <c r="A40" s="51" t="s">
        <v>935</v>
      </c>
      <c r="B40" s="51" t="s">
        <v>29</v>
      </c>
      <c r="C40" s="52">
        <f>IF(ISBLANK(B40),0,IF(ISERROR(VALUE(B40)),VLOOKUP(B40,dagsoorttabel1,2,FALSE)*dagenperjaar1,VALUE(B40)))</f>
        <v>1</v>
      </c>
      <c r="D40" s="51" t="s">
        <v>708</v>
      </c>
      <c r="E40" s="51" t="s">
        <v>936</v>
      </c>
      <c r="F40" s="51" t="s">
        <v>844</v>
      </c>
      <c r="G40" s="140">
        <v>129.82000000000002</v>
      </c>
      <c r="H40" s="149">
        <f>Glas!G6</f>
        <v>0</v>
      </c>
      <c r="I40" s="142"/>
      <c r="J40" s="149">
        <f>Glas!I6</f>
        <v>0</v>
      </c>
      <c r="K40" s="55">
        <f>IF(ISBLANK(G40),0,G40)*ROUND(J40,2)</f>
        <v>0</v>
      </c>
      <c r="L40" s="55">
        <f>C40*K40</f>
        <v>0</v>
      </c>
      <c r="M40" s="55">
        <f>L40/12</f>
        <v>0</v>
      </c>
    </row>
    <row r="41" spans="1:13" x14ac:dyDescent="0.2">
      <c r="A41" s="56" t="s">
        <v>937</v>
      </c>
      <c r="B41" s="56" t="s">
        <v>29</v>
      </c>
      <c r="C41" s="57">
        <f>IF(ISBLANK(B41),0,IF(ISERROR(VALUE(B41)),VLOOKUP(B41,dagsoorttabel1,2,FALSE)*dagenperjaar1,VALUE(B41)))</f>
        <v>1</v>
      </c>
      <c r="D41" s="56" t="s">
        <v>708</v>
      </c>
      <c r="E41" s="56" t="s">
        <v>938</v>
      </c>
      <c r="F41" s="56" t="s">
        <v>844</v>
      </c>
      <c r="G41" s="143">
        <v>129.82000000000002</v>
      </c>
      <c r="H41" s="150">
        <f>Glas!G8</f>
        <v>0</v>
      </c>
      <c r="I41" s="145"/>
      <c r="J41" s="150">
        <f>Glas!I8</f>
        <v>0</v>
      </c>
      <c r="K41" s="60">
        <f>IF(ISBLANK(G41),0,G41)*ROUND(J41,2)</f>
        <v>0</v>
      </c>
      <c r="L41" s="60">
        <f>C41*K41</f>
        <v>0</v>
      </c>
      <c r="M41" s="60">
        <f>L41/12</f>
        <v>0</v>
      </c>
    </row>
    <row r="42" spans="1:13" x14ac:dyDescent="0.2">
      <c r="A42" s="61" t="s">
        <v>948</v>
      </c>
      <c r="B42" s="61" t="s">
        <v>29</v>
      </c>
      <c r="C42" s="62">
        <f>IF(ISBLANK(B42),0,IF(ISERROR(VALUE(B42)),VLOOKUP(B42,dagsoorttabel1,2,FALSE)*dagenperjaar1,VALUE(B42)))</f>
        <v>1</v>
      </c>
      <c r="D42" s="61" t="s">
        <v>708</v>
      </c>
      <c r="E42" s="61" t="s">
        <v>949</v>
      </c>
      <c r="F42" s="61" t="s">
        <v>943</v>
      </c>
      <c r="G42" s="146">
        <v>1</v>
      </c>
      <c r="H42" s="151">
        <f>Glas!G15</f>
        <v>0</v>
      </c>
      <c r="I42" s="148"/>
      <c r="J42" s="151">
        <f>Glas!I15</f>
        <v>0</v>
      </c>
      <c r="K42" s="65">
        <f>IF(ISBLANK(G42),1,G42)*ROUND(J42,2)</f>
        <v>0</v>
      </c>
      <c r="L42" s="65">
        <f>C42*K42</f>
        <v>0</v>
      </c>
      <c r="M42" s="65">
        <f>L42/12</f>
        <v>0</v>
      </c>
    </row>
    <row r="43" spans="1:13" x14ac:dyDescent="0.2">
      <c r="A43" s="139" t="s">
        <v>984</v>
      </c>
      <c r="B43" s="79"/>
      <c r="C43" s="79"/>
      <c r="D43" s="79"/>
      <c r="E43" s="79"/>
      <c r="F43" s="79"/>
      <c r="G43" s="79"/>
      <c r="H43" s="79"/>
      <c r="I43" s="79"/>
      <c r="J43" s="79"/>
      <c r="K43" s="81">
        <f>SUM(K40:K42)</f>
        <v>0</v>
      </c>
      <c r="L43" s="81">
        <f>SUM(L40:L42)</f>
        <v>0</v>
      </c>
      <c r="M43" s="134">
        <f>L43/12</f>
        <v>0</v>
      </c>
    </row>
    <row r="45" spans="1:13" x14ac:dyDescent="0.2">
      <c r="A45" s="135" t="s">
        <v>553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136"/>
    </row>
    <row r="46" spans="1:13" x14ac:dyDescent="0.2">
      <c r="A46" s="51" t="s">
        <v>935</v>
      </c>
      <c r="B46" s="51" t="s">
        <v>29</v>
      </c>
      <c r="C46" s="52">
        <f>IF(ISBLANK(B46),0,IF(ISERROR(VALUE(B46)),VLOOKUP(B46,dagsoorttabel1,2,FALSE)*dagenperjaar1,VALUE(B46)))</f>
        <v>1</v>
      </c>
      <c r="D46" s="51" t="s">
        <v>708</v>
      </c>
      <c r="E46" s="51" t="s">
        <v>936</v>
      </c>
      <c r="F46" s="51" t="s">
        <v>844</v>
      </c>
      <c r="G46" s="140">
        <v>129.82000000000002</v>
      </c>
      <c r="H46" s="149">
        <f>Glas!G6</f>
        <v>0</v>
      </c>
      <c r="I46" s="142"/>
      <c r="J46" s="149">
        <f>Glas!I6</f>
        <v>0</v>
      </c>
      <c r="K46" s="55">
        <f>IF(ISBLANK(G46),0,G46)*ROUND(J46,2)</f>
        <v>0</v>
      </c>
      <c r="L46" s="55">
        <f>C46*K46</f>
        <v>0</v>
      </c>
      <c r="M46" s="55">
        <f>L46/12</f>
        <v>0</v>
      </c>
    </row>
    <row r="47" spans="1:13" x14ac:dyDescent="0.2">
      <c r="A47" s="56" t="s">
        <v>937</v>
      </c>
      <c r="B47" s="56" t="s">
        <v>29</v>
      </c>
      <c r="C47" s="57">
        <f>IF(ISBLANK(B47),0,IF(ISERROR(VALUE(B47)),VLOOKUP(B47,dagsoorttabel1,2,FALSE)*dagenperjaar1,VALUE(B47)))</f>
        <v>1</v>
      </c>
      <c r="D47" s="56" t="s">
        <v>708</v>
      </c>
      <c r="E47" s="56" t="s">
        <v>938</v>
      </c>
      <c r="F47" s="56" t="s">
        <v>844</v>
      </c>
      <c r="G47" s="143">
        <v>129.82000000000002</v>
      </c>
      <c r="H47" s="150">
        <f>Glas!G8</f>
        <v>0</v>
      </c>
      <c r="I47" s="145"/>
      <c r="J47" s="150">
        <f>Glas!I8</f>
        <v>0</v>
      </c>
      <c r="K47" s="60">
        <f>IF(ISBLANK(G47),0,G47)*ROUND(J47,2)</f>
        <v>0</v>
      </c>
      <c r="L47" s="60">
        <f>C47*K47</f>
        <v>0</v>
      </c>
      <c r="M47" s="60">
        <f>L47/12</f>
        <v>0</v>
      </c>
    </row>
    <row r="48" spans="1:13" x14ac:dyDescent="0.2">
      <c r="A48" s="61" t="s">
        <v>950</v>
      </c>
      <c r="B48" s="61" t="s">
        <v>29</v>
      </c>
      <c r="C48" s="62">
        <f>IF(ISBLANK(B48),0,IF(ISERROR(VALUE(B48)),VLOOKUP(B48,dagsoorttabel1,2,FALSE)*dagenperjaar1,VALUE(B48)))</f>
        <v>1</v>
      </c>
      <c r="D48" s="61" t="s">
        <v>708</v>
      </c>
      <c r="E48" s="61" t="s">
        <v>951</v>
      </c>
      <c r="F48" s="61" t="s">
        <v>943</v>
      </c>
      <c r="G48" s="146">
        <v>1</v>
      </c>
      <c r="H48" s="151">
        <f>Glas!G16</f>
        <v>0</v>
      </c>
      <c r="I48" s="148"/>
      <c r="J48" s="151">
        <f>Glas!I16</f>
        <v>0</v>
      </c>
      <c r="K48" s="65">
        <f>IF(ISBLANK(G48),1,G48)*ROUND(J48,2)</f>
        <v>0</v>
      </c>
      <c r="L48" s="65">
        <f>C48*K48</f>
        <v>0</v>
      </c>
      <c r="M48" s="65">
        <f>L48/12</f>
        <v>0</v>
      </c>
    </row>
    <row r="49" spans="1:13" x14ac:dyDescent="0.2">
      <c r="A49" s="139" t="s">
        <v>985</v>
      </c>
      <c r="B49" s="79"/>
      <c r="C49" s="79"/>
      <c r="D49" s="79"/>
      <c r="E49" s="79"/>
      <c r="F49" s="79"/>
      <c r="G49" s="79"/>
      <c r="H49" s="79"/>
      <c r="I49" s="79"/>
      <c r="J49" s="79"/>
      <c r="K49" s="81">
        <f>SUM(K46:K48)</f>
        <v>0</v>
      </c>
      <c r="L49" s="81">
        <f>SUM(L46:L48)</f>
        <v>0</v>
      </c>
      <c r="M49" s="134">
        <f>L49/12</f>
        <v>0</v>
      </c>
    </row>
    <row r="51" spans="1:13" x14ac:dyDescent="0.2">
      <c r="A51" s="135" t="s">
        <v>555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136"/>
    </row>
    <row r="52" spans="1:13" x14ac:dyDescent="0.2">
      <c r="A52" s="51" t="s">
        <v>935</v>
      </c>
      <c r="B52" s="51" t="s">
        <v>29</v>
      </c>
      <c r="C52" s="52">
        <f>IF(ISBLANK(B52),0,IF(ISERROR(VALUE(B52)),VLOOKUP(B52,dagsoorttabel1,2,FALSE)*dagenperjaar1,VALUE(B52)))</f>
        <v>1</v>
      </c>
      <c r="D52" s="51" t="s">
        <v>708</v>
      </c>
      <c r="E52" s="51" t="s">
        <v>936</v>
      </c>
      <c r="F52" s="51" t="s">
        <v>844</v>
      </c>
      <c r="G52" s="140">
        <v>129.82000000000002</v>
      </c>
      <c r="H52" s="149">
        <f>Glas!G6</f>
        <v>0</v>
      </c>
      <c r="I52" s="142"/>
      <c r="J52" s="149">
        <f>Glas!I6</f>
        <v>0</v>
      </c>
      <c r="K52" s="55">
        <f>IF(ISBLANK(G52),0,G52)*ROUND(J52,2)</f>
        <v>0</v>
      </c>
      <c r="L52" s="55">
        <f>C52*K52</f>
        <v>0</v>
      </c>
      <c r="M52" s="55">
        <f>L52/12</f>
        <v>0</v>
      </c>
    </row>
    <row r="53" spans="1:13" x14ac:dyDescent="0.2">
      <c r="A53" s="56" t="s">
        <v>937</v>
      </c>
      <c r="B53" s="56" t="s">
        <v>29</v>
      </c>
      <c r="C53" s="57">
        <f>IF(ISBLANK(B53),0,IF(ISERROR(VALUE(B53)),VLOOKUP(B53,dagsoorttabel1,2,FALSE)*dagenperjaar1,VALUE(B53)))</f>
        <v>1</v>
      </c>
      <c r="D53" s="56" t="s">
        <v>708</v>
      </c>
      <c r="E53" s="56" t="s">
        <v>938</v>
      </c>
      <c r="F53" s="56" t="s">
        <v>844</v>
      </c>
      <c r="G53" s="143">
        <v>129.82000000000002</v>
      </c>
      <c r="H53" s="150">
        <f>Glas!G8</f>
        <v>0</v>
      </c>
      <c r="I53" s="145"/>
      <c r="J53" s="150">
        <f>Glas!I8</f>
        <v>0</v>
      </c>
      <c r="K53" s="60">
        <f>IF(ISBLANK(G53),0,G53)*ROUND(J53,2)</f>
        <v>0</v>
      </c>
      <c r="L53" s="60">
        <f>C53*K53</f>
        <v>0</v>
      </c>
      <c r="M53" s="60">
        <f>L53/12</f>
        <v>0</v>
      </c>
    </row>
    <row r="54" spans="1:13" x14ac:dyDescent="0.2">
      <c r="A54" s="61" t="s">
        <v>952</v>
      </c>
      <c r="B54" s="61" t="s">
        <v>29</v>
      </c>
      <c r="C54" s="62">
        <f>IF(ISBLANK(B54),0,IF(ISERROR(VALUE(B54)),VLOOKUP(B54,dagsoorttabel1,2,FALSE)*dagenperjaar1,VALUE(B54)))</f>
        <v>1</v>
      </c>
      <c r="D54" s="61" t="s">
        <v>708</v>
      </c>
      <c r="E54" s="61" t="s">
        <v>953</v>
      </c>
      <c r="F54" s="61" t="s">
        <v>943</v>
      </c>
      <c r="G54" s="146">
        <v>1</v>
      </c>
      <c r="H54" s="151">
        <f>Glas!G17</f>
        <v>0</v>
      </c>
      <c r="I54" s="148"/>
      <c r="J54" s="151">
        <f>Glas!I17</f>
        <v>0</v>
      </c>
      <c r="K54" s="65">
        <f>IF(ISBLANK(G54),1,G54)*ROUND(J54,2)</f>
        <v>0</v>
      </c>
      <c r="L54" s="65">
        <f>C54*K54</f>
        <v>0</v>
      </c>
      <c r="M54" s="65">
        <f>L54/12</f>
        <v>0</v>
      </c>
    </row>
    <row r="55" spans="1:13" x14ac:dyDescent="0.2">
      <c r="A55" s="139" t="s">
        <v>986</v>
      </c>
      <c r="B55" s="79"/>
      <c r="C55" s="79"/>
      <c r="D55" s="79"/>
      <c r="E55" s="79"/>
      <c r="F55" s="79"/>
      <c r="G55" s="79"/>
      <c r="H55" s="79"/>
      <c r="I55" s="79"/>
      <c r="J55" s="79"/>
      <c r="K55" s="81">
        <f>SUM(K52:K54)</f>
        <v>0</v>
      </c>
      <c r="L55" s="81">
        <f>SUM(L52:L54)</f>
        <v>0</v>
      </c>
      <c r="M55" s="134">
        <f>L55/12</f>
        <v>0</v>
      </c>
    </row>
    <row r="57" spans="1:13" x14ac:dyDescent="0.2">
      <c r="A57" s="135" t="s">
        <v>557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136"/>
    </row>
    <row r="58" spans="1:13" x14ac:dyDescent="0.2">
      <c r="A58" s="51" t="s">
        <v>935</v>
      </c>
      <c r="B58" s="51" t="s">
        <v>29</v>
      </c>
      <c r="C58" s="52">
        <f>IF(ISBLANK(B58),0,IF(ISERROR(VALUE(B58)),VLOOKUP(B58,dagsoorttabel1,2,FALSE)*dagenperjaar1,VALUE(B58)))</f>
        <v>1</v>
      </c>
      <c r="D58" s="51" t="s">
        <v>708</v>
      </c>
      <c r="E58" s="51" t="s">
        <v>936</v>
      </c>
      <c r="F58" s="51" t="s">
        <v>844</v>
      </c>
      <c r="G58" s="140">
        <v>129.82000000000002</v>
      </c>
      <c r="H58" s="149">
        <f>Glas!G6</f>
        <v>0</v>
      </c>
      <c r="I58" s="142"/>
      <c r="J58" s="149">
        <f>Glas!I6</f>
        <v>0</v>
      </c>
      <c r="K58" s="55">
        <f>IF(ISBLANK(G58),0,G58)*ROUND(J58,2)</f>
        <v>0</v>
      </c>
      <c r="L58" s="55">
        <f>C58*K58</f>
        <v>0</v>
      </c>
      <c r="M58" s="55">
        <f>L58/12</f>
        <v>0</v>
      </c>
    </row>
    <row r="59" spans="1:13" x14ac:dyDescent="0.2">
      <c r="A59" s="56" t="s">
        <v>937</v>
      </c>
      <c r="B59" s="56" t="s">
        <v>29</v>
      </c>
      <c r="C59" s="57">
        <f>IF(ISBLANK(B59),0,IF(ISERROR(VALUE(B59)),VLOOKUP(B59,dagsoorttabel1,2,FALSE)*dagenperjaar1,VALUE(B59)))</f>
        <v>1</v>
      </c>
      <c r="D59" s="56" t="s">
        <v>708</v>
      </c>
      <c r="E59" s="56" t="s">
        <v>938</v>
      </c>
      <c r="F59" s="56" t="s">
        <v>844</v>
      </c>
      <c r="G59" s="143">
        <v>129.82000000000002</v>
      </c>
      <c r="H59" s="150">
        <f>Glas!G8</f>
        <v>0</v>
      </c>
      <c r="I59" s="145"/>
      <c r="J59" s="150">
        <f>Glas!I8</f>
        <v>0</v>
      </c>
      <c r="K59" s="60">
        <f>IF(ISBLANK(G59),0,G59)*ROUND(J59,2)</f>
        <v>0</v>
      </c>
      <c r="L59" s="60">
        <f>C59*K59</f>
        <v>0</v>
      </c>
      <c r="M59" s="60">
        <f>L59/12</f>
        <v>0</v>
      </c>
    </row>
    <row r="60" spans="1:13" x14ac:dyDescent="0.2">
      <c r="A60" s="61" t="s">
        <v>954</v>
      </c>
      <c r="B60" s="61" t="s">
        <v>29</v>
      </c>
      <c r="C60" s="62">
        <f>IF(ISBLANK(B60),0,IF(ISERROR(VALUE(B60)),VLOOKUP(B60,dagsoorttabel1,2,FALSE)*dagenperjaar1,VALUE(B60)))</f>
        <v>1</v>
      </c>
      <c r="D60" s="61" t="s">
        <v>708</v>
      </c>
      <c r="E60" s="61" t="s">
        <v>955</v>
      </c>
      <c r="F60" s="61" t="s">
        <v>943</v>
      </c>
      <c r="G60" s="146">
        <v>1</v>
      </c>
      <c r="H60" s="151">
        <f>Glas!G18</f>
        <v>0</v>
      </c>
      <c r="I60" s="148"/>
      <c r="J60" s="151">
        <f>Glas!I18</f>
        <v>0</v>
      </c>
      <c r="K60" s="65">
        <f>IF(ISBLANK(G60),1,G60)*ROUND(J60,2)</f>
        <v>0</v>
      </c>
      <c r="L60" s="65">
        <f>C60*K60</f>
        <v>0</v>
      </c>
      <c r="M60" s="65">
        <f>L60/12</f>
        <v>0</v>
      </c>
    </row>
    <row r="61" spans="1:13" x14ac:dyDescent="0.2">
      <c r="A61" s="139" t="s">
        <v>987</v>
      </c>
      <c r="B61" s="79"/>
      <c r="C61" s="79"/>
      <c r="D61" s="79"/>
      <c r="E61" s="79"/>
      <c r="F61" s="79"/>
      <c r="G61" s="79"/>
      <c r="H61" s="79"/>
      <c r="I61" s="79"/>
      <c r="J61" s="79"/>
      <c r="K61" s="81">
        <f>SUM(K58:K60)</f>
        <v>0</v>
      </c>
      <c r="L61" s="81">
        <f>SUM(L58:L60)</f>
        <v>0</v>
      </c>
      <c r="M61" s="134">
        <f>L61/12</f>
        <v>0</v>
      </c>
    </row>
    <row r="63" spans="1:13" x14ac:dyDescent="0.2">
      <c r="A63" s="135" t="s">
        <v>560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136"/>
    </row>
    <row r="64" spans="1:13" x14ac:dyDescent="0.2">
      <c r="A64" s="51" t="s">
        <v>935</v>
      </c>
      <c r="B64" s="51" t="s">
        <v>29</v>
      </c>
      <c r="C64" s="52">
        <f>IF(ISBLANK(B64),0,IF(ISERROR(VALUE(B64)),VLOOKUP(B64,dagsoorttabel1,2,FALSE)*dagenperjaar1,VALUE(B64)))</f>
        <v>1</v>
      </c>
      <c r="D64" s="51" t="s">
        <v>708</v>
      </c>
      <c r="E64" s="51" t="s">
        <v>936</v>
      </c>
      <c r="F64" s="51" t="s">
        <v>844</v>
      </c>
      <c r="G64" s="140">
        <v>129.82000000000002</v>
      </c>
      <c r="H64" s="149">
        <f>Glas!G6</f>
        <v>0</v>
      </c>
      <c r="I64" s="142"/>
      <c r="J64" s="149">
        <f>Glas!I6</f>
        <v>0</v>
      </c>
      <c r="K64" s="55">
        <f>IF(ISBLANK(G64),0,G64)*ROUND(J64,2)</f>
        <v>0</v>
      </c>
      <c r="L64" s="55">
        <f>C64*K64</f>
        <v>0</v>
      </c>
      <c r="M64" s="55">
        <f>L64/12</f>
        <v>0</v>
      </c>
    </row>
    <row r="65" spans="1:13" x14ac:dyDescent="0.2">
      <c r="A65" s="56" t="s">
        <v>937</v>
      </c>
      <c r="B65" s="56" t="s">
        <v>29</v>
      </c>
      <c r="C65" s="57">
        <f>IF(ISBLANK(B65),0,IF(ISERROR(VALUE(B65)),VLOOKUP(B65,dagsoorttabel1,2,FALSE)*dagenperjaar1,VALUE(B65)))</f>
        <v>1</v>
      </c>
      <c r="D65" s="56" t="s">
        <v>708</v>
      </c>
      <c r="E65" s="56" t="s">
        <v>938</v>
      </c>
      <c r="F65" s="56" t="s">
        <v>844</v>
      </c>
      <c r="G65" s="143">
        <v>129.82000000000002</v>
      </c>
      <c r="H65" s="150">
        <f>Glas!G8</f>
        <v>0</v>
      </c>
      <c r="I65" s="145"/>
      <c r="J65" s="150">
        <f>Glas!I8</f>
        <v>0</v>
      </c>
      <c r="K65" s="60">
        <f>IF(ISBLANK(G65),0,G65)*ROUND(J65,2)</f>
        <v>0</v>
      </c>
      <c r="L65" s="60">
        <f>C65*K65</f>
        <v>0</v>
      </c>
      <c r="M65" s="60">
        <f>L65/12</f>
        <v>0</v>
      </c>
    </row>
    <row r="66" spans="1:13" x14ac:dyDescent="0.2">
      <c r="A66" s="61" t="s">
        <v>956</v>
      </c>
      <c r="B66" s="61" t="s">
        <v>29</v>
      </c>
      <c r="C66" s="62">
        <f>IF(ISBLANK(B66),0,IF(ISERROR(VALUE(B66)),VLOOKUP(B66,dagsoorttabel1,2,FALSE)*dagenperjaar1,VALUE(B66)))</f>
        <v>1</v>
      </c>
      <c r="D66" s="61" t="s">
        <v>708</v>
      </c>
      <c r="E66" s="61" t="s">
        <v>957</v>
      </c>
      <c r="F66" s="61" t="s">
        <v>943</v>
      </c>
      <c r="G66" s="146">
        <v>1</v>
      </c>
      <c r="H66" s="151">
        <f>Glas!G19</f>
        <v>0</v>
      </c>
      <c r="I66" s="148"/>
      <c r="J66" s="151">
        <f>Glas!I19</f>
        <v>0</v>
      </c>
      <c r="K66" s="65">
        <f>IF(ISBLANK(G66),1,G66)*ROUND(J66,2)</f>
        <v>0</v>
      </c>
      <c r="L66" s="65">
        <f>C66*K66</f>
        <v>0</v>
      </c>
      <c r="M66" s="65">
        <f>L66/12</f>
        <v>0</v>
      </c>
    </row>
    <row r="67" spans="1:13" x14ac:dyDescent="0.2">
      <c r="A67" s="139" t="s">
        <v>988</v>
      </c>
      <c r="B67" s="79"/>
      <c r="C67" s="79"/>
      <c r="D67" s="79"/>
      <c r="E67" s="79"/>
      <c r="F67" s="79"/>
      <c r="G67" s="79"/>
      <c r="H67" s="79"/>
      <c r="I67" s="79"/>
      <c r="J67" s="79"/>
      <c r="K67" s="81">
        <f>SUM(K64:K66)</f>
        <v>0</v>
      </c>
      <c r="L67" s="81">
        <f>SUM(L64:L66)</f>
        <v>0</v>
      </c>
      <c r="M67" s="134">
        <f>L67/12</f>
        <v>0</v>
      </c>
    </row>
    <row r="69" spans="1:13" x14ac:dyDescent="0.2">
      <c r="A69" s="135" t="s">
        <v>563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136"/>
    </row>
    <row r="70" spans="1:13" x14ac:dyDescent="0.2">
      <c r="A70" s="51" t="s">
        <v>935</v>
      </c>
      <c r="B70" s="51" t="s">
        <v>29</v>
      </c>
      <c r="C70" s="52">
        <f>IF(ISBLANK(B70),0,IF(ISERROR(VALUE(B70)),VLOOKUP(B70,dagsoorttabel1,2,FALSE)*dagenperjaar1,VALUE(B70)))</f>
        <v>1</v>
      </c>
      <c r="D70" s="51" t="s">
        <v>708</v>
      </c>
      <c r="E70" s="51" t="s">
        <v>936</v>
      </c>
      <c r="F70" s="51" t="s">
        <v>844</v>
      </c>
      <c r="G70" s="140">
        <v>129.82000000000002</v>
      </c>
      <c r="H70" s="149">
        <f>Glas!G6</f>
        <v>0</v>
      </c>
      <c r="I70" s="142"/>
      <c r="J70" s="149">
        <f>Glas!I6</f>
        <v>0</v>
      </c>
      <c r="K70" s="55">
        <f>IF(ISBLANK(G70),0,G70)*ROUND(J70,2)</f>
        <v>0</v>
      </c>
      <c r="L70" s="55">
        <f>C70*K70</f>
        <v>0</v>
      </c>
      <c r="M70" s="55">
        <f>L70/12</f>
        <v>0</v>
      </c>
    </row>
    <row r="71" spans="1:13" x14ac:dyDescent="0.2">
      <c r="A71" s="56" t="s">
        <v>937</v>
      </c>
      <c r="B71" s="56" t="s">
        <v>29</v>
      </c>
      <c r="C71" s="57">
        <f>IF(ISBLANK(B71),0,IF(ISERROR(VALUE(B71)),VLOOKUP(B71,dagsoorttabel1,2,FALSE)*dagenperjaar1,VALUE(B71)))</f>
        <v>1</v>
      </c>
      <c r="D71" s="56" t="s">
        <v>708</v>
      </c>
      <c r="E71" s="56" t="s">
        <v>938</v>
      </c>
      <c r="F71" s="56" t="s">
        <v>844</v>
      </c>
      <c r="G71" s="143">
        <v>129.82000000000002</v>
      </c>
      <c r="H71" s="150">
        <f>Glas!G8</f>
        <v>0</v>
      </c>
      <c r="I71" s="145"/>
      <c r="J71" s="150">
        <f>Glas!I8</f>
        <v>0</v>
      </c>
      <c r="K71" s="60">
        <f>IF(ISBLANK(G71),0,G71)*ROUND(J71,2)</f>
        <v>0</v>
      </c>
      <c r="L71" s="60">
        <f>C71*K71</f>
        <v>0</v>
      </c>
      <c r="M71" s="60">
        <f>L71/12</f>
        <v>0</v>
      </c>
    </row>
    <row r="72" spans="1:13" x14ac:dyDescent="0.2">
      <c r="A72" s="61" t="s">
        <v>958</v>
      </c>
      <c r="B72" s="61" t="s">
        <v>29</v>
      </c>
      <c r="C72" s="62">
        <f>IF(ISBLANK(B72),0,IF(ISERROR(VALUE(B72)),VLOOKUP(B72,dagsoorttabel1,2,FALSE)*dagenperjaar1,VALUE(B72)))</f>
        <v>1</v>
      </c>
      <c r="D72" s="61" t="s">
        <v>708</v>
      </c>
      <c r="E72" s="61" t="s">
        <v>959</v>
      </c>
      <c r="F72" s="61" t="s">
        <v>943</v>
      </c>
      <c r="G72" s="146">
        <v>1</v>
      </c>
      <c r="H72" s="151">
        <f>Glas!G20</f>
        <v>0</v>
      </c>
      <c r="I72" s="148"/>
      <c r="J72" s="151">
        <f>Glas!I20</f>
        <v>0</v>
      </c>
      <c r="K72" s="65">
        <f>IF(ISBLANK(G72),1,G72)*ROUND(J72,2)</f>
        <v>0</v>
      </c>
      <c r="L72" s="65">
        <f>C72*K72</f>
        <v>0</v>
      </c>
      <c r="M72" s="65">
        <f>L72/12</f>
        <v>0</v>
      </c>
    </row>
    <row r="73" spans="1:13" x14ac:dyDescent="0.2">
      <c r="A73" s="139" t="s">
        <v>989</v>
      </c>
      <c r="B73" s="79"/>
      <c r="C73" s="79"/>
      <c r="D73" s="79"/>
      <c r="E73" s="79"/>
      <c r="F73" s="79"/>
      <c r="G73" s="79"/>
      <c r="H73" s="79"/>
      <c r="I73" s="79"/>
      <c r="J73" s="79"/>
      <c r="K73" s="81">
        <f>SUM(K70:K72)</f>
        <v>0</v>
      </c>
      <c r="L73" s="81">
        <f>SUM(L70:L72)</f>
        <v>0</v>
      </c>
      <c r="M73" s="134">
        <f>L73/12</f>
        <v>0</v>
      </c>
    </row>
    <row r="75" spans="1:13" x14ac:dyDescent="0.2">
      <c r="A75" s="135" t="s">
        <v>567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136"/>
    </row>
    <row r="76" spans="1:13" x14ac:dyDescent="0.2">
      <c r="A76" s="51" t="s">
        <v>935</v>
      </c>
      <c r="B76" s="51" t="s">
        <v>29</v>
      </c>
      <c r="C76" s="52">
        <f>IF(ISBLANK(B76),0,IF(ISERROR(VALUE(B76)),VLOOKUP(B76,dagsoorttabel1,2,FALSE)*dagenperjaar1,VALUE(B76)))</f>
        <v>1</v>
      </c>
      <c r="D76" s="51" t="s">
        <v>708</v>
      </c>
      <c r="E76" s="51" t="s">
        <v>936</v>
      </c>
      <c r="F76" s="51" t="s">
        <v>844</v>
      </c>
      <c r="G76" s="140">
        <v>129.82000000000002</v>
      </c>
      <c r="H76" s="149">
        <f>Glas!G6</f>
        <v>0</v>
      </c>
      <c r="I76" s="142"/>
      <c r="J76" s="149">
        <f>Glas!I6</f>
        <v>0</v>
      </c>
      <c r="K76" s="55">
        <f>IF(ISBLANK(G76),0,G76)*ROUND(J76,2)</f>
        <v>0</v>
      </c>
      <c r="L76" s="55">
        <f>C76*K76</f>
        <v>0</v>
      </c>
      <c r="M76" s="55">
        <f>L76/12</f>
        <v>0</v>
      </c>
    </row>
    <row r="77" spans="1:13" x14ac:dyDescent="0.2">
      <c r="A77" s="56" t="s">
        <v>937</v>
      </c>
      <c r="B77" s="56" t="s">
        <v>29</v>
      </c>
      <c r="C77" s="57">
        <f>IF(ISBLANK(B77),0,IF(ISERROR(VALUE(B77)),VLOOKUP(B77,dagsoorttabel1,2,FALSE)*dagenperjaar1,VALUE(B77)))</f>
        <v>1</v>
      </c>
      <c r="D77" s="56" t="s">
        <v>708</v>
      </c>
      <c r="E77" s="56" t="s">
        <v>938</v>
      </c>
      <c r="F77" s="56" t="s">
        <v>844</v>
      </c>
      <c r="G77" s="143">
        <v>129.82000000000002</v>
      </c>
      <c r="H77" s="150">
        <f>Glas!G8</f>
        <v>0</v>
      </c>
      <c r="I77" s="145"/>
      <c r="J77" s="150">
        <f>Glas!I8</f>
        <v>0</v>
      </c>
      <c r="K77" s="60">
        <f>IF(ISBLANK(G77),0,G77)*ROUND(J77,2)</f>
        <v>0</v>
      </c>
      <c r="L77" s="60">
        <f>C77*K77</f>
        <v>0</v>
      </c>
      <c r="M77" s="60">
        <f>L77/12</f>
        <v>0</v>
      </c>
    </row>
    <row r="78" spans="1:13" x14ac:dyDescent="0.2">
      <c r="A78" s="61" t="s">
        <v>960</v>
      </c>
      <c r="B78" s="61" t="s">
        <v>29</v>
      </c>
      <c r="C78" s="62">
        <f>IF(ISBLANK(B78),0,IF(ISERROR(VALUE(B78)),VLOOKUP(B78,dagsoorttabel1,2,FALSE)*dagenperjaar1,VALUE(B78)))</f>
        <v>1</v>
      </c>
      <c r="D78" s="61" t="s">
        <v>708</v>
      </c>
      <c r="E78" s="61" t="s">
        <v>961</v>
      </c>
      <c r="F78" s="61" t="s">
        <v>943</v>
      </c>
      <c r="G78" s="146">
        <v>1</v>
      </c>
      <c r="H78" s="151">
        <f>Glas!G21</f>
        <v>0</v>
      </c>
      <c r="I78" s="148"/>
      <c r="J78" s="151">
        <f>Glas!I21</f>
        <v>0</v>
      </c>
      <c r="K78" s="65">
        <f>IF(ISBLANK(G78),1,G78)*ROUND(J78,2)</f>
        <v>0</v>
      </c>
      <c r="L78" s="65">
        <f>C78*K78</f>
        <v>0</v>
      </c>
      <c r="M78" s="65">
        <f>L78/12</f>
        <v>0</v>
      </c>
    </row>
    <row r="79" spans="1:13" x14ac:dyDescent="0.2">
      <c r="A79" s="139" t="s">
        <v>990</v>
      </c>
      <c r="B79" s="79"/>
      <c r="C79" s="79"/>
      <c r="D79" s="79"/>
      <c r="E79" s="79"/>
      <c r="F79" s="79"/>
      <c r="G79" s="79"/>
      <c r="H79" s="79"/>
      <c r="I79" s="79"/>
      <c r="J79" s="79"/>
      <c r="K79" s="81">
        <f>SUM(K76:K78)</f>
        <v>0</v>
      </c>
      <c r="L79" s="81">
        <f>SUM(L76:L78)</f>
        <v>0</v>
      </c>
      <c r="M79" s="134">
        <f>L79/12</f>
        <v>0</v>
      </c>
    </row>
    <row r="81" spans="1:13" x14ac:dyDescent="0.2">
      <c r="A81" s="135" t="s">
        <v>569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136"/>
    </row>
    <row r="82" spans="1:13" x14ac:dyDescent="0.2">
      <c r="A82" s="51" t="s">
        <v>935</v>
      </c>
      <c r="B82" s="51" t="s">
        <v>29</v>
      </c>
      <c r="C82" s="52">
        <f>IF(ISBLANK(B82),0,IF(ISERROR(VALUE(B82)),VLOOKUP(B82,dagsoorttabel1,2,FALSE)*dagenperjaar1,VALUE(B82)))</f>
        <v>1</v>
      </c>
      <c r="D82" s="51" t="s">
        <v>708</v>
      </c>
      <c r="E82" s="51" t="s">
        <v>936</v>
      </c>
      <c r="F82" s="51" t="s">
        <v>844</v>
      </c>
      <c r="G82" s="140">
        <v>129.82000000000002</v>
      </c>
      <c r="H82" s="149">
        <f>Glas!G6</f>
        <v>0</v>
      </c>
      <c r="I82" s="142"/>
      <c r="J82" s="149">
        <f>Glas!I6</f>
        <v>0</v>
      </c>
      <c r="K82" s="55">
        <f>IF(ISBLANK(G82),0,G82)*ROUND(J82,2)</f>
        <v>0</v>
      </c>
      <c r="L82" s="55">
        <f>C82*K82</f>
        <v>0</v>
      </c>
      <c r="M82" s="55">
        <f>L82/12</f>
        <v>0</v>
      </c>
    </row>
    <row r="83" spans="1:13" x14ac:dyDescent="0.2">
      <c r="A83" s="56" t="s">
        <v>937</v>
      </c>
      <c r="B83" s="56" t="s">
        <v>29</v>
      </c>
      <c r="C83" s="57">
        <f>IF(ISBLANK(B83),0,IF(ISERROR(VALUE(B83)),VLOOKUP(B83,dagsoorttabel1,2,FALSE)*dagenperjaar1,VALUE(B83)))</f>
        <v>1</v>
      </c>
      <c r="D83" s="56" t="s">
        <v>708</v>
      </c>
      <c r="E83" s="56" t="s">
        <v>938</v>
      </c>
      <c r="F83" s="56" t="s">
        <v>844</v>
      </c>
      <c r="G83" s="143">
        <v>129.82000000000002</v>
      </c>
      <c r="H83" s="150">
        <f>Glas!G8</f>
        <v>0</v>
      </c>
      <c r="I83" s="145"/>
      <c r="J83" s="150">
        <f>Glas!I8</f>
        <v>0</v>
      </c>
      <c r="K83" s="60">
        <f>IF(ISBLANK(G83),0,G83)*ROUND(J83,2)</f>
        <v>0</v>
      </c>
      <c r="L83" s="60">
        <f>C83*K83</f>
        <v>0</v>
      </c>
      <c r="M83" s="60">
        <f>L83/12</f>
        <v>0</v>
      </c>
    </row>
    <row r="84" spans="1:13" x14ac:dyDescent="0.2">
      <c r="A84" s="61" t="s">
        <v>962</v>
      </c>
      <c r="B84" s="61" t="s">
        <v>29</v>
      </c>
      <c r="C84" s="62">
        <f>IF(ISBLANK(B84),0,IF(ISERROR(VALUE(B84)),VLOOKUP(B84,dagsoorttabel1,2,FALSE)*dagenperjaar1,VALUE(B84)))</f>
        <v>1</v>
      </c>
      <c r="D84" s="61" t="s">
        <v>708</v>
      </c>
      <c r="E84" s="61" t="s">
        <v>963</v>
      </c>
      <c r="F84" s="61" t="s">
        <v>943</v>
      </c>
      <c r="G84" s="146">
        <v>1</v>
      </c>
      <c r="H84" s="151">
        <f>Glas!G22</f>
        <v>0</v>
      </c>
      <c r="I84" s="148"/>
      <c r="J84" s="151">
        <f>Glas!I22</f>
        <v>0</v>
      </c>
      <c r="K84" s="65">
        <f>IF(ISBLANK(G84),1,G84)*ROUND(J84,2)</f>
        <v>0</v>
      </c>
      <c r="L84" s="65">
        <f>C84*K84</f>
        <v>0</v>
      </c>
      <c r="M84" s="65">
        <f>L84/12</f>
        <v>0</v>
      </c>
    </row>
    <row r="85" spans="1:13" x14ac:dyDescent="0.2">
      <c r="A85" s="139" t="s">
        <v>991</v>
      </c>
      <c r="B85" s="79"/>
      <c r="C85" s="79"/>
      <c r="D85" s="79"/>
      <c r="E85" s="79"/>
      <c r="F85" s="79"/>
      <c r="G85" s="79"/>
      <c r="H85" s="79"/>
      <c r="I85" s="79"/>
      <c r="J85" s="79"/>
      <c r="K85" s="81">
        <f>SUM(K82:K84)</f>
        <v>0</v>
      </c>
      <c r="L85" s="81">
        <f>SUM(L82:L84)</f>
        <v>0</v>
      </c>
      <c r="M85" s="134">
        <f>L85/12</f>
        <v>0</v>
      </c>
    </row>
    <row r="87" spans="1:13" x14ac:dyDescent="0.2">
      <c r="A87" s="135" t="s">
        <v>571</v>
      </c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136"/>
    </row>
    <row r="88" spans="1:13" x14ac:dyDescent="0.2">
      <c r="A88" s="51" t="s">
        <v>935</v>
      </c>
      <c r="B88" s="51" t="s">
        <v>29</v>
      </c>
      <c r="C88" s="52">
        <f>IF(ISBLANK(B88),0,IF(ISERROR(VALUE(B88)),VLOOKUP(B88,dagsoorttabel1,2,FALSE)*dagenperjaar1,VALUE(B88)))</f>
        <v>1</v>
      </c>
      <c r="D88" s="51" t="s">
        <v>708</v>
      </c>
      <c r="E88" s="51" t="s">
        <v>936</v>
      </c>
      <c r="F88" s="51" t="s">
        <v>844</v>
      </c>
      <c r="G88" s="140">
        <v>129.82000000000002</v>
      </c>
      <c r="H88" s="149">
        <f>Glas!G6</f>
        <v>0</v>
      </c>
      <c r="I88" s="142"/>
      <c r="J88" s="149">
        <f>Glas!I6</f>
        <v>0</v>
      </c>
      <c r="K88" s="55">
        <f>IF(ISBLANK(G88),0,G88)*ROUND(J88,2)</f>
        <v>0</v>
      </c>
      <c r="L88" s="55">
        <f>C88*K88</f>
        <v>0</v>
      </c>
      <c r="M88" s="55">
        <f>L88/12</f>
        <v>0</v>
      </c>
    </row>
    <row r="89" spans="1:13" x14ac:dyDescent="0.2">
      <c r="A89" s="56" t="s">
        <v>937</v>
      </c>
      <c r="B89" s="56" t="s">
        <v>29</v>
      </c>
      <c r="C89" s="57">
        <f>IF(ISBLANK(B89),0,IF(ISERROR(VALUE(B89)),VLOOKUP(B89,dagsoorttabel1,2,FALSE)*dagenperjaar1,VALUE(B89)))</f>
        <v>1</v>
      </c>
      <c r="D89" s="56" t="s">
        <v>708</v>
      </c>
      <c r="E89" s="56" t="s">
        <v>938</v>
      </c>
      <c r="F89" s="56" t="s">
        <v>844</v>
      </c>
      <c r="G89" s="143">
        <v>129.82000000000002</v>
      </c>
      <c r="H89" s="150">
        <f>Glas!G8</f>
        <v>0</v>
      </c>
      <c r="I89" s="145"/>
      <c r="J89" s="150">
        <f>Glas!I8</f>
        <v>0</v>
      </c>
      <c r="K89" s="60">
        <f>IF(ISBLANK(G89),0,G89)*ROUND(J89,2)</f>
        <v>0</v>
      </c>
      <c r="L89" s="60">
        <f>C89*K89</f>
        <v>0</v>
      </c>
      <c r="M89" s="60">
        <f>L89/12</f>
        <v>0</v>
      </c>
    </row>
    <row r="90" spans="1:13" x14ac:dyDescent="0.2">
      <c r="A90" s="61" t="s">
        <v>964</v>
      </c>
      <c r="B90" s="61" t="s">
        <v>29</v>
      </c>
      <c r="C90" s="62">
        <f>IF(ISBLANK(B90),0,IF(ISERROR(VALUE(B90)),VLOOKUP(B90,dagsoorttabel1,2,FALSE)*dagenperjaar1,VALUE(B90)))</f>
        <v>1</v>
      </c>
      <c r="D90" s="61" t="s">
        <v>708</v>
      </c>
      <c r="E90" s="61" t="s">
        <v>965</v>
      </c>
      <c r="F90" s="61" t="s">
        <v>943</v>
      </c>
      <c r="G90" s="146">
        <v>1</v>
      </c>
      <c r="H90" s="151">
        <f>Glas!G23</f>
        <v>0</v>
      </c>
      <c r="I90" s="148"/>
      <c r="J90" s="151">
        <f>Glas!I23</f>
        <v>0</v>
      </c>
      <c r="K90" s="65">
        <f>IF(ISBLANK(G90),1,G90)*ROUND(J90,2)</f>
        <v>0</v>
      </c>
      <c r="L90" s="65">
        <f>C90*K90</f>
        <v>0</v>
      </c>
      <c r="M90" s="65">
        <f>L90/12</f>
        <v>0</v>
      </c>
    </row>
    <row r="91" spans="1:13" x14ac:dyDescent="0.2">
      <c r="A91" s="139" t="s">
        <v>992</v>
      </c>
      <c r="B91" s="79"/>
      <c r="C91" s="79"/>
      <c r="D91" s="79"/>
      <c r="E91" s="79"/>
      <c r="F91" s="79"/>
      <c r="G91" s="79"/>
      <c r="H91" s="79"/>
      <c r="I91" s="79"/>
      <c r="J91" s="79"/>
      <c r="K91" s="81">
        <f>SUM(K88:K90)</f>
        <v>0</v>
      </c>
      <c r="L91" s="81">
        <f>SUM(L88:L90)</f>
        <v>0</v>
      </c>
      <c r="M91" s="134">
        <f>L91/12</f>
        <v>0</v>
      </c>
    </row>
    <row r="93" spans="1:13" x14ac:dyDescent="0.2">
      <c r="A93" s="135" t="s">
        <v>573</v>
      </c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136"/>
    </row>
    <row r="94" spans="1:13" x14ac:dyDescent="0.2">
      <c r="A94" s="51" t="s">
        <v>935</v>
      </c>
      <c r="B94" s="51" t="s">
        <v>29</v>
      </c>
      <c r="C94" s="52">
        <f>IF(ISBLANK(B94),0,IF(ISERROR(VALUE(B94)),VLOOKUP(B94,dagsoorttabel1,2,FALSE)*dagenperjaar1,VALUE(B94)))</f>
        <v>1</v>
      </c>
      <c r="D94" s="51" t="s">
        <v>708</v>
      </c>
      <c r="E94" s="51" t="s">
        <v>936</v>
      </c>
      <c r="F94" s="51" t="s">
        <v>844</v>
      </c>
      <c r="G94" s="140">
        <v>129.82000000000002</v>
      </c>
      <c r="H94" s="149">
        <f>Glas!G6</f>
        <v>0</v>
      </c>
      <c r="I94" s="142"/>
      <c r="J94" s="149">
        <f>Glas!I6</f>
        <v>0</v>
      </c>
      <c r="K94" s="55">
        <f>IF(ISBLANK(G94),0,G94)*ROUND(J94,2)</f>
        <v>0</v>
      </c>
      <c r="L94" s="55">
        <f>C94*K94</f>
        <v>0</v>
      </c>
      <c r="M94" s="55">
        <f>L94/12</f>
        <v>0</v>
      </c>
    </row>
    <row r="95" spans="1:13" x14ac:dyDescent="0.2">
      <c r="A95" s="56" t="s">
        <v>937</v>
      </c>
      <c r="B95" s="56" t="s">
        <v>29</v>
      </c>
      <c r="C95" s="57">
        <f>IF(ISBLANK(B95),0,IF(ISERROR(VALUE(B95)),VLOOKUP(B95,dagsoorttabel1,2,FALSE)*dagenperjaar1,VALUE(B95)))</f>
        <v>1</v>
      </c>
      <c r="D95" s="56" t="s">
        <v>708</v>
      </c>
      <c r="E95" s="56" t="s">
        <v>938</v>
      </c>
      <c r="F95" s="56" t="s">
        <v>844</v>
      </c>
      <c r="G95" s="143">
        <v>129.82000000000002</v>
      </c>
      <c r="H95" s="150">
        <f>Glas!G8</f>
        <v>0</v>
      </c>
      <c r="I95" s="145"/>
      <c r="J95" s="150">
        <f>Glas!I8</f>
        <v>0</v>
      </c>
      <c r="K95" s="60">
        <f>IF(ISBLANK(G95),0,G95)*ROUND(J95,2)</f>
        <v>0</v>
      </c>
      <c r="L95" s="60">
        <f>C95*K95</f>
        <v>0</v>
      </c>
      <c r="M95" s="60">
        <f>L95/12</f>
        <v>0</v>
      </c>
    </row>
    <row r="96" spans="1:13" x14ac:dyDescent="0.2">
      <c r="A96" s="61" t="s">
        <v>966</v>
      </c>
      <c r="B96" s="61" t="s">
        <v>29</v>
      </c>
      <c r="C96" s="62">
        <f>IF(ISBLANK(B96),0,IF(ISERROR(VALUE(B96)),VLOOKUP(B96,dagsoorttabel1,2,FALSE)*dagenperjaar1,VALUE(B96)))</f>
        <v>1</v>
      </c>
      <c r="D96" s="61" t="s">
        <v>708</v>
      </c>
      <c r="E96" s="61" t="s">
        <v>967</v>
      </c>
      <c r="F96" s="61" t="s">
        <v>943</v>
      </c>
      <c r="G96" s="146">
        <v>1</v>
      </c>
      <c r="H96" s="151">
        <f>Glas!G24</f>
        <v>0</v>
      </c>
      <c r="I96" s="148"/>
      <c r="J96" s="151">
        <f>Glas!I24</f>
        <v>0</v>
      </c>
      <c r="K96" s="65">
        <f>IF(ISBLANK(G96),1,G96)*ROUND(J96,2)</f>
        <v>0</v>
      </c>
      <c r="L96" s="65">
        <f>C96*K96</f>
        <v>0</v>
      </c>
      <c r="M96" s="65">
        <f>L96/12</f>
        <v>0</v>
      </c>
    </row>
    <row r="97" spans="1:13" x14ac:dyDescent="0.2">
      <c r="A97" s="139" t="s">
        <v>993</v>
      </c>
      <c r="B97" s="79"/>
      <c r="C97" s="79"/>
      <c r="D97" s="79"/>
      <c r="E97" s="79"/>
      <c r="F97" s="79"/>
      <c r="G97" s="79"/>
      <c r="H97" s="79"/>
      <c r="I97" s="79"/>
      <c r="J97" s="79"/>
      <c r="K97" s="81">
        <f>SUM(K94:K96)</f>
        <v>0</v>
      </c>
      <c r="L97" s="81">
        <f>SUM(L94:L96)</f>
        <v>0</v>
      </c>
      <c r="M97" s="134">
        <f>L97/12</f>
        <v>0</v>
      </c>
    </row>
    <row r="99" spans="1:13" x14ac:dyDescent="0.2">
      <c r="A99" s="135" t="s">
        <v>576</v>
      </c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136"/>
    </row>
    <row r="100" spans="1:13" x14ac:dyDescent="0.2">
      <c r="A100" s="51" t="s">
        <v>935</v>
      </c>
      <c r="B100" s="51" t="s">
        <v>29</v>
      </c>
      <c r="C100" s="52">
        <f>IF(ISBLANK(B100),0,IF(ISERROR(VALUE(B100)),VLOOKUP(B100,dagsoorttabel1,2,FALSE)*dagenperjaar1,VALUE(B100)))</f>
        <v>1</v>
      </c>
      <c r="D100" s="51" t="s">
        <v>708</v>
      </c>
      <c r="E100" s="51" t="s">
        <v>936</v>
      </c>
      <c r="F100" s="51" t="s">
        <v>844</v>
      </c>
      <c r="G100" s="140">
        <v>129.82000000000002</v>
      </c>
      <c r="H100" s="149">
        <f>Glas!G6</f>
        <v>0</v>
      </c>
      <c r="I100" s="142"/>
      <c r="J100" s="149">
        <f>Glas!I6</f>
        <v>0</v>
      </c>
      <c r="K100" s="55">
        <f>IF(ISBLANK(G100),0,G100)*ROUND(J100,2)</f>
        <v>0</v>
      </c>
      <c r="L100" s="55">
        <f>C100*K100</f>
        <v>0</v>
      </c>
      <c r="M100" s="55">
        <f>L100/12</f>
        <v>0</v>
      </c>
    </row>
    <row r="101" spans="1:13" x14ac:dyDescent="0.2">
      <c r="A101" s="56" t="s">
        <v>937</v>
      </c>
      <c r="B101" s="56" t="s">
        <v>29</v>
      </c>
      <c r="C101" s="57">
        <f>IF(ISBLANK(B101),0,IF(ISERROR(VALUE(B101)),VLOOKUP(B101,dagsoorttabel1,2,FALSE)*dagenperjaar1,VALUE(B101)))</f>
        <v>1</v>
      </c>
      <c r="D101" s="56" t="s">
        <v>708</v>
      </c>
      <c r="E101" s="56" t="s">
        <v>938</v>
      </c>
      <c r="F101" s="56" t="s">
        <v>844</v>
      </c>
      <c r="G101" s="143">
        <v>129.82000000000002</v>
      </c>
      <c r="H101" s="150">
        <f>Glas!G8</f>
        <v>0</v>
      </c>
      <c r="I101" s="145"/>
      <c r="J101" s="150">
        <f>Glas!I8</f>
        <v>0</v>
      </c>
      <c r="K101" s="60">
        <f>IF(ISBLANK(G101),0,G101)*ROUND(J101,2)</f>
        <v>0</v>
      </c>
      <c r="L101" s="60">
        <f>C101*K101</f>
        <v>0</v>
      </c>
      <c r="M101" s="60">
        <f>L101/12</f>
        <v>0</v>
      </c>
    </row>
    <row r="102" spans="1:13" x14ac:dyDescent="0.2">
      <c r="A102" s="61" t="s">
        <v>968</v>
      </c>
      <c r="B102" s="61" t="s">
        <v>29</v>
      </c>
      <c r="C102" s="62">
        <f>IF(ISBLANK(B102),0,IF(ISERROR(VALUE(B102)),VLOOKUP(B102,dagsoorttabel1,2,FALSE)*dagenperjaar1,VALUE(B102)))</f>
        <v>1</v>
      </c>
      <c r="D102" s="61" t="s">
        <v>708</v>
      </c>
      <c r="E102" s="61" t="s">
        <v>969</v>
      </c>
      <c r="F102" s="61" t="s">
        <v>943</v>
      </c>
      <c r="G102" s="146">
        <v>1</v>
      </c>
      <c r="H102" s="151">
        <f>Glas!G25</f>
        <v>0</v>
      </c>
      <c r="I102" s="148"/>
      <c r="J102" s="151">
        <f>Glas!I25</f>
        <v>0</v>
      </c>
      <c r="K102" s="65">
        <f>IF(ISBLANK(G102),1,G102)*ROUND(J102,2)</f>
        <v>0</v>
      </c>
      <c r="L102" s="65">
        <f>C102*K102</f>
        <v>0</v>
      </c>
      <c r="M102" s="65">
        <f>L102/12</f>
        <v>0</v>
      </c>
    </row>
    <row r="103" spans="1:13" x14ac:dyDescent="0.2">
      <c r="A103" s="139" t="s">
        <v>994</v>
      </c>
      <c r="B103" s="79"/>
      <c r="C103" s="79"/>
      <c r="D103" s="79"/>
      <c r="E103" s="79"/>
      <c r="F103" s="79"/>
      <c r="G103" s="79"/>
      <c r="H103" s="79"/>
      <c r="I103" s="79"/>
      <c r="J103" s="79"/>
      <c r="K103" s="81">
        <f>SUM(K100:K102)</f>
        <v>0</v>
      </c>
      <c r="L103" s="81">
        <f>SUM(L100:L102)</f>
        <v>0</v>
      </c>
      <c r="M103" s="134">
        <f>L103/12</f>
        <v>0</v>
      </c>
    </row>
    <row r="105" spans="1:13" x14ac:dyDescent="0.2">
      <c r="A105" s="135" t="s">
        <v>581</v>
      </c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136"/>
    </row>
    <row r="106" spans="1:13" x14ac:dyDescent="0.2">
      <c r="A106" s="51" t="s">
        <v>935</v>
      </c>
      <c r="B106" s="51" t="s">
        <v>29</v>
      </c>
      <c r="C106" s="52">
        <f>IF(ISBLANK(B106),0,IF(ISERROR(VALUE(B106)),VLOOKUP(B106,dagsoorttabel1,2,FALSE)*dagenperjaar1,VALUE(B106)))</f>
        <v>1</v>
      </c>
      <c r="D106" s="51" t="s">
        <v>708</v>
      </c>
      <c r="E106" s="51" t="s">
        <v>936</v>
      </c>
      <c r="F106" s="51" t="s">
        <v>844</v>
      </c>
      <c r="G106" s="140">
        <v>129.82000000000002</v>
      </c>
      <c r="H106" s="149">
        <f>Glas!G6</f>
        <v>0</v>
      </c>
      <c r="I106" s="142"/>
      <c r="J106" s="149">
        <f>Glas!I6</f>
        <v>0</v>
      </c>
      <c r="K106" s="55">
        <f>IF(ISBLANK(G106),0,G106)*ROUND(J106,2)</f>
        <v>0</v>
      </c>
      <c r="L106" s="55">
        <f>C106*K106</f>
        <v>0</v>
      </c>
      <c r="M106" s="55">
        <f>L106/12</f>
        <v>0</v>
      </c>
    </row>
    <row r="107" spans="1:13" x14ac:dyDescent="0.2">
      <c r="A107" s="56" t="s">
        <v>937</v>
      </c>
      <c r="B107" s="56" t="s">
        <v>29</v>
      </c>
      <c r="C107" s="57">
        <f>IF(ISBLANK(B107),0,IF(ISERROR(VALUE(B107)),VLOOKUP(B107,dagsoorttabel1,2,FALSE)*dagenperjaar1,VALUE(B107)))</f>
        <v>1</v>
      </c>
      <c r="D107" s="56" t="s">
        <v>708</v>
      </c>
      <c r="E107" s="56" t="s">
        <v>938</v>
      </c>
      <c r="F107" s="56" t="s">
        <v>844</v>
      </c>
      <c r="G107" s="143">
        <v>129.82000000000002</v>
      </c>
      <c r="H107" s="150">
        <f>Glas!G8</f>
        <v>0</v>
      </c>
      <c r="I107" s="145"/>
      <c r="J107" s="150">
        <f>Glas!I8</f>
        <v>0</v>
      </c>
      <c r="K107" s="60">
        <f>IF(ISBLANK(G107),0,G107)*ROUND(J107,2)</f>
        <v>0</v>
      </c>
      <c r="L107" s="60">
        <f>C107*K107</f>
        <v>0</v>
      </c>
      <c r="M107" s="60">
        <f>L107/12</f>
        <v>0</v>
      </c>
    </row>
    <row r="108" spans="1:13" x14ac:dyDescent="0.2">
      <c r="A108" s="61" t="s">
        <v>970</v>
      </c>
      <c r="B108" s="61" t="s">
        <v>29</v>
      </c>
      <c r="C108" s="62">
        <f>IF(ISBLANK(B108),0,IF(ISERROR(VALUE(B108)),VLOOKUP(B108,dagsoorttabel1,2,FALSE)*dagenperjaar1,VALUE(B108)))</f>
        <v>1</v>
      </c>
      <c r="D108" s="61" t="s">
        <v>708</v>
      </c>
      <c r="E108" s="61" t="s">
        <v>971</v>
      </c>
      <c r="F108" s="61" t="s">
        <v>943</v>
      </c>
      <c r="G108" s="146">
        <v>1</v>
      </c>
      <c r="H108" s="151">
        <f>Glas!G26</f>
        <v>0</v>
      </c>
      <c r="I108" s="148"/>
      <c r="J108" s="151">
        <f>Glas!I26</f>
        <v>0</v>
      </c>
      <c r="K108" s="65">
        <f>IF(ISBLANK(G108),1,G108)*ROUND(J108,2)</f>
        <v>0</v>
      </c>
      <c r="L108" s="65">
        <f>C108*K108</f>
        <v>0</v>
      </c>
      <c r="M108" s="65">
        <f>L108/12</f>
        <v>0</v>
      </c>
    </row>
    <row r="109" spans="1:13" x14ac:dyDescent="0.2">
      <c r="A109" s="139" t="s">
        <v>802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81">
        <f>SUM(K106:K108)</f>
        <v>0</v>
      </c>
      <c r="L109" s="81">
        <f>SUM(L106:L108)</f>
        <v>0</v>
      </c>
      <c r="M109" s="134">
        <f>L109/12</f>
        <v>0</v>
      </c>
    </row>
    <row r="111" spans="1:13" x14ac:dyDescent="0.2">
      <c r="A111" s="135" t="s">
        <v>583</v>
      </c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136"/>
    </row>
    <row r="112" spans="1:13" x14ac:dyDescent="0.2">
      <c r="A112" s="51" t="s">
        <v>935</v>
      </c>
      <c r="B112" s="51" t="s">
        <v>29</v>
      </c>
      <c r="C112" s="52">
        <f>IF(ISBLANK(B112),0,IF(ISERROR(VALUE(B112)),VLOOKUP(B112,dagsoorttabel1,2,FALSE)*dagenperjaar1,VALUE(B112)))</f>
        <v>1</v>
      </c>
      <c r="D112" s="51" t="s">
        <v>708</v>
      </c>
      <c r="E112" s="51" t="s">
        <v>936</v>
      </c>
      <c r="F112" s="51" t="s">
        <v>844</v>
      </c>
      <c r="G112" s="140">
        <v>800</v>
      </c>
      <c r="H112" s="149">
        <f>Glas!G6</f>
        <v>0</v>
      </c>
      <c r="I112" s="142"/>
      <c r="J112" s="149">
        <f>Glas!I6</f>
        <v>0</v>
      </c>
      <c r="K112" s="55">
        <f>IF(ISBLANK(G112),0,G112)*ROUND(J112,2)</f>
        <v>0</v>
      </c>
      <c r="L112" s="55">
        <f>C112*K112</f>
        <v>0</v>
      </c>
      <c r="M112" s="55">
        <f>L112/12</f>
        <v>0</v>
      </c>
    </row>
    <row r="113" spans="1:13" x14ac:dyDescent="0.2">
      <c r="A113" s="56" t="s">
        <v>937</v>
      </c>
      <c r="B113" s="56" t="s">
        <v>29</v>
      </c>
      <c r="C113" s="57">
        <f>IF(ISBLANK(B113),0,IF(ISERROR(VALUE(B113)),VLOOKUP(B113,dagsoorttabel1,2,FALSE)*dagenperjaar1,VALUE(B113)))</f>
        <v>1</v>
      </c>
      <c r="D113" s="56" t="s">
        <v>708</v>
      </c>
      <c r="E113" s="56" t="s">
        <v>938</v>
      </c>
      <c r="F113" s="56" t="s">
        <v>844</v>
      </c>
      <c r="G113" s="143">
        <v>800</v>
      </c>
      <c r="H113" s="150">
        <f>Glas!G8</f>
        <v>0</v>
      </c>
      <c r="I113" s="145"/>
      <c r="J113" s="150">
        <f>Glas!I8</f>
        <v>0</v>
      </c>
      <c r="K113" s="60">
        <f>IF(ISBLANK(G113),0,G113)*ROUND(J113,2)</f>
        <v>0</v>
      </c>
      <c r="L113" s="60">
        <f>C113*K113</f>
        <v>0</v>
      </c>
      <c r="M113" s="60">
        <f>L113/12</f>
        <v>0</v>
      </c>
    </row>
    <row r="114" spans="1:13" x14ac:dyDescent="0.2">
      <c r="A114" s="56" t="s">
        <v>939</v>
      </c>
      <c r="B114" s="56" t="s">
        <v>29</v>
      </c>
      <c r="C114" s="57">
        <f>IF(ISBLANK(B114),0,IF(ISERROR(VALUE(B114)),VLOOKUP(B114,dagsoorttabel1,2,FALSE)*dagenperjaar1,VALUE(B114)))</f>
        <v>1</v>
      </c>
      <c r="D114" s="56" t="s">
        <v>708</v>
      </c>
      <c r="E114" s="56" t="s">
        <v>940</v>
      </c>
      <c r="F114" s="56" t="s">
        <v>844</v>
      </c>
      <c r="G114" s="143">
        <v>1000</v>
      </c>
      <c r="H114" s="150">
        <f>Glas!G10</f>
        <v>0</v>
      </c>
      <c r="I114" s="145"/>
      <c r="J114" s="150">
        <f>Glas!I10</f>
        <v>0</v>
      </c>
      <c r="K114" s="60">
        <f>IF(ISBLANK(G114),0,G114)*ROUND(J114,2)</f>
        <v>0</v>
      </c>
      <c r="L114" s="60">
        <f>C114*K114</f>
        <v>0</v>
      </c>
      <c r="M114" s="60">
        <f>L114/12</f>
        <v>0</v>
      </c>
    </row>
    <row r="115" spans="1:13" x14ac:dyDescent="0.2">
      <c r="A115" s="61" t="s">
        <v>972</v>
      </c>
      <c r="B115" s="61" t="s">
        <v>29</v>
      </c>
      <c r="C115" s="62">
        <f>IF(ISBLANK(B115),0,IF(ISERROR(VALUE(B115)),VLOOKUP(B115,dagsoorttabel1,2,FALSE)*dagenperjaar1,VALUE(B115)))</f>
        <v>1</v>
      </c>
      <c r="D115" s="61" t="s">
        <v>708</v>
      </c>
      <c r="E115" s="61" t="s">
        <v>973</v>
      </c>
      <c r="F115" s="61" t="s">
        <v>943</v>
      </c>
      <c r="G115" s="146">
        <v>1</v>
      </c>
      <c r="H115" s="151">
        <f>Glas!G27</f>
        <v>0</v>
      </c>
      <c r="I115" s="148"/>
      <c r="J115" s="151">
        <f>Glas!I27</f>
        <v>0</v>
      </c>
      <c r="K115" s="65">
        <f>IF(ISBLANK(G115),1,G115)*ROUND(J115,2)</f>
        <v>0</v>
      </c>
      <c r="L115" s="65">
        <f>C115*K115</f>
        <v>0</v>
      </c>
      <c r="M115" s="65">
        <f>L115/12</f>
        <v>0</v>
      </c>
    </row>
    <row r="116" spans="1:13" x14ac:dyDescent="0.2">
      <c r="A116" s="139" t="s">
        <v>995</v>
      </c>
      <c r="B116" s="79"/>
      <c r="C116" s="79"/>
      <c r="D116" s="79"/>
      <c r="E116" s="79"/>
      <c r="F116" s="79"/>
      <c r="G116" s="79"/>
      <c r="H116" s="79"/>
      <c r="I116" s="79"/>
      <c r="J116" s="79"/>
      <c r="K116" s="81">
        <f>SUM(K112:K115)</f>
        <v>0</v>
      </c>
      <c r="L116" s="81">
        <f>SUM(L112:L115)</f>
        <v>0</v>
      </c>
      <c r="M116" s="134">
        <f>L116/12</f>
        <v>0</v>
      </c>
    </row>
    <row r="118" spans="1:13" x14ac:dyDescent="0.2">
      <c r="A118" s="135" t="s">
        <v>589</v>
      </c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136"/>
    </row>
    <row r="119" spans="1:13" x14ac:dyDescent="0.2">
      <c r="A119" s="51" t="s">
        <v>935</v>
      </c>
      <c r="B119" s="51" t="s">
        <v>27</v>
      </c>
      <c r="C119" s="52">
        <f>IF(ISBLANK(B119),0,IF(ISERROR(VALUE(B119)),VLOOKUP(B119,dagsoorttabel1,2,FALSE)*dagenperjaar1,VALUE(B119)))</f>
        <v>3</v>
      </c>
      <c r="D119" s="51" t="s">
        <v>708</v>
      </c>
      <c r="E119" s="51" t="s">
        <v>936</v>
      </c>
      <c r="F119" s="51" t="s">
        <v>844</v>
      </c>
      <c r="G119" s="140">
        <v>40</v>
      </c>
      <c r="H119" s="149">
        <f>Glas!G7</f>
        <v>0</v>
      </c>
      <c r="I119" s="142"/>
      <c r="J119" s="149">
        <f>Glas!I7</f>
        <v>0</v>
      </c>
      <c r="K119" s="55">
        <f>IF(ISBLANK(G119),0,G119)*ROUND(J119,2)</f>
        <v>0</v>
      </c>
      <c r="L119" s="55">
        <f>C119*K119</f>
        <v>0</v>
      </c>
      <c r="M119" s="55">
        <f>L119/12</f>
        <v>0</v>
      </c>
    </row>
    <row r="120" spans="1:13" x14ac:dyDescent="0.2">
      <c r="A120" s="56" t="s">
        <v>937</v>
      </c>
      <c r="B120" s="56" t="s">
        <v>27</v>
      </c>
      <c r="C120" s="57">
        <f>IF(ISBLANK(B120),0,IF(ISERROR(VALUE(B120)),VLOOKUP(B120,dagsoorttabel1,2,FALSE)*dagenperjaar1,VALUE(B120)))</f>
        <v>3</v>
      </c>
      <c r="D120" s="56" t="s">
        <v>708</v>
      </c>
      <c r="E120" s="56" t="s">
        <v>938</v>
      </c>
      <c r="F120" s="56" t="s">
        <v>844</v>
      </c>
      <c r="G120" s="143">
        <v>40</v>
      </c>
      <c r="H120" s="150">
        <f>Glas!G9</f>
        <v>0</v>
      </c>
      <c r="I120" s="145"/>
      <c r="J120" s="150">
        <f>Glas!I9</f>
        <v>0</v>
      </c>
      <c r="K120" s="60">
        <f>IF(ISBLANK(G120),0,G120)*ROUND(J120,2)</f>
        <v>0</v>
      </c>
      <c r="L120" s="60">
        <f>C120*K120</f>
        <v>0</v>
      </c>
      <c r="M120" s="60">
        <f>L120/12</f>
        <v>0</v>
      </c>
    </row>
    <row r="121" spans="1:13" x14ac:dyDescent="0.2">
      <c r="A121" s="61" t="s">
        <v>939</v>
      </c>
      <c r="B121" s="61" t="s">
        <v>27</v>
      </c>
      <c r="C121" s="62">
        <f>IF(ISBLANK(B121),0,IF(ISERROR(VALUE(B121)),VLOOKUP(B121,dagsoorttabel1,2,FALSE)*dagenperjaar1,VALUE(B121)))</f>
        <v>3</v>
      </c>
      <c r="D121" s="61" t="s">
        <v>708</v>
      </c>
      <c r="E121" s="61" t="s">
        <v>940</v>
      </c>
      <c r="F121" s="61" t="s">
        <v>844</v>
      </c>
      <c r="G121" s="146">
        <v>10</v>
      </c>
      <c r="H121" s="151">
        <f>Glas!G11</f>
        <v>0</v>
      </c>
      <c r="I121" s="148"/>
      <c r="J121" s="151">
        <f>Glas!I11</f>
        <v>0</v>
      </c>
      <c r="K121" s="65">
        <f>IF(ISBLANK(G121),0,G121)*ROUND(J121,2)</f>
        <v>0</v>
      </c>
      <c r="L121" s="65">
        <f>C121*K121</f>
        <v>0</v>
      </c>
      <c r="M121" s="65">
        <f>L121/12</f>
        <v>0</v>
      </c>
    </row>
    <row r="122" spans="1:13" x14ac:dyDescent="0.2">
      <c r="A122" s="139" t="s">
        <v>996</v>
      </c>
      <c r="B122" s="79"/>
      <c r="C122" s="79"/>
      <c r="D122" s="79"/>
      <c r="E122" s="79"/>
      <c r="F122" s="79"/>
      <c r="G122" s="79"/>
      <c r="H122" s="79"/>
      <c r="I122" s="79"/>
      <c r="J122" s="79"/>
      <c r="K122" s="81">
        <f>SUM(K119:K121)</f>
        <v>0</v>
      </c>
      <c r="L122" s="81">
        <f>SUM(L119:L121)</f>
        <v>0</v>
      </c>
      <c r="M122" s="134">
        <f>L122/12</f>
        <v>0</v>
      </c>
    </row>
    <row r="124" spans="1:13" x14ac:dyDescent="0.2">
      <c r="A124" s="135" t="s">
        <v>615</v>
      </c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136"/>
    </row>
    <row r="125" spans="1:13" x14ac:dyDescent="0.2">
      <c r="A125" s="51" t="s">
        <v>935</v>
      </c>
      <c r="B125" s="51" t="s">
        <v>27</v>
      </c>
      <c r="C125" s="52">
        <f>IF(ISBLANK(B125),0,IF(ISERROR(VALUE(B125)),VLOOKUP(B125,dagsoorttabel1,2,FALSE)*dagenperjaar1,VALUE(B125)))</f>
        <v>3</v>
      </c>
      <c r="D125" s="51" t="s">
        <v>708</v>
      </c>
      <c r="E125" s="51" t="s">
        <v>936</v>
      </c>
      <c r="F125" s="51" t="s">
        <v>844</v>
      </c>
      <c r="G125" s="140">
        <v>330</v>
      </c>
      <c r="H125" s="149">
        <f>Glas!G7</f>
        <v>0</v>
      </c>
      <c r="I125" s="142"/>
      <c r="J125" s="149">
        <f>Glas!I7</f>
        <v>0</v>
      </c>
      <c r="K125" s="55">
        <f>IF(ISBLANK(G125),0,G125)*ROUND(J125,2)</f>
        <v>0</v>
      </c>
      <c r="L125" s="55">
        <f>C125*K125</f>
        <v>0</v>
      </c>
      <c r="M125" s="55">
        <f>L125/12</f>
        <v>0</v>
      </c>
    </row>
    <row r="126" spans="1:13" x14ac:dyDescent="0.2">
      <c r="A126" s="56" t="s">
        <v>937</v>
      </c>
      <c r="B126" s="56" t="s">
        <v>27</v>
      </c>
      <c r="C126" s="57">
        <f>IF(ISBLANK(B126),0,IF(ISERROR(VALUE(B126)),VLOOKUP(B126,dagsoorttabel1,2,FALSE)*dagenperjaar1,VALUE(B126)))</f>
        <v>3</v>
      </c>
      <c r="D126" s="56" t="s">
        <v>708</v>
      </c>
      <c r="E126" s="56" t="s">
        <v>938</v>
      </c>
      <c r="F126" s="56" t="s">
        <v>844</v>
      </c>
      <c r="G126" s="143">
        <v>330</v>
      </c>
      <c r="H126" s="150">
        <f>Glas!G9</f>
        <v>0</v>
      </c>
      <c r="I126" s="145"/>
      <c r="J126" s="150">
        <f>Glas!I9</f>
        <v>0</v>
      </c>
      <c r="K126" s="60">
        <f>IF(ISBLANK(G126),0,G126)*ROUND(J126,2)</f>
        <v>0</v>
      </c>
      <c r="L126" s="60">
        <f>C126*K126</f>
        <v>0</v>
      </c>
      <c r="M126" s="60">
        <f>L126/12</f>
        <v>0</v>
      </c>
    </row>
    <row r="127" spans="1:13" x14ac:dyDescent="0.2">
      <c r="A127" s="61" t="s">
        <v>939</v>
      </c>
      <c r="B127" s="61" t="s">
        <v>27</v>
      </c>
      <c r="C127" s="62">
        <f>IF(ISBLANK(B127),0,IF(ISERROR(VALUE(B127)),VLOOKUP(B127,dagsoorttabel1,2,FALSE)*dagenperjaar1,VALUE(B127)))</f>
        <v>3</v>
      </c>
      <c r="D127" s="61" t="s">
        <v>708</v>
      </c>
      <c r="E127" s="61" t="s">
        <v>940</v>
      </c>
      <c r="F127" s="61" t="s">
        <v>844</v>
      </c>
      <c r="G127" s="146">
        <v>300</v>
      </c>
      <c r="H127" s="151">
        <f>Glas!G11</f>
        <v>0</v>
      </c>
      <c r="I127" s="148"/>
      <c r="J127" s="151">
        <f>Glas!I11</f>
        <v>0</v>
      </c>
      <c r="K127" s="65">
        <f>IF(ISBLANK(G127),0,G127)*ROUND(J127,2)</f>
        <v>0</v>
      </c>
      <c r="L127" s="65">
        <f>C127*K127</f>
        <v>0</v>
      </c>
      <c r="M127" s="65">
        <f>L127/12</f>
        <v>0</v>
      </c>
    </row>
    <row r="128" spans="1:13" x14ac:dyDescent="0.2">
      <c r="A128" s="139" t="s">
        <v>997</v>
      </c>
      <c r="B128" s="79"/>
      <c r="C128" s="79"/>
      <c r="D128" s="79"/>
      <c r="E128" s="79"/>
      <c r="F128" s="79"/>
      <c r="G128" s="79"/>
      <c r="H128" s="79"/>
      <c r="I128" s="79"/>
      <c r="J128" s="79"/>
      <c r="K128" s="81">
        <f>SUM(K125:K127)</f>
        <v>0</v>
      </c>
      <c r="L128" s="81">
        <f>SUM(L125:L127)</f>
        <v>0</v>
      </c>
      <c r="M128" s="134">
        <f>L128/12</f>
        <v>0</v>
      </c>
    </row>
    <row r="130" spans="1:13" x14ac:dyDescent="0.2">
      <c r="A130" s="135" t="s">
        <v>632</v>
      </c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136"/>
    </row>
    <row r="131" spans="1:13" x14ac:dyDescent="0.2">
      <c r="A131" s="51" t="s">
        <v>935</v>
      </c>
      <c r="B131" s="51" t="s">
        <v>27</v>
      </c>
      <c r="C131" s="52">
        <f>IF(ISBLANK(B131),0,IF(ISERROR(VALUE(B131)),VLOOKUP(B131,dagsoorttabel1,2,FALSE)*dagenperjaar1,VALUE(B131)))</f>
        <v>3</v>
      </c>
      <c r="D131" s="51" t="s">
        <v>708</v>
      </c>
      <c r="E131" s="51" t="s">
        <v>936</v>
      </c>
      <c r="F131" s="51" t="s">
        <v>844</v>
      </c>
      <c r="G131" s="140">
        <v>40</v>
      </c>
      <c r="H131" s="149">
        <f>Glas!G7</f>
        <v>0</v>
      </c>
      <c r="I131" s="142"/>
      <c r="J131" s="149">
        <f>Glas!I7</f>
        <v>0</v>
      </c>
      <c r="K131" s="55">
        <f>IF(ISBLANK(G131),0,G131)*ROUND(J131,2)</f>
        <v>0</v>
      </c>
      <c r="L131" s="55">
        <f>C131*K131</f>
        <v>0</v>
      </c>
      <c r="M131" s="55">
        <f>L131/12</f>
        <v>0</v>
      </c>
    </row>
    <row r="132" spans="1:13" x14ac:dyDescent="0.2">
      <c r="A132" s="56" t="s">
        <v>937</v>
      </c>
      <c r="B132" s="56" t="s">
        <v>27</v>
      </c>
      <c r="C132" s="57">
        <f>IF(ISBLANK(B132),0,IF(ISERROR(VALUE(B132)),VLOOKUP(B132,dagsoorttabel1,2,FALSE)*dagenperjaar1,VALUE(B132)))</f>
        <v>3</v>
      </c>
      <c r="D132" s="56" t="s">
        <v>708</v>
      </c>
      <c r="E132" s="56" t="s">
        <v>938</v>
      </c>
      <c r="F132" s="56" t="s">
        <v>844</v>
      </c>
      <c r="G132" s="143">
        <v>40</v>
      </c>
      <c r="H132" s="150">
        <f>Glas!G9</f>
        <v>0</v>
      </c>
      <c r="I132" s="145"/>
      <c r="J132" s="150">
        <f>Glas!I9</f>
        <v>0</v>
      </c>
      <c r="K132" s="60">
        <f>IF(ISBLANK(G132),0,G132)*ROUND(J132,2)</f>
        <v>0</v>
      </c>
      <c r="L132" s="60">
        <f>C132*K132</f>
        <v>0</v>
      </c>
      <c r="M132" s="60">
        <f>L132/12</f>
        <v>0</v>
      </c>
    </row>
    <row r="133" spans="1:13" x14ac:dyDescent="0.2">
      <c r="A133" s="61" t="s">
        <v>939</v>
      </c>
      <c r="B133" s="61" t="s">
        <v>27</v>
      </c>
      <c r="C133" s="62">
        <f>IF(ISBLANK(B133),0,IF(ISERROR(VALUE(B133)),VLOOKUP(B133,dagsoorttabel1,2,FALSE)*dagenperjaar1,VALUE(B133)))</f>
        <v>3</v>
      </c>
      <c r="D133" s="61" t="s">
        <v>708</v>
      </c>
      <c r="E133" s="61" t="s">
        <v>940</v>
      </c>
      <c r="F133" s="61" t="s">
        <v>844</v>
      </c>
      <c r="G133" s="146">
        <v>10</v>
      </c>
      <c r="H133" s="151">
        <f>Glas!G11</f>
        <v>0</v>
      </c>
      <c r="I133" s="148"/>
      <c r="J133" s="151">
        <f>Glas!I11</f>
        <v>0</v>
      </c>
      <c r="K133" s="65">
        <f>IF(ISBLANK(G133),0,G133)*ROUND(J133,2)</f>
        <v>0</v>
      </c>
      <c r="L133" s="65">
        <f>C133*K133</f>
        <v>0</v>
      </c>
      <c r="M133" s="65">
        <f>L133/12</f>
        <v>0</v>
      </c>
    </row>
    <row r="134" spans="1:13" x14ac:dyDescent="0.2">
      <c r="A134" s="139" t="s">
        <v>998</v>
      </c>
      <c r="B134" s="79"/>
      <c r="C134" s="79"/>
      <c r="D134" s="79"/>
      <c r="E134" s="79"/>
      <c r="F134" s="79"/>
      <c r="G134" s="79"/>
      <c r="H134" s="79"/>
      <c r="I134" s="79"/>
      <c r="J134" s="79"/>
      <c r="K134" s="81">
        <f>SUM(K131:K133)</f>
        <v>0</v>
      </c>
      <c r="L134" s="81">
        <f>SUM(L131:L133)</f>
        <v>0</v>
      </c>
      <c r="M134" s="134">
        <f>L134/12</f>
        <v>0</v>
      </c>
    </row>
    <row r="136" spans="1:13" x14ac:dyDescent="0.2">
      <c r="A136" s="135" t="s">
        <v>634</v>
      </c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136"/>
    </row>
    <row r="137" spans="1:13" x14ac:dyDescent="0.2">
      <c r="A137" s="51" t="s">
        <v>935</v>
      </c>
      <c r="B137" s="51" t="s">
        <v>27</v>
      </c>
      <c r="C137" s="52">
        <f>IF(ISBLANK(B137),0,IF(ISERROR(VALUE(B137)),VLOOKUP(B137,dagsoorttabel1,2,FALSE)*dagenperjaar1,VALUE(B137)))</f>
        <v>3</v>
      </c>
      <c r="D137" s="51" t="s">
        <v>708</v>
      </c>
      <c r="E137" s="51" t="s">
        <v>936</v>
      </c>
      <c r="F137" s="51" t="s">
        <v>844</v>
      </c>
      <c r="G137" s="140">
        <v>186</v>
      </c>
      <c r="H137" s="149">
        <f>Glas!G7</f>
        <v>0</v>
      </c>
      <c r="I137" s="142"/>
      <c r="J137" s="149">
        <f>Glas!I7</f>
        <v>0</v>
      </c>
      <c r="K137" s="55">
        <f>IF(ISBLANK(G137),0,G137)*ROUND(J137,2)</f>
        <v>0</v>
      </c>
      <c r="L137" s="55">
        <f>C137*K137</f>
        <v>0</v>
      </c>
      <c r="M137" s="55">
        <f>L137/12</f>
        <v>0</v>
      </c>
    </row>
    <row r="138" spans="1:13" x14ac:dyDescent="0.2">
      <c r="A138" s="56" t="s">
        <v>937</v>
      </c>
      <c r="B138" s="56" t="s">
        <v>27</v>
      </c>
      <c r="C138" s="57">
        <f>IF(ISBLANK(B138),0,IF(ISERROR(VALUE(B138)),VLOOKUP(B138,dagsoorttabel1,2,FALSE)*dagenperjaar1,VALUE(B138)))</f>
        <v>3</v>
      </c>
      <c r="D138" s="56" t="s">
        <v>708</v>
      </c>
      <c r="E138" s="56" t="s">
        <v>938</v>
      </c>
      <c r="F138" s="56" t="s">
        <v>844</v>
      </c>
      <c r="G138" s="143">
        <v>186</v>
      </c>
      <c r="H138" s="150">
        <f>Glas!G9</f>
        <v>0</v>
      </c>
      <c r="I138" s="145"/>
      <c r="J138" s="150">
        <f>Glas!I9</f>
        <v>0</v>
      </c>
      <c r="K138" s="60">
        <f>IF(ISBLANK(G138),0,G138)*ROUND(J138,2)</f>
        <v>0</v>
      </c>
      <c r="L138" s="60">
        <f>C138*K138</f>
        <v>0</v>
      </c>
      <c r="M138" s="60">
        <f>L138/12</f>
        <v>0</v>
      </c>
    </row>
    <row r="139" spans="1:13" x14ac:dyDescent="0.2">
      <c r="A139" s="61" t="s">
        <v>939</v>
      </c>
      <c r="B139" s="61" t="s">
        <v>27</v>
      </c>
      <c r="C139" s="62">
        <f>IF(ISBLANK(B139),0,IF(ISERROR(VALUE(B139)),VLOOKUP(B139,dagsoorttabel1,2,FALSE)*dagenperjaar1,VALUE(B139)))</f>
        <v>3</v>
      </c>
      <c r="D139" s="61" t="s">
        <v>708</v>
      </c>
      <c r="E139" s="61" t="s">
        <v>940</v>
      </c>
      <c r="F139" s="61" t="s">
        <v>844</v>
      </c>
      <c r="G139" s="146">
        <v>42</v>
      </c>
      <c r="H139" s="151">
        <f>Glas!G11</f>
        <v>0</v>
      </c>
      <c r="I139" s="148"/>
      <c r="J139" s="151">
        <f>Glas!I11</f>
        <v>0</v>
      </c>
      <c r="K139" s="65">
        <f>IF(ISBLANK(G139),0,G139)*ROUND(J139,2)</f>
        <v>0</v>
      </c>
      <c r="L139" s="65">
        <f>C139*K139</f>
        <v>0</v>
      </c>
      <c r="M139" s="65">
        <f>L139/12</f>
        <v>0</v>
      </c>
    </row>
    <row r="140" spans="1:13" x14ac:dyDescent="0.2">
      <c r="A140" s="139" t="s">
        <v>804</v>
      </c>
      <c r="B140" s="79"/>
      <c r="C140" s="79"/>
      <c r="D140" s="79"/>
      <c r="E140" s="79"/>
      <c r="F140" s="79"/>
      <c r="G140" s="79"/>
      <c r="H140" s="79"/>
      <c r="I140" s="79"/>
      <c r="J140" s="79"/>
      <c r="K140" s="81">
        <f>SUM(K137:K139)</f>
        <v>0</v>
      </c>
      <c r="L140" s="81">
        <f>SUM(L137:L139)</f>
        <v>0</v>
      </c>
      <c r="M140" s="134">
        <f>L140/12</f>
        <v>0</v>
      </c>
    </row>
    <row r="142" spans="1:13" x14ac:dyDescent="0.2">
      <c r="A142" s="135" t="s">
        <v>643</v>
      </c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136"/>
    </row>
    <row r="143" spans="1:13" x14ac:dyDescent="0.2">
      <c r="A143" s="51" t="s">
        <v>935</v>
      </c>
      <c r="B143" s="51" t="s">
        <v>27</v>
      </c>
      <c r="C143" s="52">
        <f>IF(ISBLANK(B143),0,IF(ISERROR(VALUE(B143)),VLOOKUP(B143,dagsoorttabel1,2,FALSE)*dagenperjaar1,VALUE(B143)))</f>
        <v>3</v>
      </c>
      <c r="D143" s="51" t="s">
        <v>708</v>
      </c>
      <c r="E143" s="51" t="s">
        <v>936</v>
      </c>
      <c r="F143" s="51" t="s">
        <v>844</v>
      </c>
      <c r="G143" s="140">
        <v>51</v>
      </c>
      <c r="H143" s="149">
        <f>Glas!G7</f>
        <v>0</v>
      </c>
      <c r="I143" s="142"/>
      <c r="J143" s="149">
        <f>Glas!I7</f>
        <v>0</v>
      </c>
      <c r="K143" s="55">
        <f>IF(ISBLANK(G143),0,G143)*ROUND(J143,2)</f>
        <v>0</v>
      </c>
      <c r="L143" s="55">
        <f>C143*K143</f>
        <v>0</v>
      </c>
      <c r="M143" s="55">
        <f>L143/12</f>
        <v>0</v>
      </c>
    </row>
    <row r="144" spans="1:13" x14ac:dyDescent="0.2">
      <c r="A144" s="56" t="s">
        <v>937</v>
      </c>
      <c r="B144" s="56" t="s">
        <v>27</v>
      </c>
      <c r="C144" s="57">
        <f>IF(ISBLANK(B144),0,IF(ISERROR(VALUE(B144)),VLOOKUP(B144,dagsoorttabel1,2,FALSE)*dagenperjaar1,VALUE(B144)))</f>
        <v>3</v>
      </c>
      <c r="D144" s="56" t="s">
        <v>708</v>
      </c>
      <c r="E144" s="56" t="s">
        <v>938</v>
      </c>
      <c r="F144" s="56" t="s">
        <v>844</v>
      </c>
      <c r="G144" s="143">
        <v>51</v>
      </c>
      <c r="H144" s="150">
        <f>Glas!G9</f>
        <v>0</v>
      </c>
      <c r="I144" s="145"/>
      <c r="J144" s="150">
        <f>Glas!I9</f>
        <v>0</v>
      </c>
      <c r="K144" s="60">
        <f>IF(ISBLANK(G144),0,G144)*ROUND(J144,2)</f>
        <v>0</v>
      </c>
      <c r="L144" s="60">
        <f>C144*K144</f>
        <v>0</v>
      </c>
      <c r="M144" s="60">
        <f>L144/12</f>
        <v>0</v>
      </c>
    </row>
    <row r="145" spans="1:13" x14ac:dyDescent="0.2">
      <c r="A145" s="61" t="s">
        <v>939</v>
      </c>
      <c r="B145" s="61" t="s">
        <v>27</v>
      </c>
      <c r="C145" s="62">
        <f>IF(ISBLANK(B145),0,IF(ISERROR(VALUE(B145)),VLOOKUP(B145,dagsoorttabel1,2,FALSE)*dagenperjaar1,VALUE(B145)))</f>
        <v>3</v>
      </c>
      <c r="D145" s="61" t="s">
        <v>708</v>
      </c>
      <c r="E145" s="61" t="s">
        <v>940</v>
      </c>
      <c r="F145" s="61" t="s">
        <v>844</v>
      </c>
      <c r="G145" s="146">
        <v>16</v>
      </c>
      <c r="H145" s="151">
        <f>Glas!G11</f>
        <v>0</v>
      </c>
      <c r="I145" s="148"/>
      <c r="J145" s="151">
        <f>Glas!I11</f>
        <v>0</v>
      </c>
      <c r="K145" s="65">
        <f>IF(ISBLANK(G145),0,G145)*ROUND(J145,2)</f>
        <v>0</v>
      </c>
      <c r="L145" s="65">
        <f>C145*K145</f>
        <v>0</v>
      </c>
      <c r="M145" s="65">
        <f>L145/12</f>
        <v>0</v>
      </c>
    </row>
    <row r="146" spans="1:13" x14ac:dyDescent="0.2">
      <c r="A146" s="139" t="s">
        <v>805</v>
      </c>
      <c r="B146" s="79"/>
      <c r="C146" s="79"/>
      <c r="D146" s="79"/>
      <c r="E146" s="79"/>
      <c r="F146" s="79"/>
      <c r="G146" s="79"/>
      <c r="H146" s="79"/>
      <c r="I146" s="79"/>
      <c r="J146" s="79"/>
      <c r="K146" s="81">
        <f>SUM(K143:K145)</f>
        <v>0</v>
      </c>
      <c r="L146" s="81">
        <f>SUM(L143:L145)</f>
        <v>0</v>
      </c>
      <c r="M146" s="134">
        <f>L146/12</f>
        <v>0</v>
      </c>
    </row>
    <row r="148" spans="1:13" x14ac:dyDescent="0.2">
      <c r="A148" s="135" t="s">
        <v>646</v>
      </c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136"/>
    </row>
    <row r="149" spans="1:13" x14ac:dyDescent="0.2">
      <c r="A149" s="51" t="s">
        <v>935</v>
      </c>
      <c r="B149" s="51" t="s">
        <v>27</v>
      </c>
      <c r="C149" s="52">
        <f>IF(ISBLANK(B149),0,IF(ISERROR(VALUE(B149)),VLOOKUP(B149,dagsoorttabel1,2,FALSE)*dagenperjaar1,VALUE(B149)))</f>
        <v>3</v>
      </c>
      <c r="D149" s="51" t="s">
        <v>708</v>
      </c>
      <c r="E149" s="51" t="s">
        <v>936</v>
      </c>
      <c r="F149" s="51" t="s">
        <v>844</v>
      </c>
      <c r="G149" s="140">
        <v>89</v>
      </c>
      <c r="H149" s="149">
        <f>Glas!G7</f>
        <v>0</v>
      </c>
      <c r="I149" s="142"/>
      <c r="J149" s="149">
        <f>Glas!I7</f>
        <v>0</v>
      </c>
      <c r="K149" s="55">
        <f>IF(ISBLANK(G149),0,G149)*ROUND(J149,2)</f>
        <v>0</v>
      </c>
      <c r="L149" s="55">
        <f>C149*K149</f>
        <v>0</v>
      </c>
      <c r="M149" s="55">
        <f>L149/12</f>
        <v>0</v>
      </c>
    </row>
    <row r="150" spans="1:13" x14ac:dyDescent="0.2">
      <c r="A150" s="61" t="s">
        <v>937</v>
      </c>
      <c r="B150" s="61" t="s">
        <v>27</v>
      </c>
      <c r="C150" s="62">
        <f>IF(ISBLANK(B150),0,IF(ISERROR(VALUE(B150)),VLOOKUP(B150,dagsoorttabel1,2,FALSE)*dagenperjaar1,VALUE(B150)))</f>
        <v>3</v>
      </c>
      <c r="D150" s="61" t="s">
        <v>708</v>
      </c>
      <c r="E150" s="61" t="s">
        <v>938</v>
      </c>
      <c r="F150" s="61" t="s">
        <v>844</v>
      </c>
      <c r="G150" s="146">
        <v>89</v>
      </c>
      <c r="H150" s="151">
        <f>Glas!G9</f>
        <v>0</v>
      </c>
      <c r="I150" s="148"/>
      <c r="J150" s="151">
        <f>Glas!I9</f>
        <v>0</v>
      </c>
      <c r="K150" s="65">
        <f>IF(ISBLANK(G150),0,G150)*ROUND(J150,2)</f>
        <v>0</v>
      </c>
      <c r="L150" s="65">
        <f>C150*K150</f>
        <v>0</v>
      </c>
      <c r="M150" s="65">
        <f>L150/12</f>
        <v>0</v>
      </c>
    </row>
    <row r="151" spans="1:13" x14ac:dyDescent="0.2">
      <c r="A151" s="139" t="s">
        <v>806</v>
      </c>
      <c r="B151" s="79"/>
      <c r="C151" s="79"/>
      <c r="D151" s="79"/>
      <c r="E151" s="79"/>
      <c r="F151" s="79"/>
      <c r="G151" s="79"/>
      <c r="H151" s="79"/>
      <c r="I151" s="79"/>
      <c r="J151" s="79"/>
      <c r="K151" s="81">
        <f>SUM(K149:K150)</f>
        <v>0</v>
      </c>
      <c r="L151" s="81">
        <f>SUM(L149:L150)</f>
        <v>0</v>
      </c>
      <c r="M151" s="134">
        <f>L151/12</f>
        <v>0</v>
      </c>
    </row>
    <row r="153" spans="1:13" x14ac:dyDescent="0.2">
      <c r="A153" s="135" t="s">
        <v>648</v>
      </c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136"/>
    </row>
    <row r="154" spans="1:13" x14ac:dyDescent="0.2">
      <c r="A154" s="51" t="s">
        <v>935</v>
      </c>
      <c r="B154" s="51" t="s">
        <v>27</v>
      </c>
      <c r="C154" s="52">
        <f>IF(ISBLANK(B154),0,IF(ISERROR(VALUE(B154)),VLOOKUP(B154,dagsoorttabel1,2,FALSE)*dagenperjaar1,VALUE(B154)))</f>
        <v>3</v>
      </c>
      <c r="D154" s="51" t="s">
        <v>708</v>
      </c>
      <c r="E154" s="51" t="s">
        <v>936</v>
      </c>
      <c r="F154" s="51" t="s">
        <v>844</v>
      </c>
      <c r="G154" s="140">
        <v>102</v>
      </c>
      <c r="H154" s="149">
        <f>Glas!G7</f>
        <v>0</v>
      </c>
      <c r="I154" s="142"/>
      <c r="J154" s="149">
        <f>Glas!I7</f>
        <v>0</v>
      </c>
      <c r="K154" s="55">
        <f>IF(ISBLANK(G154),0,G154)*ROUND(J154,2)</f>
        <v>0</v>
      </c>
      <c r="L154" s="55">
        <f>C154*K154</f>
        <v>0</v>
      </c>
      <c r="M154" s="55">
        <f>L154/12</f>
        <v>0</v>
      </c>
    </row>
    <row r="155" spans="1:13" x14ac:dyDescent="0.2">
      <c r="A155" s="56" t="s">
        <v>937</v>
      </c>
      <c r="B155" s="56" t="s">
        <v>27</v>
      </c>
      <c r="C155" s="57">
        <f>IF(ISBLANK(B155),0,IF(ISERROR(VALUE(B155)),VLOOKUP(B155,dagsoorttabel1,2,FALSE)*dagenperjaar1,VALUE(B155)))</f>
        <v>3</v>
      </c>
      <c r="D155" s="56" t="s">
        <v>708</v>
      </c>
      <c r="E155" s="56" t="s">
        <v>938</v>
      </c>
      <c r="F155" s="56" t="s">
        <v>844</v>
      </c>
      <c r="G155" s="143">
        <v>102</v>
      </c>
      <c r="H155" s="150">
        <f>Glas!G9</f>
        <v>0</v>
      </c>
      <c r="I155" s="145"/>
      <c r="J155" s="150">
        <f>Glas!I9</f>
        <v>0</v>
      </c>
      <c r="K155" s="60">
        <f>IF(ISBLANK(G155),0,G155)*ROUND(J155,2)</f>
        <v>0</v>
      </c>
      <c r="L155" s="60">
        <f>C155*K155</f>
        <v>0</v>
      </c>
      <c r="M155" s="60">
        <f>L155/12</f>
        <v>0</v>
      </c>
    </row>
    <row r="156" spans="1:13" x14ac:dyDescent="0.2">
      <c r="A156" s="61" t="s">
        <v>939</v>
      </c>
      <c r="B156" s="61" t="s">
        <v>27</v>
      </c>
      <c r="C156" s="62">
        <f>IF(ISBLANK(B156),0,IF(ISERROR(VALUE(B156)),VLOOKUP(B156,dagsoorttabel1,2,FALSE)*dagenperjaar1,VALUE(B156)))</f>
        <v>3</v>
      </c>
      <c r="D156" s="61" t="s">
        <v>708</v>
      </c>
      <c r="E156" s="61" t="s">
        <v>940</v>
      </c>
      <c r="F156" s="61" t="s">
        <v>844</v>
      </c>
      <c r="G156" s="146">
        <v>4</v>
      </c>
      <c r="H156" s="151">
        <f>Glas!G11</f>
        <v>0</v>
      </c>
      <c r="I156" s="148"/>
      <c r="J156" s="151">
        <f>Glas!I11</f>
        <v>0</v>
      </c>
      <c r="K156" s="65">
        <f>IF(ISBLANK(G156),0,G156)*ROUND(J156,2)</f>
        <v>0</v>
      </c>
      <c r="L156" s="65">
        <f>C156*K156</f>
        <v>0</v>
      </c>
      <c r="M156" s="65">
        <f>L156/12</f>
        <v>0</v>
      </c>
    </row>
    <row r="157" spans="1:13" x14ac:dyDescent="0.2">
      <c r="A157" s="139" t="s">
        <v>999</v>
      </c>
      <c r="B157" s="79"/>
      <c r="C157" s="79"/>
      <c r="D157" s="79"/>
      <c r="E157" s="79"/>
      <c r="F157" s="79"/>
      <c r="G157" s="79"/>
      <c r="H157" s="79"/>
      <c r="I157" s="79"/>
      <c r="J157" s="79"/>
      <c r="K157" s="81">
        <f>SUM(K154:K156)</f>
        <v>0</v>
      </c>
      <c r="L157" s="81">
        <f>SUM(L154:L156)</f>
        <v>0</v>
      </c>
      <c r="M157" s="134">
        <f>L157/12</f>
        <v>0</v>
      </c>
    </row>
    <row r="159" spans="1:13" x14ac:dyDescent="0.2">
      <c r="A159" s="135" t="s">
        <v>650</v>
      </c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136"/>
    </row>
    <row r="160" spans="1:13" x14ac:dyDescent="0.2">
      <c r="A160" s="51" t="s">
        <v>935</v>
      </c>
      <c r="B160" s="51" t="s">
        <v>27</v>
      </c>
      <c r="C160" s="52">
        <f>IF(ISBLANK(B160),0,IF(ISERROR(VALUE(B160)),VLOOKUP(B160,dagsoorttabel1,2,FALSE)*dagenperjaar1,VALUE(B160)))</f>
        <v>3</v>
      </c>
      <c r="D160" s="51" t="s">
        <v>708</v>
      </c>
      <c r="E160" s="51" t="s">
        <v>936</v>
      </c>
      <c r="F160" s="51" t="s">
        <v>844</v>
      </c>
      <c r="G160" s="140">
        <v>6</v>
      </c>
      <c r="H160" s="149">
        <f>Glas!G7</f>
        <v>0</v>
      </c>
      <c r="I160" s="142"/>
      <c r="J160" s="149">
        <f>Glas!I7</f>
        <v>0</v>
      </c>
      <c r="K160" s="55">
        <f>IF(ISBLANK(G160),0,G160)*ROUND(J160,2)</f>
        <v>0</v>
      </c>
      <c r="L160" s="55">
        <f>C160*K160</f>
        <v>0</v>
      </c>
      <c r="M160" s="55">
        <f>L160/12</f>
        <v>0</v>
      </c>
    </row>
    <row r="161" spans="1:13" x14ac:dyDescent="0.2">
      <c r="A161" s="56" t="s">
        <v>937</v>
      </c>
      <c r="B161" s="56" t="s">
        <v>27</v>
      </c>
      <c r="C161" s="57">
        <f>IF(ISBLANK(B161),0,IF(ISERROR(VALUE(B161)),VLOOKUP(B161,dagsoorttabel1,2,FALSE)*dagenperjaar1,VALUE(B161)))</f>
        <v>3</v>
      </c>
      <c r="D161" s="56" t="s">
        <v>708</v>
      </c>
      <c r="E161" s="56" t="s">
        <v>938</v>
      </c>
      <c r="F161" s="56" t="s">
        <v>844</v>
      </c>
      <c r="G161" s="143">
        <v>6</v>
      </c>
      <c r="H161" s="150">
        <f>Glas!G9</f>
        <v>0</v>
      </c>
      <c r="I161" s="145"/>
      <c r="J161" s="150">
        <f>Glas!I9</f>
        <v>0</v>
      </c>
      <c r="K161" s="60">
        <f>IF(ISBLANK(G161),0,G161)*ROUND(J161,2)</f>
        <v>0</v>
      </c>
      <c r="L161" s="60">
        <f>C161*K161</f>
        <v>0</v>
      </c>
      <c r="M161" s="60">
        <f>L161/12</f>
        <v>0</v>
      </c>
    </row>
    <row r="162" spans="1:13" x14ac:dyDescent="0.2">
      <c r="A162" s="61" t="s">
        <v>939</v>
      </c>
      <c r="B162" s="61" t="s">
        <v>27</v>
      </c>
      <c r="C162" s="62">
        <f>IF(ISBLANK(B162),0,IF(ISERROR(VALUE(B162)),VLOOKUP(B162,dagsoorttabel1,2,FALSE)*dagenperjaar1,VALUE(B162)))</f>
        <v>3</v>
      </c>
      <c r="D162" s="61" t="s">
        <v>708</v>
      </c>
      <c r="E162" s="61" t="s">
        <v>940</v>
      </c>
      <c r="F162" s="61" t="s">
        <v>844</v>
      </c>
      <c r="G162" s="146">
        <v>2</v>
      </c>
      <c r="H162" s="151">
        <f>Glas!G11</f>
        <v>0</v>
      </c>
      <c r="I162" s="148"/>
      <c r="J162" s="151">
        <f>Glas!I11</f>
        <v>0</v>
      </c>
      <c r="K162" s="65">
        <f>IF(ISBLANK(G162),0,G162)*ROUND(J162,2)</f>
        <v>0</v>
      </c>
      <c r="L162" s="65">
        <f>C162*K162</f>
        <v>0</v>
      </c>
      <c r="M162" s="65">
        <f>L162/12</f>
        <v>0</v>
      </c>
    </row>
    <row r="163" spans="1:13" x14ac:dyDescent="0.2">
      <c r="A163" s="139" t="s">
        <v>807</v>
      </c>
      <c r="B163" s="79"/>
      <c r="C163" s="79"/>
      <c r="D163" s="79"/>
      <c r="E163" s="79"/>
      <c r="F163" s="79"/>
      <c r="G163" s="79"/>
      <c r="H163" s="79"/>
      <c r="I163" s="79"/>
      <c r="J163" s="79"/>
      <c r="K163" s="81">
        <f>SUM(K160:K162)</f>
        <v>0</v>
      </c>
      <c r="L163" s="81">
        <f>SUM(L160:L162)</f>
        <v>0</v>
      </c>
      <c r="M163" s="134">
        <f>L163/12</f>
        <v>0</v>
      </c>
    </row>
  </sheetData>
  <sheetProtection algorithmName="SHA-512" hashValue="xZn8L5fzchPCzz6S8P/XO6rXK0D3sFBulkBIWwIQHANVPFPnzHappTwsO0MALMv9o+KCZCYobg1W/tJuKI9IUQ==" saltValue="Dd2XKKsBa3jCnTPdOryxcg==" spinCount="100000" sheet="1" objects="1" scenarios="1" autoFilter="0"/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6789F-4380-48C7-A00C-C9A07DE39816}">
  <dimension ref="A1:D9"/>
  <sheetViews>
    <sheetView tabSelected="1" workbookViewId="0"/>
  </sheetViews>
  <sheetFormatPr defaultRowHeight="12.6" x14ac:dyDescent="0.2"/>
  <cols>
    <col min="1" max="1" width="30.6328125" customWidth="1"/>
    <col min="2" max="4" width="20.6328125" customWidth="1"/>
  </cols>
  <sheetData>
    <row r="1" spans="1:4" x14ac:dyDescent="0.2">
      <c r="A1" s="1" t="str">
        <f>CONCATENATE("Bijlage F.2.14: ",tabeltype," totaalblad schoonmaakwerk")</f>
        <v>Bijlage F.2.14: Invultabel totaalblad schoonmaakwerk</v>
      </c>
    </row>
    <row r="3" spans="1:4" ht="25.2" x14ac:dyDescent="0.2">
      <c r="A3" s="40" t="s">
        <v>1000</v>
      </c>
      <c r="B3" s="40" t="s">
        <v>1001</v>
      </c>
      <c r="C3" s="40" t="s">
        <v>1002</v>
      </c>
      <c r="D3" s="40" t="s">
        <v>1003</v>
      </c>
    </row>
    <row r="4" spans="1:4" x14ac:dyDescent="0.2">
      <c r="A4" s="152" t="s">
        <v>1004</v>
      </c>
      <c r="B4" s="69">
        <f>urenjaartotaaloverzicht</f>
        <v>110</v>
      </c>
      <c r="C4" s="69">
        <f>urenjaartotaaloverzichthf</f>
        <v>0</v>
      </c>
      <c r="D4" s="55">
        <f>prijsjaartotaaloverzicht</f>
        <v>0</v>
      </c>
    </row>
    <row r="5" spans="1:4" x14ac:dyDescent="0.2">
      <c r="A5" s="153" t="s">
        <v>1005</v>
      </c>
      <c r="B5" s="154"/>
      <c r="C5" s="154"/>
      <c r="D5" s="60">
        <f>prijsjaaradditioneel</f>
        <v>0</v>
      </c>
    </row>
    <row r="6" spans="1:4" x14ac:dyDescent="0.2">
      <c r="A6" s="153" t="s">
        <v>1006</v>
      </c>
      <c r="B6" s="154"/>
      <c r="C6" s="154"/>
      <c r="D6" s="60">
        <f>prijsjaarafroep</f>
        <v>0</v>
      </c>
    </row>
    <row r="7" spans="1:4" x14ac:dyDescent="0.2">
      <c r="A7" s="155" t="s">
        <v>1007</v>
      </c>
      <c r="B7" s="156"/>
      <c r="C7" s="156"/>
      <c r="D7" s="65">
        <f>prijsjaarglas</f>
        <v>0</v>
      </c>
    </row>
    <row r="9" spans="1:4" x14ac:dyDescent="0.2">
      <c r="A9" s="40" t="s">
        <v>1008</v>
      </c>
      <c r="B9" s="80">
        <f>SUM(B4:B7)</f>
        <v>110</v>
      </c>
      <c r="C9" s="80">
        <f>SUM(C4:C7)</f>
        <v>0</v>
      </c>
      <c r="D9" s="81">
        <f>SUM(D4:D7)</f>
        <v>0</v>
      </c>
    </row>
  </sheetData>
  <sheetProtection algorithmName="SHA-512" hashValue="uspj0zSIDvN+KWoXmfRToX7cWDPJia+k4LbF7iNu3S4dLkhtcWoktLKktVfak/BPE6k8LY6ELVEyCL1Iu/mMRg==" saltValue="WiQs9Y8VWh8AiiUmR+lPFw==" spinCount="100000" sheet="1" objects="1" scenarios="1" autoFilter="0"/>
  <pageMargins left="0.7" right="0.7" top="0.75" bottom="0.75" header="0.3" footer="0.3"/>
  <pageSetup scale="70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70BEC-19D0-4518-808B-D43033D53235}">
  <dimension ref="A1:O53"/>
  <sheetViews>
    <sheetView workbookViewId="0"/>
  </sheetViews>
  <sheetFormatPr defaultRowHeight="12.6" x14ac:dyDescent="0.2"/>
  <cols>
    <col min="1" max="1" width="40.6328125" customWidth="1"/>
    <col min="2" max="2" width="8.1796875" customWidth="1"/>
    <col min="3" max="3" width="10.6328125" customWidth="1"/>
    <col min="4" max="4" width="8.1796875" customWidth="1"/>
    <col min="5" max="5" width="10.6328125" customWidth="1"/>
    <col min="6" max="6" width="8.1796875" customWidth="1"/>
    <col min="7" max="7" width="10.6328125" customWidth="1"/>
    <col min="8" max="8" width="8.1796875" customWidth="1"/>
    <col min="9" max="9" width="10.6328125" customWidth="1"/>
    <col min="10" max="10" width="8.1796875" customWidth="1"/>
    <col min="11" max="11" width="10.6328125" customWidth="1"/>
    <col min="12" max="12" width="8.1796875" customWidth="1"/>
    <col min="13" max="13" width="10.6328125" customWidth="1"/>
    <col min="14" max="14" width="8.1796875" customWidth="1"/>
    <col min="15" max="15" width="10.6328125" customWidth="1"/>
  </cols>
  <sheetData>
    <row r="1" spans="1:15" x14ac:dyDescent="0.2">
      <c r="A1" s="1" t="s">
        <v>37</v>
      </c>
    </row>
    <row r="3" spans="1:15" x14ac:dyDescent="0.2">
      <c r="A3" s="8"/>
      <c r="B3" s="9" t="s">
        <v>38</v>
      </c>
      <c r="C3" s="9"/>
      <c r="D3" s="9" t="s">
        <v>38</v>
      </c>
      <c r="E3" s="9"/>
      <c r="F3" s="9" t="s">
        <v>38</v>
      </c>
      <c r="G3" s="9"/>
      <c r="H3" s="9" t="s">
        <v>38</v>
      </c>
      <c r="I3" s="9"/>
      <c r="J3" s="9" t="s">
        <v>38</v>
      </c>
      <c r="K3" s="9"/>
      <c r="L3" s="9" t="s">
        <v>39</v>
      </c>
      <c r="M3" s="9"/>
      <c r="N3" s="9" t="s">
        <v>39</v>
      </c>
      <c r="O3" s="10"/>
    </row>
    <row r="4" spans="1:15" x14ac:dyDescent="0.2">
      <c r="A4" s="11"/>
      <c r="B4" s="12" t="s">
        <v>40</v>
      </c>
      <c r="C4" s="12"/>
      <c r="D4" s="12" t="s">
        <v>40</v>
      </c>
      <c r="E4" s="12"/>
      <c r="F4" s="12" t="s">
        <v>40</v>
      </c>
      <c r="G4" s="12"/>
      <c r="H4" s="12" t="s">
        <v>41</v>
      </c>
      <c r="I4" s="12"/>
      <c r="J4" s="12" t="s">
        <v>41</v>
      </c>
      <c r="K4" s="12"/>
      <c r="L4" s="12" t="s">
        <v>40</v>
      </c>
      <c r="M4" s="12"/>
      <c r="N4" s="12" t="s">
        <v>41</v>
      </c>
      <c r="O4" s="13"/>
    </row>
    <row r="5" spans="1:15" ht="25.2" customHeight="1" x14ac:dyDescent="0.2">
      <c r="A5" s="14" t="s">
        <v>42</v>
      </c>
      <c r="B5" s="15" t="s">
        <v>43</v>
      </c>
      <c r="C5" s="15"/>
      <c r="D5" s="15" t="s">
        <v>43</v>
      </c>
      <c r="E5" s="15"/>
      <c r="F5" s="15" t="s">
        <v>44</v>
      </c>
      <c r="G5" s="15"/>
      <c r="H5" s="15" t="s">
        <v>45</v>
      </c>
      <c r="I5" s="15"/>
      <c r="J5" s="15" t="s">
        <v>45</v>
      </c>
      <c r="K5" s="15"/>
      <c r="L5" s="15" t="s">
        <v>46</v>
      </c>
      <c r="M5" s="15"/>
      <c r="N5" s="15" t="s">
        <v>47</v>
      </c>
      <c r="O5" s="16"/>
    </row>
    <row r="6" spans="1:15" ht="37.799999999999997" customHeight="1" x14ac:dyDescent="0.2">
      <c r="A6" s="17" t="s">
        <v>48</v>
      </c>
      <c r="B6" s="15" t="s">
        <v>49</v>
      </c>
      <c r="C6" s="15"/>
      <c r="D6" s="15" t="s">
        <v>50</v>
      </c>
      <c r="E6" s="15"/>
      <c r="F6" s="15" t="s">
        <v>51</v>
      </c>
      <c r="G6" s="15"/>
      <c r="H6" s="15" t="s">
        <v>51</v>
      </c>
      <c r="I6" s="15"/>
      <c r="J6" s="15" t="s">
        <v>52</v>
      </c>
      <c r="K6" s="15"/>
      <c r="L6" s="15" t="s">
        <v>50</v>
      </c>
      <c r="M6" s="15"/>
      <c r="N6" s="15" t="s">
        <v>50</v>
      </c>
      <c r="O6" s="16"/>
    </row>
    <row r="7" spans="1:15" x14ac:dyDescent="0.2">
      <c r="A7" s="18" t="s">
        <v>53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20"/>
    </row>
    <row r="8" spans="1:15" x14ac:dyDescent="0.2">
      <c r="A8" s="18" t="s">
        <v>54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/>
    </row>
    <row r="9" spans="1:15" x14ac:dyDescent="0.2">
      <c r="A9" s="11" t="s">
        <v>55</v>
      </c>
      <c r="B9" s="21">
        <f>SUM(B7:B8)</f>
        <v>0</v>
      </c>
      <c r="C9" s="21"/>
      <c r="D9" s="21">
        <f>SUM(D7:D8)</f>
        <v>0</v>
      </c>
      <c r="E9" s="21"/>
      <c r="F9" s="21">
        <f>SUM(F7:F8)</f>
        <v>0</v>
      </c>
      <c r="G9" s="21"/>
      <c r="H9" s="21">
        <f>SUM(H7:H8)</f>
        <v>0</v>
      </c>
      <c r="I9" s="21"/>
      <c r="J9" s="21">
        <f>SUM(J7:J8)</f>
        <v>0</v>
      </c>
      <c r="K9" s="21"/>
      <c r="L9" s="21">
        <f>SUM(L7:L8)</f>
        <v>0</v>
      </c>
      <c r="M9" s="21"/>
      <c r="N9" s="21">
        <f>SUM(N7:N8)</f>
        <v>0</v>
      </c>
      <c r="O9" s="22"/>
    </row>
    <row r="10" spans="1:15" x14ac:dyDescent="0.2">
      <c r="A10" s="18" t="s">
        <v>56</v>
      </c>
      <c r="B10" s="23"/>
      <c r="C10" s="24">
        <f>TariefOpbouwBasisloon1*B10</f>
        <v>0</v>
      </c>
      <c r="D10" s="23"/>
      <c r="E10" s="24">
        <f>TariefOpbouwBasisloon2*D10</f>
        <v>0</v>
      </c>
      <c r="F10" s="23"/>
      <c r="G10" s="24">
        <f>TariefOpbouwBasisloon3*F10</f>
        <v>0</v>
      </c>
      <c r="H10" s="23"/>
      <c r="I10" s="24">
        <f>TariefOpbouwBasisloon4*H10</f>
        <v>0</v>
      </c>
      <c r="J10" s="23"/>
      <c r="K10" s="24">
        <f>TariefOpbouwBasisloon5*J10</f>
        <v>0</v>
      </c>
      <c r="L10" s="23"/>
      <c r="M10" s="24">
        <f>TariefOpbouwBasisloon6*L10</f>
        <v>0</v>
      </c>
      <c r="N10" s="23"/>
      <c r="O10" s="25">
        <f>TariefOpbouwBasisloon7*N10</f>
        <v>0</v>
      </c>
    </row>
    <row r="11" spans="1:15" x14ac:dyDescent="0.2">
      <c r="A11" s="18" t="s">
        <v>57</v>
      </c>
      <c r="B11" s="23"/>
      <c r="C11" s="24">
        <f>TariefOpbouwBasisloon1*B11</f>
        <v>0</v>
      </c>
      <c r="D11" s="23"/>
      <c r="E11" s="24">
        <f>TariefOpbouwBasisloon2*D11</f>
        <v>0</v>
      </c>
      <c r="F11" s="23"/>
      <c r="G11" s="24">
        <f>TariefOpbouwBasisloon3*F11</f>
        <v>0</v>
      </c>
      <c r="H11" s="23"/>
      <c r="I11" s="24">
        <f>TariefOpbouwBasisloon4*H11</f>
        <v>0</v>
      </c>
      <c r="J11" s="23"/>
      <c r="K11" s="24">
        <f>TariefOpbouwBasisloon5*J11</f>
        <v>0</v>
      </c>
      <c r="L11" s="23"/>
      <c r="M11" s="24">
        <f>TariefOpbouwBasisloon6*L11</f>
        <v>0</v>
      </c>
      <c r="N11" s="23"/>
      <c r="O11" s="25">
        <f>TariefOpbouwBasisloon7*N11</f>
        <v>0</v>
      </c>
    </row>
    <row r="12" spans="1:15" x14ac:dyDescent="0.2">
      <c r="A12" s="11" t="s">
        <v>58</v>
      </c>
      <c r="B12" s="21">
        <f>SUM(TariefOpbouwBasisloon1,C10:C11)</f>
        <v>0</v>
      </c>
      <c r="C12" s="21"/>
      <c r="D12" s="21">
        <f>SUM(TariefOpbouwBasisloon2,E10:E11)</f>
        <v>0</v>
      </c>
      <c r="E12" s="21"/>
      <c r="F12" s="21">
        <f>SUM(TariefOpbouwBasisloon3,G10:G11)</f>
        <v>0</v>
      </c>
      <c r="G12" s="21"/>
      <c r="H12" s="21">
        <f>SUM(TariefOpbouwBasisloon4,I10:I11)</f>
        <v>0</v>
      </c>
      <c r="I12" s="21"/>
      <c r="J12" s="21">
        <f>SUM(TariefOpbouwBasisloon5,K10:K11)</f>
        <v>0</v>
      </c>
      <c r="K12" s="21"/>
      <c r="L12" s="21">
        <f>SUM(TariefOpbouwBasisloon6,M10:M11)</f>
        <v>0</v>
      </c>
      <c r="M12" s="21"/>
      <c r="N12" s="21">
        <f>SUM(TariefOpbouwBasisloon7,O10:O11)</f>
        <v>0</v>
      </c>
      <c r="O12" s="22"/>
    </row>
    <row r="13" spans="1:15" x14ac:dyDescent="0.2">
      <c r="A13" s="18" t="s">
        <v>59</v>
      </c>
      <c r="B13" s="23"/>
      <c r="C13" s="24">
        <f>TariefOpbouwUurloon1*B13</f>
        <v>0</v>
      </c>
      <c r="D13" s="23"/>
      <c r="E13" s="24">
        <f>TariefOpbouwUurloon2*D13</f>
        <v>0</v>
      </c>
      <c r="F13" s="23"/>
      <c r="G13" s="24">
        <f>TariefOpbouwUurloon3*F13</f>
        <v>0</v>
      </c>
      <c r="H13" s="23"/>
      <c r="I13" s="24">
        <f>TariefOpbouwUurloon4*H13</f>
        <v>0</v>
      </c>
      <c r="J13" s="23"/>
      <c r="K13" s="24">
        <f>TariefOpbouwUurloon5*J13</f>
        <v>0</v>
      </c>
      <c r="L13" s="23"/>
      <c r="M13" s="24">
        <f>TariefOpbouwUurloon6*L13</f>
        <v>0</v>
      </c>
      <c r="N13" s="23"/>
      <c r="O13" s="25">
        <f>TariefOpbouwUurloon7*N13</f>
        <v>0</v>
      </c>
    </row>
    <row r="14" spans="1:15" x14ac:dyDescent="0.2">
      <c r="A14" s="11" t="s">
        <v>60</v>
      </c>
      <c r="B14" s="21">
        <f>SUM(TariefOpbouwUurloon1,C13:C13)</f>
        <v>0</v>
      </c>
      <c r="C14" s="21"/>
      <c r="D14" s="21">
        <f>SUM(TariefOpbouwUurloon2,E13:E13)</f>
        <v>0</v>
      </c>
      <c r="E14" s="21"/>
      <c r="F14" s="21">
        <f>SUM(TariefOpbouwUurloon3,G13:G13)</f>
        <v>0</v>
      </c>
      <c r="G14" s="21"/>
      <c r="H14" s="21">
        <f>SUM(TariefOpbouwUurloon4,I13:I13)</f>
        <v>0</v>
      </c>
      <c r="I14" s="21"/>
      <c r="J14" s="21">
        <f>SUM(TariefOpbouwUurloon5,K13:K13)</f>
        <v>0</v>
      </c>
      <c r="K14" s="21"/>
      <c r="L14" s="21">
        <f>SUM(TariefOpbouwUurloon6,M13:M13)</f>
        <v>0</v>
      </c>
      <c r="M14" s="21"/>
      <c r="N14" s="21">
        <f>SUM(TariefOpbouwUurloon7,O13:O13)</f>
        <v>0</v>
      </c>
      <c r="O14" s="22"/>
    </row>
    <row r="15" spans="1:15" x14ac:dyDescent="0.2">
      <c r="A15" s="18" t="s">
        <v>61</v>
      </c>
      <c r="B15" s="23"/>
      <c r="C15" s="24">
        <f>TariefOpbouwUurloonkosten1*B15</f>
        <v>0</v>
      </c>
      <c r="D15" s="23"/>
      <c r="E15" s="24">
        <f>TariefOpbouwUurloonkosten2*D15</f>
        <v>0</v>
      </c>
      <c r="F15" s="23"/>
      <c r="G15" s="24">
        <f>TariefOpbouwUurloonkosten3*F15</f>
        <v>0</v>
      </c>
      <c r="H15" s="23"/>
      <c r="I15" s="24">
        <f>TariefOpbouwUurloonkosten4*H15</f>
        <v>0</v>
      </c>
      <c r="J15" s="23"/>
      <c r="K15" s="24">
        <f>TariefOpbouwUurloonkosten5*J15</f>
        <v>0</v>
      </c>
      <c r="L15" s="23"/>
      <c r="M15" s="24">
        <f>TariefOpbouwUurloonkosten6*L15</f>
        <v>0</v>
      </c>
      <c r="N15" s="23"/>
      <c r="O15" s="25">
        <f>TariefOpbouwUurloonkosten7*N15</f>
        <v>0</v>
      </c>
    </row>
    <row r="16" spans="1:15" x14ac:dyDescent="0.2">
      <c r="A16" s="18" t="s">
        <v>62</v>
      </c>
      <c r="B16" s="23"/>
      <c r="C16" s="24">
        <f>TariefOpbouwUurloonkosten1*B16</f>
        <v>0</v>
      </c>
      <c r="D16" s="23"/>
      <c r="E16" s="24">
        <f>TariefOpbouwUurloonkosten2*D16</f>
        <v>0</v>
      </c>
      <c r="F16" s="23"/>
      <c r="G16" s="24">
        <f>TariefOpbouwUurloonkosten3*F16</f>
        <v>0</v>
      </c>
      <c r="H16" s="23"/>
      <c r="I16" s="24">
        <f>TariefOpbouwUurloonkosten4*H16</f>
        <v>0</v>
      </c>
      <c r="J16" s="23"/>
      <c r="K16" s="24">
        <f>TariefOpbouwUurloonkosten5*J16</f>
        <v>0</v>
      </c>
      <c r="L16" s="23"/>
      <c r="M16" s="24">
        <f>TariefOpbouwUurloonkosten6*L16</f>
        <v>0</v>
      </c>
      <c r="N16" s="23"/>
      <c r="O16" s="25">
        <f>TariefOpbouwUurloonkosten7*N16</f>
        <v>0</v>
      </c>
    </row>
    <row r="17" spans="1:15" x14ac:dyDescent="0.2">
      <c r="A17" s="18" t="s">
        <v>63</v>
      </c>
      <c r="B17" s="23"/>
      <c r="C17" s="24">
        <f>TariefOpbouwUurloonkosten1*B17</f>
        <v>0</v>
      </c>
      <c r="D17" s="23"/>
      <c r="E17" s="24">
        <f>TariefOpbouwUurloonkosten2*D17</f>
        <v>0</v>
      </c>
      <c r="F17" s="23"/>
      <c r="G17" s="24">
        <f>TariefOpbouwUurloonkosten3*F17</f>
        <v>0</v>
      </c>
      <c r="H17" s="23"/>
      <c r="I17" s="24">
        <f>TariefOpbouwUurloonkosten4*H17</f>
        <v>0</v>
      </c>
      <c r="J17" s="23"/>
      <c r="K17" s="24">
        <f>TariefOpbouwUurloonkosten5*J17</f>
        <v>0</v>
      </c>
      <c r="L17" s="23"/>
      <c r="M17" s="24">
        <f>TariefOpbouwUurloonkosten6*L17</f>
        <v>0</v>
      </c>
      <c r="N17" s="23"/>
      <c r="O17" s="25">
        <f>TariefOpbouwUurloonkosten7*N17</f>
        <v>0</v>
      </c>
    </row>
    <row r="18" spans="1:15" x14ac:dyDescent="0.2">
      <c r="A18" s="18" t="s">
        <v>64</v>
      </c>
      <c r="B18" s="23"/>
      <c r="C18" s="24">
        <f>TariefOpbouwUurloonkosten1*B18</f>
        <v>0</v>
      </c>
      <c r="D18" s="23"/>
      <c r="E18" s="24">
        <f>TariefOpbouwUurloonkosten2*D18</f>
        <v>0</v>
      </c>
      <c r="F18" s="23"/>
      <c r="G18" s="24">
        <f>TariefOpbouwUurloonkosten3*F18</f>
        <v>0</v>
      </c>
      <c r="H18" s="23"/>
      <c r="I18" s="24">
        <f>TariefOpbouwUurloonkosten4*H18</f>
        <v>0</v>
      </c>
      <c r="J18" s="23"/>
      <c r="K18" s="24">
        <f>TariefOpbouwUurloonkosten5*J18</f>
        <v>0</v>
      </c>
      <c r="L18" s="23"/>
      <c r="M18" s="24">
        <f>TariefOpbouwUurloonkosten6*L18</f>
        <v>0</v>
      </c>
      <c r="N18" s="23"/>
      <c r="O18" s="25">
        <f>TariefOpbouwUurloonkosten7*N18</f>
        <v>0</v>
      </c>
    </row>
    <row r="19" spans="1:15" x14ac:dyDescent="0.2">
      <c r="A19" s="11" t="s">
        <v>65</v>
      </c>
      <c r="B19" s="21">
        <f>SUM(TariefOpbouwUurloonkosten1,C15:C18)</f>
        <v>0</v>
      </c>
      <c r="C19" s="21"/>
      <c r="D19" s="21">
        <f>SUM(TariefOpbouwUurloonkosten2,E15:E18)</f>
        <v>0</v>
      </c>
      <c r="E19" s="21"/>
      <c r="F19" s="21">
        <f>SUM(TariefOpbouwUurloonkosten3,G15:G18)</f>
        <v>0</v>
      </c>
      <c r="G19" s="21"/>
      <c r="H19" s="21">
        <f>SUM(TariefOpbouwUurloonkosten4,I15:I18)</f>
        <v>0</v>
      </c>
      <c r="I19" s="21"/>
      <c r="J19" s="21">
        <f>SUM(TariefOpbouwUurloonkosten5,K15:K18)</f>
        <v>0</v>
      </c>
      <c r="K19" s="21"/>
      <c r="L19" s="21">
        <f>SUM(TariefOpbouwUurloonkosten6,M15:M18)</f>
        <v>0</v>
      </c>
      <c r="M19" s="21"/>
      <c r="N19" s="21">
        <f>SUM(TariefOpbouwUurloonkosten7,O15:O18)</f>
        <v>0</v>
      </c>
      <c r="O19" s="22"/>
    </row>
    <row r="20" spans="1:15" x14ac:dyDescent="0.2">
      <c r="A20" s="18" t="s">
        <v>66</v>
      </c>
      <c r="B20" s="23"/>
      <c r="C20" s="24">
        <f>TariefOpbouwTotaalLoonkosten1*B20</f>
        <v>0</v>
      </c>
      <c r="D20" s="23"/>
      <c r="E20" s="24">
        <f>TariefOpbouwTotaalLoonkosten2*D20</f>
        <v>0</v>
      </c>
      <c r="F20" s="23"/>
      <c r="G20" s="24">
        <f>TariefOpbouwTotaalLoonkosten3*F20</f>
        <v>0</v>
      </c>
      <c r="H20" s="23"/>
      <c r="I20" s="24">
        <f>TariefOpbouwTotaalLoonkosten4*H20</f>
        <v>0</v>
      </c>
      <c r="J20" s="23"/>
      <c r="K20" s="24">
        <f>TariefOpbouwTotaalLoonkosten5*J20</f>
        <v>0</v>
      </c>
      <c r="L20" s="23"/>
      <c r="M20" s="24">
        <f>TariefOpbouwTotaalLoonkosten6*L20</f>
        <v>0</v>
      </c>
      <c r="N20" s="23"/>
      <c r="O20" s="25">
        <f>TariefOpbouwTotaalLoonkosten7*N20</f>
        <v>0</v>
      </c>
    </row>
    <row r="21" spans="1:15" x14ac:dyDescent="0.2">
      <c r="A21" s="18" t="s">
        <v>67</v>
      </c>
      <c r="B21" s="23"/>
      <c r="C21" s="24">
        <f>TariefOpbouwTotaalLoonkosten1*B21</f>
        <v>0</v>
      </c>
      <c r="D21" s="23"/>
      <c r="E21" s="24">
        <f>TariefOpbouwTotaalLoonkosten2*D21</f>
        <v>0</v>
      </c>
      <c r="F21" s="23"/>
      <c r="G21" s="24">
        <f>TariefOpbouwTotaalLoonkosten3*F21</f>
        <v>0</v>
      </c>
      <c r="H21" s="23"/>
      <c r="I21" s="24">
        <f>TariefOpbouwTotaalLoonkosten4*H21</f>
        <v>0</v>
      </c>
      <c r="J21" s="23"/>
      <c r="K21" s="24">
        <f>TariefOpbouwTotaalLoonkosten5*J21</f>
        <v>0</v>
      </c>
      <c r="L21" s="23"/>
      <c r="M21" s="24">
        <f>TariefOpbouwTotaalLoonkosten6*L21</f>
        <v>0</v>
      </c>
      <c r="N21" s="23"/>
      <c r="O21" s="25">
        <f>TariefOpbouwTotaalLoonkosten7*N21</f>
        <v>0</v>
      </c>
    </row>
    <row r="22" spans="1:15" x14ac:dyDescent="0.2">
      <c r="A22" s="18" t="s">
        <v>68</v>
      </c>
      <c r="B22" s="23"/>
      <c r="C22" s="24">
        <f>TariefOpbouwTotaalLoonkosten1*B22</f>
        <v>0</v>
      </c>
      <c r="D22" s="23"/>
      <c r="E22" s="24">
        <f>TariefOpbouwTotaalLoonkosten2*D22</f>
        <v>0</v>
      </c>
      <c r="F22" s="23"/>
      <c r="G22" s="24">
        <f>TariefOpbouwTotaalLoonkosten3*F22</f>
        <v>0</v>
      </c>
      <c r="H22" s="23"/>
      <c r="I22" s="24">
        <f>TariefOpbouwTotaalLoonkosten4*H22</f>
        <v>0</v>
      </c>
      <c r="J22" s="23"/>
      <c r="K22" s="24">
        <f>TariefOpbouwTotaalLoonkosten5*J22</f>
        <v>0</v>
      </c>
      <c r="L22" s="23"/>
      <c r="M22" s="24">
        <f>TariefOpbouwTotaalLoonkosten6*L22</f>
        <v>0</v>
      </c>
      <c r="N22" s="23"/>
      <c r="O22" s="25">
        <f>TariefOpbouwTotaalLoonkosten7*N22</f>
        <v>0</v>
      </c>
    </row>
    <row r="23" spans="1:15" x14ac:dyDescent="0.2">
      <c r="A23" s="18" t="s">
        <v>69</v>
      </c>
      <c r="B23" s="23"/>
      <c r="C23" s="24">
        <f>TariefOpbouwTotaalLoonkosten1*B23</f>
        <v>0</v>
      </c>
      <c r="D23" s="23"/>
      <c r="E23" s="24">
        <f>TariefOpbouwTotaalLoonkosten2*D23</f>
        <v>0</v>
      </c>
      <c r="F23" s="23"/>
      <c r="G23" s="24">
        <f>TariefOpbouwTotaalLoonkosten3*F23</f>
        <v>0</v>
      </c>
      <c r="H23" s="23"/>
      <c r="I23" s="24">
        <f>TariefOpbouwTotaalLoonkosten4*H23</f>
        <v>0</v>
      </c>
      <c r="J23" s="23"/>
      <c r="K23" s="24">
        <f>TariefOpbouwTotaalLoonkosten5*J23</f>
        <v>0</v>
      </c>
      <c r="L23" s="23"/>
      <c r="M23" s="24">
        <f>TariefOpbouwTotaalLoonkosten6*L23</f>
        <v>0</v>
      </c>
      <c r="N23" s="23"/>
      <c r="O23" s="25">
        <f>TariefOpbouwTotaalLoonkosten7*N23</f>
        <v>0</v>
      </c>
    </row>
    <row r="24" spans="1:15" x14ac:dyDescent="0.2">
      <c r="A24" s="18" t="s">
        <v>70</v>
      </c>
      <c r="B24" s="23"/>
      <c r="C24" s="24">
        <f>TariefOpbouwTotaalLoonkosten1*B24</f>
        <v>0</v>
      </c>
      <c r="D24" s="23"/>
      <c r="E24" s="24">
        <f>TariefOpbouwTotaalLoonkosten2*D24</f>
        <v>0</v>
      </c>
      <c r="F24" s="23"/>
      <c r="G24" s="24">
        <f>TariefOpbouwTotaalLoonkosten3*F24</f>
        <v>0</v>
      </c>
      <c r="H24" s="23"/>
      <c r="I24" s="24">
        <f>TariefOpbouwTotaalLoonkosten4*H24</f>
        <v>0</v>
      </c>
      <c r="J24" s="23"/>
      <c r="K24" s="24">
        <f>TariefOpbouwTotaalLoonkosten5*J24</f>
        <v>0</v>
      </c>
      <c r="L24" s="23"/>
      <c r="M24" s="24">
        <f>TariefOpbouwTotaalLoonkosten6*L24</f>
        <v>0</v>
      </c>
      <c r="N24" s="23"/>
      <c r="O24" s="25">
        <f>TariefOpbouwTotaalLoonkosten7*N24</f>
        <v>0</v>
      </c>
    </row>
    <row r="25" spans="1:15" x14ac:dyDescent="0.2">
      <c r="A25" s="18" t="s">
        <v>71</v>
      </c>
      <c r="B25" s="23"/>
      <c r="C25" s="24">
        <f>TariefOpbouwTotaalLoonkosten1*B25</f>
        <v>0</v>
      </c>
      <c r="D25" s="23"/>
      <c r="E25" s="24">
        <f>TariefOpbouwTotaalLoonkosten2*D25</f>
        <v>0</v>
      </c>
      <c r="F25" s="23"/>
      <c r="G25" s="24">
        <f>TariefOpbouwTotaalLoonkosten3*F25</f>
        <v>0</v>
      </c>
      <c r="H25" s="23"/>
      <c r="I25" s="24">
        <f>TariefOpbouwTotaalLoonkosten4*H25</f>
        <v>0</v>
      </c>
      <c r="J25" s="23"/>
      <c r="K25" s="24">
        <f>TariefOpbouwTotaalLoonkosten5*J25</f>
        <v>0</v>
      </c>
      <c r="L25" s="23"/>
      <c r="M25" s="24">
        <f>TariefOpbouwTotaalLoonkosten6*L25</f>
        <v>0</v>
      </c>
      <c r="N25" s="23"/>
      <c r="O25" s="25">
        <f>TariefOpbouwTotaalLoonkosten7*N25</f>
        <v>0</v>
      </c>
    </row>
    <row r="26" spans="1:15" x14ac:dyDescent="0.2">
      <c r="A26" s="11" t="s">
        <v>72</v>
      </c>
      <c r="B26" s="21">
        <f>SUM(TariefOpbouwTotaalLoonkosten1,C20:C25)</f>
        <v>0</v>
      </c>
      <c r="C26" s="21"/>
      <c r="D26" s="21">
        <f>SUM(TariefOpbouwTotaalLoonkosten2,E20:E25)</f>
        <v>0</v>
      </c>
      <c r="E26" s="21"/>
      <c r="F26" s="21">
        <f>SUM(TariefOpbouwTotaalLoonkosten3,G20:G25)</f>
        <v>0</v>
      </c>
      <c r="G26" s="21"/>
      <c r="H26" s="21">
        <f>SUM(TariefOpbouwTotaalLoonkosten4,I20:I25)</f>
        <v>0</v>
      </c>
      <c r="I26" s="21"/>
      <c r="J26" s="21">
        <f>SUM(TariefOpbouwTotaalLoonkosten5,K20:K25)</f>
        <v>0</v>
      </c>
      <c r="K26" s="21"/>
      <c r="L26" s="21">
        <f>SUM(TariefOpbouwTotaalLoonkosten6,M20:M25)</f>
        <v>0</v>
      </c>
      <c r="M26" s="21"/>
      <c r="N26" s="21">
        <f>SUM(TariefOpbouwTotaalLoonkosten7,O20:O25)</f>
        <v>0</v>
      </c>
      <c r="O26" s="22"/>
    </row>
    <row r="27" spans="1:15" x14ac:dyDescent="0.2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</row>
    <row r="28" spans="1:15" x14ac:dyDescent="0.2">
      <c r="A28" s="18" t="s">
        <v>73</v>
      </c>
      <c r="B28" s="23"/>
      <c r="C28" s="24">
        <f>TariefOpbouwDirecteKosten1*B28</f>
        <v>0</v>
      </c>
      <c r="D28" s="23"/>
      <c r="E28" s="24">
        <f>TariefOpbouwDirecteKosten2*D28</f>
        <v>0</v>
      </c>
      <c r="F28" s="23"/>
      <c r="G28" s="24">
        <f>TariefOpbouwDirecteKosten3*F28</f>
        <v>0</v>
      </c>
      <c r="H28" s="23"/>
      <c r="I28" s="24">
        <f>TariefOpbouwDirecteKosten4*H28</f>
        <v>0</v>
      </c>
      <c r="J28" s="23"/>
      <c r="K28" s="24">
        <f>TariefOpbouwDirecteKosten5*J28</f>
        <v>0</v>
      </c>
      <c r="L28" s="23"/>
      <c r="M28" s="24">
        <f>TariefOpbouwDirecteKosten6*L28</f>
        <v>0</v>
      </c>
      <c r="N28" s="23"/>
      <c r="O28" s="25">
        <f>TariefOpbouwDirecteKosten7*N28</f>
        <v>0</v>
      </c>
    </row>
    <row r="29" spans="1:15" x14ac:dyDescent="0.2">
      <c r="A29" s="18" t="s">
        <v>74</v>
      </c>
      <c r="B29" s="23"/>
      <c r="C29" s="24">
        <f>TariefOpbouwDirecteKosten1*B29</f>
        <v>0</v>
      </c>
      <c r="D29" s="23"/>
      <c r="E29" s="24">
        <f>TariefOpbouwDirecteKosten2*D29</f>
        <v>0</v>
      </c>
      <c r="F29" s="23"/>
      <c r="G29" s="24">
        <f>TariefOpbouwDirecteKosten3*F29</f>
        <v>0</v>
      </c>
      <c r="H29" s="23"/>
      <c r="I29" s="24">
        <f>TariefOpbouwDirecteKosten4*H29</f>
        <v>0</v>
      </c>
      <c r="J29" s="23"/>
      <c r="K29" s="24">
        <f>TariefOpbouwDirecteKosten5*J29</f>
        <v>0</v>
      </c>
      <c r="L29" s="23"/>
      <c r="M29" s="24">
        <f>TariefOpbouwDirecteKosten6*L29</f>
        <v>0</v>
      </c>
      <c r="N29" s="23"/>
      <c r="O29" s="25">
        <f>TariefOpbouwDirecteKosten7*N29</f>
        <v>0</v>
      </c>
    </row>
    <row r="30" spans="1:15" x14ac:dyDescent="0.2">
      <c r="A30" s="18" t="s">
        <v>75</v>
      </c>
      <c r="B30" s="23"/>
      <c r="C30" s="24">
        <f>TariefOpbouwDirecteKosten1*B30</f>
        <v>0</v>
      </c>
      <c r="D30" s="23"/>
      <c r="E30" s="24">
        <f>TariefOpbouwDirecteKosten2*D30</f>
        <v>0</v>
      </c>
      <c r="F30" s="23"/>
      <c r="G30" s="24">
        <f>TariefOpbouwDirecteKosten3*F30</f>
        <v>0</v>
      </c>
      <c r="H30" s="23"/>
      <c r="I30" s="24">
        <f>TariefOpbouwDirecteKosten4*H30</f>
        <v>0</v>
      </c>
      <c r="J30" s="23"/>
      <c r="K30" s="24">
        <f>TariefOpbouwDirecteKosten5*J30</f>
        <v>0</v>
      </c>
      <c r="L30" s="23"/>
      <c r="M30" s="24">
        <f>TariefOpbouwDirecteKosten6*L30</f>
        <v>0</v>
      </c>
      <c r="N30" s="23"/>
      <c r="O30" s="25">
        <f>TariefOpbouwDirecteKosten7*N30</f>
        <v>0</v>
      </c>
    </row>
    <row r="31" spans="1:15" x14ac:dyDescent="0.2">
      <c r="A31" s="18" t="s">
        <v>76</v>
      </c>
      <c r="B31" s="23"/>
      <c r="C31" s="24">
        <f>TariefOpbouwDirecteKosten1*B31</f>
        <v>0</v>
      </c>
      <c r="D31" s="23"/>
      <c r="E31" s="24">
        <f>TariefOpbouwDirecteKosten2*D31</f>
        <v>0</v>
      </c>
      <c r="F31" s="23"/>
      <c r="G31" s="24">
        <f>TariefOpbouwDirecteKosten3*F31</f>
        <v>0</v>
      </c>
      <c r="H31" s="23"/>
      <c r="I31" s="24">
        <f>TariefOpbouwDirecteKosten4*H31</f>
        <v>0</v>
      </c>
      <c r="J31" s="23"/>
      <c r="K31" s="24">
        <f>TariefOpbouwDirecteKosten5*J31</f>
        <v>0</v>
      </c>
      <c r="L31" s="23"/>
      <c r="M31" s="24">
        <f>TariefOpbouwDirecteKosten6*L31</f>
        <v>0</v>
      </c>
      <c r="N31" s="23"/>
      <c r="O31" s="25">
        <f>TariefOpbouwDirecteKosten7*N31</f>
        <v>0</v>
      </c>
    </row>
    <row r="32" spans="1:15" x14ac:dyDescent="0.2">
      <c r="A32" s="18" t="s">
        <v>77</v>
      </c>
      <c r="B32" s="23"/>
      <c r="C32" s="24">
        <f>TariefOpbouwDirecteKosten1*B32</f>
        <v>0</v>
      </c>
      <c r="D32" s="23"/>
      <c r="E32" s="24">
        <f>TariefOpbouwDirecteKosten2*D32</f>
        <v>0</v>
      </c>
      <c r="F32" s="23"/>
      <c r="G32" s="24">
        <f>TariefOpbouwDirecteKosten3*F32</f>
        <v>0</v>
      </c>
      <c r="H32" s="23"/>
      <c r="I32" s="24">
        <f>TariefOpbouwDirecteKosten4*H32</f>
        <v>0</v>
      </c>
      <c r="J32" s="23"/>
      <c r="K32" s="24">
        <f>TariefOpbouwDirecteKosten5*J32</f>
        <v>0</v>
      </c>
      <c r="L32" s="23"/>
      <c r="M32" s="24">
        <f>TariefOpbouwDirecteKosten6*L32</f>
        <v>0</v>
      </c>
      <c r="N32" s="23"/>
      <c r="O32" s="25">
        <f>TariefOpbouwDirecteKosten7*N32</f>
        <v>0</v>
      </c>
    </row>
    <row r="33" spans="1:15" x14ac:dyDescent="0.2">
      <c r="A33" s="18" t="s">
        <v>78</v>
      </c>
      <c r="B33" s="23"/>
      <c r="C33" s="24">
        <f>TariefOpbouwDirecteKosten1*B33</f>
        <v>0</v>
      </c>
      <c r="D33" s="23"/>
      <c r="E33" s="24">
        <f>TariefOpbouwDirecteKosten2*D33</f>
        <v>0</v>
      </c>
      <c r="F33" s="23"/>
      <c r="G33" s="24">
        <f>TariefOpbouwDirecteKosten3*F33</f>
        <v>0</v>
      </c>
      <c r="H33" s="23"/>
      <c r="I33" s="24">
        <f>TariefOpbouwDirecteKosten4*H33</f>
        <v>0</v>
      </c>
      <c r="J33" s="23"/>
      <c r="K33" s="24">
        <f>TariefOpbouwDirecteKosten5*J33</f>
        <v>0</v>
      </c>
      <c r="L33" s="23"/>
      <c r="M33" s="24">
        <f>TariefOpbouwDirecteKosten6*L33</f>
        <v>0</v>
      </c>
      <c r="N33" s="23"/>
      <c r="O33" s="25">
        <f>TariefOpbouwDirecteKosten7*N33</f>
        <v>0</v>
      </c>
    </row>
    <row r="34" spans="1:15" x14ac:dyDescent="0.2">
      <c r="A34" s="18" t="s">
        <v>79</v>
      </c>
      <c r="B34" s="23"/>
      <c r="C34" s="24">
        <f>TariefOpbouwDirecteKosten1*B34</f>
        <v>0</v>
      </c>
      <c r="D34" s="23"/>
      <c r="E34" s="24">
        <f>TariefOpbouwDirecteKosten2*D34</f>
        <v>0</v>
      </c>
      <c r="F34" s="23"/>
      <c r="G34" s="24">
        <f>TariefOpbouwDirecteKosten3*F34</f>
        <v>0</v>
      </c>
      <c r="H34" s="23"/>
      <c r="I34" s="24">
        <f>TariefOpbouwDirecteKosten4*H34</f>
        <v>0</v>
      </c>
      <c r="J34" s="23"/>
      <c r="K34" s="24">
        <f>TariefOpbouwDirecteKosten5*J34</f>
        <v>0</v>
      </c>
      <c r="L34" s="23"/>
      <c r="M34" s="24">
        <f>TariefOpbouwDirecteKosten6*L34</f>
        <v>0</v>
      </c>
      <c r="N34" s="23"/>
      <c r="O34" s="25">
        <f>TariefOpbouwDirecteKosten7*N34</f>
        <v>0</v>
      </c>
    </row>
    <row r="35" spans="1:15" x14ac:dyDescent="0.2">
      <c r="A35" s="11" t="s">
        <v>80</v>
      </c>
      <c r="B35" s="21">
        <f>SUM(C28:C34)</f>
        <v>0</v>
      </c>
      <c r="C35" s="21"/>
      <c r="D35" s="21">
        <f>SUM(E28:E34)</f>
        <v>0</v>
      </c>
      <c r="E35" s="21"/>
      <c r="F35" s="21">
        <f>SUM(G28:G34)</f>
        <v>0</v>
      </c>
      <c r="G35" s="21"/>
      <c r="H35" s="21">
        <f>SUM(I28:I34)</f>
        <v>0</v>
      </c>
      <c r="I35" s="21"/>
      <c r="J35" s="21">
        <f>SUM(K28:K34)</f>
        <v>0</v>
      </c>
      <c r="K35" s="21"/>
      <c r="L35" s="21">
        <f>SUM(M28:M34)</f>
        <v>0</v>
      </c>
      <c r="M35" s="21"/>
      <c r="N35" s="21">
        <f>SUM(O28:O34)</f>
        <v>0</v>
      </c>
      <c r="O35" s="22"/>
    </row>
    <row r="36" spans="1:15" x14ac:dyDescent="0.2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1:15" x14ac:dyDescent="0.2">
      <c r="A37" s="11" t="s">
        <v>81</v>
      </c>
      <c r="B37" s="23"/>
      <c r="C37" s="24">
        <f>(TariefOpbouwDirecteKosten1+TariefOpbouwIndirecteKosten1)*B37</f>
        <v>0</v>
      </c>
      <c r="D37" s="23"/>
      <c r="E37" s="24">
        <f>(TariefOpbouwDirecteKosten2+TariefOpbouwIndirecteKosten2)*D37</f>
        <v>0</v>
      </c>
      <c r="F37" s="23"/>
      <c r="G37" s="24">
        <f>(TariefOpbouwDirecteKosten3+TariefOpbouwIndirecteKosten3)*F37</f>
        <v>0</v>
      </c>
      <c r="H37" s="23"/>
      <c r="I37" s="24">
        <f>(TariefOpbouwDirecteKosten4+TariefOpbouwIndirecteKosten4)*H37</f>
        <v>0</v>
      </c>
      <c r="J37" s="23"/>
      <c r="K37" s="24">
        <f>(TariefOpbouwDirecteKosten5+TariefOpbouwIndirecteKosten5)*J37</f>
        <v>0</v>
      </c>
      <c r="L37" s="23"/>
      <c r="M37" s="24">
        <f>(TariefOpbouwDirecteKosten6+TariefOpbouwIndirecteKosten6)*L37</f>
        <v>0</v>
      </c>
      <c r="N37" s="23"/>
      <c r="O37" s="25">
        <f>(TariefOpbouwDirecteKosten7+TariefOpbouwIndirecteKosten7)*N37</f>
        <v>0</v>
      </c>
    </row>
    <row r="38" spans="1:15" x14ac:dyDescent="0.2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8"/>
    </row>
    <row r="39" spans="1:15" x14ac:dyDescent="0.2">
      <c r="A39" s="11" t="s">
        <v>82</v>
      </c>
      <c r="B39" s="21">
        <f>TariefOpbouwDirecteKosten1+TariefOpbouwIndirecteKosten1+TariefOpbouwRisicoWinst1</f>
        <v>0</v>
      </c>
      <c r="C39" s="21"/>
      <c r="D39" s="21">
        <f>TariefOpbouwDirecteKosten2+TariefOpbouwIndirecteKosten2+TariefOpbouwRisicoWinst2</f>
        <v>0</v>
      </c>
      <c r="E39" s="21"/>
      <c r="F39" s="21">
        <f>TariefOpbouwDirecteKosten3+TariefOpbouwIndirecteKosten3+TariefOpbouwRisicoWinst3</f>
        <v>0</v>
      </c>
      <c r="G39" s="21"/>
      <c r="H39" s="21">
        <f>TariefOpbouwDirecteKosten4+TariefOpbouwIndirecteKosten4+TariefOpbouwRisicoWinst4</f>
        <v>0</v>
      </c>
      <c r="I39" s="21"/>
      <c r="J39" s="21">
        <f>TariefOpbouwDirecteKosten5+TariefOpbouwIndirecteKosten5+TariefOpbouwRisicoWinst5</f>
        <v>0</v>
      </c>
      <c r="K39" s="21"/>
      <c r="L39" s="21">
        <f>TariefOpbouwDirecteKosten6+TariefOpbouwIndirecteKosten6+TariefOpbouwRisicoWinst6</f>
        <v>0</v>
      </c>
      <c r="M39" s="21"/>
      <c r="N39" s="21">
        <f>TariefOpbouwDirecteKosten7+TariefOpbouwIndirecteKosten7+TariefOpbouwRisicoWinst7</f>
        <v>0</v>
      </c>
      <c r="O39" s="22"/>
    </row>
    <row r="40" spans="1:15" x14ac:dyDescent="0.2">
      <c r="A40" s="11" t="s">
        <v>83</v>
      </c>
      <c r="B40" s="29" t="s">
        <v>84</v>
      </c>
      <c r="C40" s="29" t="s">
        <v>85</v>
      </c>
      <c r="D40" s="29" t="s">
        <v>84</v>
      </c>
      <c r="E40" s="29" t="s">
        <v>85</v>
      </c>
      <c r="F40" s="29" t="s">
        <v>84</v>
      </c>
      <c r="G40" s="29" t="s">
        <v>85</v>
      </c>
      <c r="H40" s="29" t="s">
        <v>84</v>
      </c>
      <c r="I40" s="29" t="s">
        <v>85</v>
      </c>
      <c r="J40" s="29" t="s">
        <v>84</v>
      </c>
      <c r="K40" s="29" t="s">
        <v>85</v>
      </c>
      <c r="L40" s="29" t="s">
        <v>84</v>
      </c>
      <c r="M40" s="29" t="s">
        <v>85</v>
      </c>
      <c r="N40" s="29" t="s">
        <v>84</v>
      </c>
      <c r="O40" s="30" t="s">
        <v>85</v>
      </c>
    </row>
    <row r="41" spans="1:15" x14ac:dyDescent="0.2">
      <c r="A41" s="11" t="s">
        <v>86</v>
      </c>
      <c r="B41" s="31">
        <v>0.3</v>
      </c>
      <c r="C41" s="24">
        <f>((1+B41)*TariefOpbouwTotaalLoonkosten1+TariefOpbouwDirecteKosten1-TariefOpbouwTotaalLoonkosten1+TariefOpbouwIndirecteKosten1)*(1+TariefOpbouwRisicoWinstPercentage1)</f>
        <v>0</v>
      </c>
      <c r="D41" s="31">
        <v>0.3</v>
      </c>
      <c r="E41" s="24">
        <f>((1+D41)*TariefOpbouwTotaalLoonkosten2+TariefOpbouwDirecteKosten2-TariefOpbouwTotaalLoonkosten2+TariefOpbouwIndirecteKosten2)*(1+TariefOpbouwRisicoWinstPercentage2)</f>
        <v>0</v>
      </c>
      <c r="F41" s="31">
        <v>0.3</v>
      </c>
      <c r="G41" s="24">
        <f>((1+F41)*TariefOpbouwTotaalLoonkosten3+TariefOpbouwDirecteKosten3-TariefOpbouwTotaalLoonkosten3+TariefOpbouwIndirecteKosten3)*(1+TariefOpbouwRisicoWinstPercentage3)</f>
        <v>0</v>
      </c>
      <c r="H41" s="31">
        <v>0.3</v>
      </c>
      <c r="I41" s="24">
        <f>((1+H41)*TariefOpbouwTotaalLoonkosten4+TariefOpbouwDirecteKosten4-TariefOpbouwTotaalLoonkosten4+TariefOpbouwIndirecteKosten4)*(1+TariefOpbouwRisicoWinstPercentage4)</f>
        <v>0</v>
      </c>
      <c r="J41" s="31">
        <v>0.3</v>
      </c>
      <c r="K41" s="24">
        <f>((1+J41)*TariefOpbouwTotaalLoonkosten5+TariefOpbouwDirecteKosten5-TariefOpbouwTotaalLoonkosten5+TariefOpbouwIndirecteKosten5)*(1+TariefOpbouwRisicoWinstPercentage5)</f>
        <v>0</v>
      </c>
      <c r="L41" s="31">
        <v>0.3</v>
      </c>
      <c r="M41" s="24">
        <f>((1+L41)*TariefOpbouwTotaalLoonkosten6+TariefOpbouwDirecteKosten6-TariefOpbouwTotaalLoonkosten6+TariefOpbouwIndirecteKosten6)*(1+TariefOpbouwRisicoWinstPercentage6)</f>
        <v>0</v>
      </c>
      <c r="N41" s="31">
        <v>0.3</v>
      </c>
      <c r="O41" s="25">
        <f>((1+N41)*TariefOpbouwTotaalLoonkosten7+TariefOpbouwDirecteKosten7-TariefOpbouwTotaalLoonkosten7+TariefOpbouwIndirecteKosten7)*(1+TariefOpbouwRisicoWinstPercentage7)</f>
        <v>0</v>
      </c>
    </row>
    <row r="42" spans="1:15" x14ac:dyDescent="0.2">
      <c r="A42" s="11" t="s">
        <v>87</v>
      </c>
      <c r="B42" s="31">
        <v>0.5</v>
      </c>
      <c r="C42" s="24">
        <f>((1+B42)*TariefOpbouwTotaalLoonkosten1+TariefOpbouwDirecteKosten1-TariefOpbouwTotaalLoonkosten1+TariefOpbouwIndirecteKosten1)*(1+TariefOpbouwRisicoWinstPercentage1)</f>
        <v>0</v>
      </c>
      <c r="D42" s="31">
        <v>0.5</v>
      </c>
      <c r="E42" s="24">
        <f>((1+D42)*TariefOpbouwTotaalLoonkosten2+TariefOpbouwDirecteKosten2-TariefOpbouwTotaalLoonkosten2+TariefOpbouwIndirecteKosten2)*(1+TariefOpbouwRisicoWinstPercentage2)</f>
        <v>0</v>
      </c>
      <c r="F42" s="31">
        <v>0.5</v>
      </c>
      <c r="G42" s="24">
        <f>((1+F42)*TariefOpbouwTotaalLoonkosten3+TariefOpbouwDirecteKosten3-TariefOpbouwTotaalLoonkosten3+TariefOpbouwIndirecteKosten3)*(1+TariefOpbouwRisicoWinstPercentage3)</f>
        <v>0</v>
      </c>
      <c r="H42" s="31">
        <v>0.5</v>
      </c>
      <c r="I42" s="24">
        <f>((1+H42)*TariefOpbouwTotaalLoonkosten4+TariefOpbouwDirecteKosten4-TariefOpbouwTotaalLoonkosten4+TariefOpbouwIndirecteKosten4)*(1+TariefOpbouwRisicoWinstPercentage4)</f>
        <v>0</v>
      </c>
      <c r="J42" s="31">
        <v>0.5</v>
      </c>
      <c r="K42" s="24">
        <f>((1+J42)*TariefOpbouwTotaalLoonkosten5+TariefOpbouwDirecteKosten5-TariefOpbouwTotaalLoonkosten5+TariefOpbouwIndirecteKosten5)*(1+TariefOpbouwRisicoWinstPercentage5)</f>
        <v>0</v>
      </c>
      <c r="L42" s="31">
        <v>0.5</v>
      </c>
      <c r="M42" s="24">
        <f>((1+L42)*TariefOpbouwTotaalLoonkosten6+TariefOpbouwDirecteKosten6-TariefOpbouwTotaalLoonkosten6+TariefOpbouwIndirecteKosten6)*(1+TariefOpbouwRisicoWinstPercentage6)</f>
        <v>0</v>
      </c>
      <c r="N42" s="31">
        <v>0.5</v>
      </c>
      <c r="O42" s="25">
        <f>((1+N42)*TariefOpbouwTotaalLoonkosten7+TariefOpbouwDirecteKosten7-TariefOpbouwTotaalLoonkosten7+TariefOpbouwIndirecteKosten7)*(1+TariefOpbouwRisicoWinstPercentage7)</f>
        <v>0</v>
      </c>
    </row>
    <row r="43" spans="1:15" x14ac:dyDescent="0.2">
      <c r="A43" s="32" t="s">
        <v>88</v>
      </c>
      <c r="B43" s="33">
        <v>1.5</v>
      </c>
      <c r="C43" s="34">
        <f>((1+B43)*TariefOpbouwTotaalLoonkosten1+TariefOpbouwDirecteKosten1-TariefOpbouwTotaalLoonkosten1+TariefOpbouwIndirecteKosten1)*(1+TariefOpbouwRisicoWinstPercentage1)</f>
        <v>0</v>
      </c>
      <c r="D43" s="33">
        <v>1.5</v>
      </c>
      <c r="E43" s="34">
        <f>((1+D43)*TariefOpbouwTotaalLoonkosten2+TariefOpbouwDirecteKosten2-TariefOpbouwTotaalLoonkosten2+TariefOpbouwIndirecteKosten2)*(1+TariefOpbouwRisicoWinstPercentage2)</f>
        <v>0</v>
      </c>
      <c r="F43" s="33">
        <v>1.5</v>
      </c>
      <c r="G43" s="34">
        <f>((1+F43)*TariefOpbouwTotaalLoonkosten3+TariefOpbouwDirecteKosten3-TariefOpbouwTotaalLoonkosten3+TariefOpbouwIndirecteKosten3)*(1+TariefOpbouwRisicoWinstPercentage3)</f>
        <v>0</v>
      </c>
      <c r="H43" s="33">
        <v>1.5</v>
      </c>
      <c r="I43" s="34">
        <f>((1+H43)*TariefOpbouwTotaalLoonkosten4+TariefOpbouwDirecteKosten4-TariefOpbouwTotaalLoonkosten4+TariefOpbouwIndirecteKosten4)*(1+TariefOpbouwRisicoWinstPercentage4)</f>
        <v>0</v>
      </c>
      <c r="J43" s="33">
        <v>1.5</v>
      </c>
      <c r="K43" s="34">
        <f>((1+J43)*TariefOpbouwTotaalLoonkosten5+TariefOpbouwDirecteKosten5-TariefOpbouwTotaalLoonkosten5+TariefOpbouwIndirecteKosten5)*(1+TariefOpbouwRisicoWinstPercentage5)</f>
        <v>0</v>
      </c>
      <c r="L43" s="33">
        <v>1.5</v>
      </c>
      <c r="M43" s="34">
        <f>((1+L43)*TariefOpbouwTotaalLoonkosten6+TariefOpbouwDirecteKosten6-TariefOpbouwTotaalLoonkosten6+TariefOpbouwIndirecteKosten6)*(1+TariefOpbouwRisicoWinstPercentage6)</f>
        <v>0</v>
      </c>
      <c r="N43" s="33">
        <v>1.5</v>
      </c>
      <c r="O43" s="35">
        <f>((1+N43)*TariefOpbouwTotaalLoonkosten7+TariefOpbouwDirecteKosten7-TariefOpbouwTotaalLoonkosten7+TariefOpbouwIndirecteKosten7)*(1+TariefOpbouwRisicoWinstPercentage7)</f>
        <v>0</v>
      </c>
    </row>
    <row r="45" spans="1:15" x14ac:dyDescent="0.2">
      <c r="A45" s="8" t="s">
        <v>89</v>
      </c>
      <c r="B45" s="9" t="s">
        <v>90</v>
      </c>
      <c r="C45" s="9"/>
      <c r="D45" s="9" t="s">
        <v>91</v>
      </c>
      <c r="E45" s="9"/>
      <c r="F45" s="9" t="s">
        <v>92</v>
      </c>
      <c r="G45" s="10"/>
    </row>
    <row r="46" spans="1:15" x14ac:dyDescent="0.2">
      <c r="A46" s="26"/>
      <c r="B46" s="29" t="s">
        <v>93</v>
      </c>
      <c r="C46" s="29" t="s">
        <v>94</v>
      </c>
      <c r="D46" s="29" t="s">
        <v>93</v>
      </c>
      <c r="E46" s="29" t="s">
        <v>94</v>
      </c>
      <c r="F46" s="29" t="s">
        <v>93</v>
      </c>
      <c r="G46" s="30" t="s">
        <v>94</v>
      </c>
    </row>
    <row r="47" spans="1:15" x14ac:dyDescent="0.2">
      <c r="A47" s="36" t="str">
        <f>TariefOpbouwNaam1&amp;" "&amp;TariefOpbouwErvaring1</f>
        <v>Vakvolwassene &gt;3 dienstjaren</v>
      </c>
      <c r="B47" s="23"/>
      <c r="C47" s="24">
        <f>TariefOpbouwTarief1</f>
        <v>0</v>
      </c>
      <c r="D47" s="23"/>
      <c r="E47" s="24">
        <f>TariefOpbouwTarief1W</f>
        <v>0</v>
      </c>
      <c r="F47" s="23"/>
      <c r="G47" s="25">
        <f>TariefOpbouwTarief1X</f>
        <v>0</v>
      </c>
    </row>
    <row r="48" spans="1:15" x14ac:dyDescent="0.2">
      <c r="A48" s="36" t="str">
        <f>TariefOpbouwNaam2&amp;" "&amp;TariefOpbouwErvaring2</f>
        <v xml:space="preserve">Vakvolwassene </v>
      </c>
      <c r="B48" s="23"/>
      <c r="C48" s="24">
        <f>TariefOpbouwTarief2</f>
        <v>0</v>
      </c>
      <c r="D48" s="23"/>
      <c r="E48" s="24">
        <f>TariefOpbouwTarief2W</f>
        <v>0</v>
      </c>
      <c r="F48" s="23"/>
      <c r="G48" s="25">
        <f>TariefOpbouwTarief2X</f>
        <v>0</v>
      </c>
    </row>
    <row r="49" spans="1:7" x14ac:dyDescent="0.2">
      <c r="A49" s="36" t="str">
        <f>TariefOpbouwNaam3&amp;" "&amp;TariefOpbouwErvaring3</f>
        <v>Leiding (meewerkend) voorman/vrouw</v>
      </c>
      <c r="B49" s="23"/>
      <c r="C49" s="24">
        <f>TariefOpbouwTarief3</f>
        <v>0</v>
      </c>
      <c r="D49" s="23"/>
      <c r="E49" s="24">
        <f>TariefOpbouwTarief3W</f>
        <v>0</v>
      </c>
      <c r="F49" s="23"/>
      <c r="G49" s="25">
        <f>TariefOpbouwTarief3X</f>
        <v>0</v>
      </c>
    </row>
    <row r="50" spans="1:7" x14ac:dyDescent="0.2">
      <c r="A50" s="11" t="s">
        <v>95</v>
      </c>
      <c r="B50" s="37" t="str">
        <f>IF(SUM(B47:B49)=1,SUM(B47:B49),"ongeldig")</f>
        <v>ongeldig</v>
      </c>
      <c r="C50" s="24">
        <f>SUMPRODUCT(B47:B49,C47:C49)</f>
        <v>0</v>
      </c>
      <c r="D50" s="37" t="str">
        <f>IF(SUM(D47:D49)=1,SUM(D47:D49),"ongeldig")</f>
        <v>ongeldig</v>
      </c>
      <c r="E50" s="24">
        <f>SUMPRODUCT(D47:D49,E47:E49)</f>
        <v>0</v>
      </c>
      <c r="F50" s="37" t="str">
        <f>IF(SUM(F47:F49)=1,SUM(F47:F49),"ongeldig")</f>
        <v>ongeldig</v>
      </c>
      <c r="G50" s="25">
        <f>SUMPRODUCT(F47:F49,G47:G49)</f>
        <v>0</v>
      </c>
    </row>
    <row r="51" spans="1:7" x14ac:dyDescent="0.2">
      <c r="A51" s="36" t="str">
        <f>TariefOpbouwNaam4&amp;" "&amp;TariefOpbouwErvaring4</f>
        <v>Leiding (niet-meewerkend) voorman/vrouw</v>
      </c>
      <c r="B51" s="23"/>
      <c r="C51" s="24">
        <f>TariefOpbouwTarief4</f>
        <v>0</v>
      </c>
      <c r="D51" s="23"/>
      <c r="E51" s="24">
        <f>TariefOpbouwTarief4W</f>
        <v>0</v>
      </c>
      <c r="F51" s="23"/>
      <c r="G51" s="25">
        <f>TariefOpbouwTarief4X</f>
        <v>0</v>
      </c>
    </row>
    <row r="52" spans="1:7" x14ac:dyDescent="0.2">
      <c r="A52" s="36" t="str">
        <f>TariefOpbouwNaam5&amp;" "&amp;TariefOpbouwErvaring5</f>
        <v>Leiding (niet-meewerkend) objectleider</v>
      </c>
      <c r="B52" s="23"/>
      <c r="C52" s="24">
        <f>TariefOpbouwTarief5</f>
        <v>0</v>
      </c>
      <c r="D52" s="23"/>
      <c r="E52" s="24">
        <f>TariefOpbouwTarief5W</f>
        <v>0</v>
      </c>
      <c r="F52" s="23"/>
      <c r="G52" s="25">
        <f>TariefOpbouwTarief5X</f>
        <v>0</v>
      </c>
    </row>
    <row r="53" spans="1:7" x14ac:dyDescent="0.2">
      <c r="A53" s="32" t="s">
        <v>96</v>
      </c>
      <c r="B53" s="38">
        <f>TariefUitvoering1+SUMPRODUCT(B51:B52,C51:C52)</f>
        <v>0</v>
      </c>
      <c r="C53" s="38"/>
      <c r="D53" s="38">
        <f>TariefUitvoering2+SUMPRODUCT(D51:D52,E51:E52)</f>
        <v>0</v>
      </c>
      <c r="E53" s="38"/>
      <c r="F53" s="38">
        <f>TariefUitvoering3+SUMPRODUCT(F51:F52,G51:G52)</f>
        <v>0</v>
      </c>
      <c r="G53" s="39"/>
    </row>
  </sheetData>
  <sheetProtection algorithmName="SHA-512" hashValue="h8FV0QlFkNJYWBTt+FywDpZ3+kRRBohtHP0FAyhtexFUt3ggiHNsJsejqNdkO4ymr/SDR0y9wFXcoDDJjtltFg==" saltValue="2ef+bFWKra5XklacveQcXQ==" spinCount="100000" sheet="1" objects="1" scenarios="1" autoFilter="0"/>
  <mergeCells count="97">
    <mergeCell ref="N39:O39"/>
    <mergeCell ref="B45:C45"/>
    <mergeCell ref="D45:E45"/>
    <mergeCell ref="F45:G45"/>
    <mergeCell ref="B53:C53"/>
    <mergeCell ref="D53:E53"/>
    <mergeCell ref="F53:G53"/>
    <mergeCell ref="B39:C39"/>
    <mergeCell ref="D39:E39"/>
    <mergeCell ref="F39:G39"/>
    <mergeCell ref="H39:I39"/>
    <mergeCell ref="J39:K39"/>
    <mergeCell ref="L39:M39"/>
    <mergeCell ref="N26:O26"/>
    <mergeCell ref="B35:C35"/>
    <mergeCell ref="D35:E35"/>
    <mergeCell ref="F35:G35"/>
    <mergeCell ref="H35:I35"/>
    <mergeCell ref="J35:K35"/>
    <mergeCell ref="L35:M35"/>
    <mergeCell ref="N35:O35"/>
    <mergeCell ref="B26:C26"/>
    <mergeCell ref="D26:E26"/>
    <mergeCell ref="F26:G26"/>
    <mergeCell ref="H26:I26"/>
    <mergeCell ref="J26:K26"/>
    <mergeCell ref="L26:M26"/>
    <mergeCell ref="N14:O14"/>
    <mergeCell ref="B19:C19"/>
    <mergeCell ref="D19:E19"/>
    <mergeCell ref="F19:G19"/>
    <mergeCell ref="H19:I19"/>
    <mergeCell ref="J19:K19"/>
    <mergeCell ref="L19:M19"/>
    <mergeCell ref="N19:O19"/>
    <mergeCell ref="B14:C14"/>
    <mergeCell ref="D14:E14"/>
    <mergeCell ref="F14:G14"/>
    <mergeCell ref="H14:I14"/>
    <mergeCell ref="J14:K14"/>
    <mergeCell ref="L14:M14"/>
    <mergeCell ref="N9:O9"/>
    <mergeCell ref="B12:C12"/>
    <mergeCell ref="D12:E12"/>
    <mergeCell ref="F12:G12"/>
    <mergeCell ref="H12:I12"/>
    <mergeCell ref="J12:K12"/>
    <mergeCell ref="L12:M12"/>
    <mergeCell ref="N12:O12"/>
    <mergeCell ref="B9:C9"/>
    <mergeCell ref="D9:E9"/>
    <mergeCell ref="F9:G9"/>
    <mergeCell ref="H9:I9"/>
    <mergeCell ref="J9:K9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5:O5"/>
    <mergeCell ref="B6:C6"/>
    <mergeCell ref="D6:E6"/>
    <mergeCell ref="F6:G6"/>
    <mergeCell ref="H6:I6"/>
    <mergeCell ref="J6:K6"/>
    <mergeCell ref="L6:M6"/>
    <mergeCell ref="N6:O6"/>
    <mergeCell ref="B5:C5"/>
    <mergeCell ref="D5:E5"/>
    <mergeCell ref="F5:G5"/>
    <mergeCell ref="H5:I5"/>
    <mergeCell ref="J5:K5"/>
    <mergeCell ref="L5:M5"/>
    <mergeCell ref="N3:O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F9C52-A112-4010-A040-7E85C330A885}">
  <dimension ref="A1:H101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4.6328125" customWidth="1"/>
    <col min="4" max="4" width="50.6328125" customWidth="1"/>
    <col min="5" max="6" width="11.6328125" customWidth="1"/>
    <col min="7" max="7" width="9.6328125" customWidth="1"/>
    <col min="8" max="8" width="11.6328125" customWidth="1"/>
  </cols>
  <sheetData>
    <row r="1" spans="1:8" x14ac:dyDescent="0.2">
      <c r="A1" s="1" t="str">
        <f>CONCATENATE("Bijlage F.2.1: ",tabeltype," categorienormen")</f>
        <v>Bijlage F.2.1: Invultabel categorienormen</v>
      </c>
    </row>
    <row r="3" spans="1:8" ht="37.799999999999997" x14ac:dyDescent="0.2">
      <c r="A3" s="40" t="s">
        <v>97</v>
      </c>
      <c r="B3" s="40" t="s">
        <v>98</v>
      </c>
      <c r="C3" s="40" t="s">
        <v>99</v>
      </c>
      <c r="D3" s="40" t="s">
        <v>100</v>
      </c>
      <c r="E3" s="40" t="s">
        <v>101</v>
      </c>
      <c r="F3" s="40" t="s">
        <v>102</v>
      </c>
      <c r="G3" s="40" t="s">
        <v>103</v>
      </c>
      <c r="H3" s="40" t="s">
        <v>104</v>
      </c>
    </row>
    <row r="4" spans="1:8" x14ac:dyDescent="0.2">
      <c r="A4" s="41"/>
      <c r="B4" s="42"/>
      <c r="C4" s="42"/>
      <c r="D4" s="42"/>
      <c r="E4" s="42"/>
      <c r="F4" s="42"/>
      <c r="G4" s="42"/>
      <c r="H4" s="43"/>
    </row>
    <row r="5" spans="1:8" x14ac:dyDescent="0.2">
      <c r="A5" s="44" t="s">
        <v>105</v>
      </c>
      <c r="B5" s="45"/>
      <c r="C5" s="45"/>
      <c r="D5" s="45"/>
      <c r="E5" s="45"/>
      <c r="F5" s="45"/>
      <c r="G5" s="45"/>
      <c r="H5" s="46"/>
    </row>
    <row r="6" spans="1:8" x14ac:dyDescent="0.2">
      <c r="A6" s="51" t="s">
        <v>106</v>
      </c>
      <c r="B6" s="52">
        <v>1</v>
      </c>
      <c r="C6" s="51">
        <v>1</v>
      </c>
      <c r="D6" s="51" t="s">
        <v>107</v>
      </c>
      <c r="E6" s="53"/>
      <c r="F6" s="54"/>
      <c r="G6" s="51" t="s">
        <v>108</v>
      </c>
      <c r="H6" s="55">
        <f>Tariefopbouw1</f>
        <v>0</v>
      </c>
    </row>
    <row r="7" spans="1:8" x14ac:dyDescent="0.2">
      <c r="A7" s="56" t="s">
        <v>109</v>
      </c>
      <c r="B7" s="57">
        <v>1</v>
      </c>
      <c r="C7" s="56">
        <v>12</v>
      </c>
      <c r="D7" s="56" t="s">
        <v>110</v>
      </c>
      <c r="E7" s="58"/>
      <c r="F7" s="59"/>
      <c r="G7" s="56" t="s">
        <v>108</v>
      </c>
      <c r="H7" s="60">
        <f>Tariefopbouw1</f>
        <v>0</v>
      </c>
    </row>
    <row r="8" spans="1:8" x14ac:dyDescent="0.2">
      <c r="A8" s="56" t="s">
        <v>111</v>
      </c>
      <c r="B8" s="57">
        <v>1</v>
      </c>
      <c r="C8" s="56">
        <v>1</v>
      </c>
      <c r="D8" s="56" t="s">
        <v>112</v>
      </c>
      <c r="E8" s="58"/>
      <c r="F8" s="59"/>
      <c r="G8" s="56" t="s">
        <v>108</v>
      </c>
      <c r="H8" s="60">
        <f>Tariefopbouw1</f>
        <v>0</v>
      </c>
    </row>
    <row r="9" spans="1:8" x14ac:dyDescent="0.2">
      <c r="A9" s="56" t="s">
        <v>113</v>
      </c>
      <c r="B9" s="57">
        <v>1</v>
      </c>
      <c r="C9" s="56">
        <v>35</v>
      </c>
      <c r="D9" s="56" t="s">
        <v>114</v>
      </c>
      <c r="E9" s="58"/>
      <c r="F9" s="59"/>
      <c r="G9" s="56" t="s">
        <v>108</v>
      </c>
      <c r="H9" s="60">
        <f>Tariefopbouw1</f>
        <v>0</v>
      </c>
    </row>
    <row r="10" spans="1:8" x14ac:dyDescent="0.2">
      <c r="A10" s="56" t="s">
        <v>113</v>
      </c>
      <c r="B10" s="57">
        <v>1</v>
      </c>
      <c r="C10" s="56">
        <v>40</v>
      </c>
      <c r="D10" s="56" t="s">
        <v>115</v>
      </c>
      <c r="E10" s="58"/>
      <c r="F10" s="59"/>
      <c r="G10" s="56" t="s">
        <v>108</v>
      </c>
      <c r="H10" s="60">
        <f>Tariefopbouw1</f>
        <v>0</v>
      </c>
    </row>
    <row r="11" spans="1:8" x14ac:dyDescent="0.2">
      <c r="A11" s="56" t="s">
        <v>113</v>
      </c>
      <c r="B11" s="57">
        <v>1</v>
      </c>
      <c r="C11" s="56">
        <v>45</v>
      </c>
      <c r="D11" s="56" t="s">
        <v>114</v>
      </c>
      <c r="E11" s="58"/>
      <c r="F11" s="59"/>
      <c r="G11" s="56" t="s">
        <v>108</v>
      </c>
      <c r="H11" s="60">
        <f>Tariefopbouw1</f>
        <v>0</v>
      </c>
    </row>
    <row r="12" spans="1:8" x14ac:dyDescent="0.2">
      <c r="A12" s="56" t="s">
        <v>113</v>
      </c>
      <c r="B12" s="57">
        <v>1</v>
      </c>
      <c r="C12" s="56">
        <v>51</v>
      </c>
      <c r="D12" s="56" t="s">
        <v>114</v>
      </c>
      <c r="E12" s="58"/>
      <c r="F12" s="59"/>
      <c r="G12" s="56" t="s">
        <v>108</v>
      </c>
      <c r="H12" s="60">
        <f>Tariefopbouw1</f>
        <v>0</v>
      </c>
    </row>
    <row r="13" spans="1:8" x14ac:dyDescent="0.2">
      <c r="A13" s="56" t="s">
        <v>116</v>
      </c>
      <c r="B13" s="57">
        <v>1</v>
      </c>
      <c r="C13" s="56">
        <v>1</v>
      </c>
      <c r="D13" s="56" t="s">
        <v>117</v>
      </c>
      <c r="E13" s="58"/>
      <c r="F13" s="59"/>
      <c r="G13" s="56" t="s">
        <v>108</v>
      </c>
      <c r="H13" s="60">
        <f>Tariefopbouw1</f>
        <v>0</v>
      </c>
    </row>
    <row r="14" spans="1:8" x14ac:dyDescent="0.2">
      <c r="A14" s="56" t="s">
        <v>118</v>
      </c>
      <c r="B14" s="57">
        <v>1</v>
      </c>
      <c r="C14" s="56">
        <v>40</v>
      </c>
      <c r="D14" s="56" t="s">
        <v>119</v>
      </c>
      <c r="E14" s="58"/>
      <c r="F14" s="59"/>
      <c r="G14" s="56" t="s">
        <v>108</v>
      </c>
      <c r="H14" s="60">
        <f>Tariefopbouw1</f>
        <v>0</v>
      </c>
    </row>
    <row r="15" spans="1:8" x14ac:dyDescent="0.2">
      <c r="A15" s="56" t="s">
        <v>120</v>
      </c>
      <c r="B15" s="57">
        <v>1</v>
      </c>
      <c r="C15" s="56">
        <v>1</v>
      </c>
      <c r="D15" s="56" t="s">
        <v>121</v>
      </c>
      <c r="E15" s="58"/>
      <c r="F15" s="59"/>
      <c r="G15" s="56" t="s">
        <v>108</v>
      </c>
      <c r="H15" s="60">
        <f>Tariefopbouw1</f>
        <v>0</v>
      </c>
    </row>
    <row r="16" spans="1:8" x14ac:dyDescent="0.2">
      <c r="A16" s="56" t="s">
        <v>122</v>
      </c>
      <c r="B16" s="57">
        <v>1</v>
      </c>
      <c r="C16" s="56">
        <v>30</v>
      </c>
      <c r="D16" s="56" t="s">
        <v>123</v>
      </c>
      <c r="E16" s="58"/>
      <c r="F16" s="59"/>
      <c r="G16" s="56" t="s">
        <v>108</v>
      </c>
      <c r="H16" s="60">
        <f>Tariefopbouw1</f>
        <v>0</v>
      </c>
    </row>
    <row r="17" spans="1:8" x14ac:dyDescent="0.2">
      <c r="A17" s="56" t="s">
        <v>122</v>
      </c>
      <c r="B17" s="57">
        <v>1</v>
      </c>
      <c r="C17" s="56">
        <v>35</v>
      </c>
      <c r="D17" s="56" t="s">
        <v>123</v>
      </c>
      <c r="E17" s="58"/>
      <c r="F17" s="59"/>
      <c r="G17" s="56" t="s">
        <v>108</v>
      </c>
      <c r="H17" s="60">
        <f>Tariefopbouw1</f>
        <v>0</v>
      </c>
    </row>
    <row r="18" spans="1:8" x14ac:dyDescent="0.2">
      <c r="A18" s="56" t="s">
        <v>122</v>
      </c>
      <c r="B18" s="57">
        <v>1</v>
      </c>
      <c r="C18" s="56">
        <v>40</v>
      </c>
      <c r="D18" s="56" t="s">
        <v>123</v>
      </c>
      <c r="E18" s="58"/>
      <c r="F18" s="59"/>
      <c r="G18" s="56" t="s">
        <v>108</v>
      </c>
      <c r="H18" s="60">
        <f>Tariefopbouw1</f>
        <v>0</v>
      </c>
    </row>
    <row r="19" spans="1:8" x14ac:dyDescent="0.2">
      <c r="A19" s="56" t="s">
        <v>124</v>
      </c>
      <c r="B19" s="57">
        <v>1</v>
      </c>
      <c r="C19" s="56">
        <v>1</v>
      </c>
      <c r="D19" s="56" t="s">
        <v>125</v>
      </c>
      <c r="E19" s="58"/>
      <c r="F19" s="59"/>
      <c r="G19" s="56" t="s">
        <v>108</v>
      </c>
      <c r="H19" s="60">
        <f>Tariefopbouw1</f>
        <v>0</v>
      </c>
    </row>
    <row r="20" spans="1:8" x14ac:dyDescent="0.2">
      <c r="A20" s="56" t="s">
        <v>126</v>
      </c>
      <c r="B20" s="57">
        <v>1</v>
      </c>
      <c r="C20" s="56">
        <v>30</v>
      </c>
      <c r="D20" s="56" t="s">
        <v>127</v>
      </c>
      <c r="E20" s="58"/>
      <c r="F20" s="59"/>
      <c r="G20" s="56" t="s">
        <v>108</v>
      </c>
      <c r="H20" s="60">
        <f>Tariefopbouw1</f>
        <v>0</v>
      </c>
    </row>
    <row r="21" spans="1:8" x14ac:dyDescent="0.2">
      <c r="A21" s="56" t="s">
        <v>126</v>
      </c>
      <c r="B21" s="57">
        <v>1</v>
      </c>
      <c r="C21" s="56">
        <v>35</v>
      </c>
      <c r="D21" s="56" t="s">
        <v>127</v>
      </c>
      <c r="E21" s="58"/>
      <c r="F21" s="59"/>
      <c r="G21" s="56" t="s">
        <v>108</v>
      </c>
      <c r="H21" s="60">
        <f>Tariefopbouw1</f>
        <v>0</v>
      </c>
    </row>
    <row r="22" spans="1:8" x14ac:dyDescent="0.2">
      <c r="A22" s="56" t="s">
        <v>126</v>
      </c>
      <c r="B22" s="57">
        <v>1</v>
      </c>
      <c r="C22" s="56">
        <v>40</v>
      </c>
      <c r="D22" s="56" t="s">
        <v>127</v>
      </c>
      <c r="E22" s="58"/>
      <c r="F22" s="59"/>
      <c r="G22" s="56" t="s">
        <v>108</v>
      </c>
      <c r="H22" s="60">
        <f>Tariefopbouw1</f>
        <v>0</v>
      </c>
    </row>
    <row r="23" spans="1:8" x14ac:dyDescent="0.2">
      <c r="A23" s="56" t="s">
        <v>126</v>
      </c>
      <c r="B23" s="57">
        <v>1</v>
      </c>
      <c r="C23" s="56">
        <v>45</v>
      </c>
      <c r="D23" s="56" t="s">
        <v>127</v>
      </c>
      <c r="E23" s="58"/>
      <c r="F23" s="59"/>
      <c r="G23" s="56" t="s">
        <v>108</v>
      </c>
      <c r="H23" s="60">
        <f>Tariefopbouw1</f>
        <v>0</v>
      </c>
    </row>
    <row r="24" spans="1:8" x14ac:dyDescent="0.2">
      <c r="A24" s="56" t="s">
        <v>128</v>
      </c>
      <c r="B24" s="57">
        <v>1</v>
      </c>
      <c r="C24" s="56">
        <v>1</v>
      </c>
      <c r="D24" s="56" t="s">
        <v>129</v>
      </c>
      <c r="E24" s="58"/>
      <c r="F24" s="59"/>
      <c r="G24" s="56" t="s">
        <v>108</v>
      </c>
      <c r="H24" s="60">
        <f>Tariefopbouw1</f>
        <v>0</v>
      </c>
    </row>
    <row r="25" spans="1:8" x14ac:dyDescent="0.2">
      <c r="A25" s="56" t="s">
        <v>130</v>
      </c>
      <c r="B25" s="57">
        <v>1</v>
      </c>
      <c r="C25" s="56">
        <v>40</v>
      </c>
      <c r="D25" s="56" t="s">
        <v>131</v>
      </c>
      <c r="E25" s="58"/>
      <c r="F25" s="59"/>
      <c r="G25" s="56" t="s">
        <v>108</v>
      </c>
      <c r="H25" s="60">
        <f>Tariefopbouw1</f>
        <v>0</v>
      </c>
    </row>
    <row r="26" spans="1:8" x14ac:dyDescent="0.2">
      <c r="A26" s="56" t="s">
        <v>132</v>
      </c>
      <c r="B26" s="57">
        <v>1</v>
      </c>
      <c r="C26" s="56">
        <v>1</v>
      </c>
      <c r="D26" s="56" t="s">
        <v>133</v>
      </c>
      <c r="E26" s="58"/>
      <c r="F26" s="59"/>
      <c r="G26" s="56" t="s">
        <v>108</v>
      </c>
      <c r="H26" s="60">
        <f>Tariefopbouw1</f>
        <v>0</v>
      </c>
    </row>
    <row r="27" spans="1:8" x14ac:dyDescent="0.2">
      <c r="A27" s="56" t="s">
        <v>134</v>
      </c>
      <c r="B27" s="57">
        <v>1</v>
      </c>
      <c r="C27" s="56">
        <v>30</v>
      </c>
      <c r="D27" s="56" t="s">
        <v>135</v>
      </c>
      <c r="E27" s="58"/>
      <c r="F27" s="59"/>
      <c r="G27" s="56" t="s">
        <v>108</v>
      </c>
      <c r="H27" s="60">
        <f>Tariefopbouw1</f>
        <v>0</v>
      </c>
    </row>
    <row r="28" spans="1:8" x14ac:dyDescent="0.2">
      <c r="A28" s="56" t="s">
        <v>134</v>
      </c>
      <c r="B28" s="57">
        <v>1</v>
      </c>
      <c r="C28" s="56">
        <v>35</v>
      </c>
      <c r="D28" s="56" t="s">
        <v>135</v>
      </c>
      <c r="E28" s="58"/>
      <c r="F28" s="59"/>
      <c r="G28" s="56" t="s">
        <v>108</v>
      </c>
      <c r="H28" s="60">
        <f>Tariefopbouw1</f>
        <v>0</v>
      </c>
    </row>
    <row r="29" spans="1:8" x14ac:dyDescent="0.2">
      <c r="A29" s="56" t="s">
        <v>134</v>
      </c>
      <c r="B29" s="57">
        <v>1</v>
      </c>
      <c r="C29" s="56">
        <v>40</v>
      </c>
      <c r="D29" s="56" t="s">
        <v>135</v>
      </c>
      <c r="E29" s="58"/>
      <c r="F29" s="59"/>
      <c r="G29" s="56" t="s">
        <v>108</v>
      </c>
      <c r="H29" s="60">
        <f>Tariefopbouw1</f>
        <v>0</v>
      </c>
    </row>
    <row r="30" spans="1:8" x14ac:dyDescent="0.2">
      <c r="A30" s="56" t="s">
        <v>134</v>
      </c>
      <c r="B30" s="57">
        <v>1</v>
      </c>
      <c r="C30" s="56">
        <v>45</v>
      </c>
      <c r="D30" s="56" t="s">
        <v>135</v>
      </c>
      <c r="E30" s="58"/>
      <c r="F30" s="59"/>
      <c r="G30" s="56" t="s">
        <v>108</v>
      </c>
      <c r="H30" s="60">
        <f>Tariefopbouw1</f>
        <v>0</v>
      </c>
    </row>
    <row r="31" spans="1:8" x14ac:dyDescent="0.2">
      <c r="A31" s="56" t="s">
        <v>136</v>
      </c>
      <c r="B31" s="57">
        <v>1</v>
      </c>
      <c r="C31" s="56">
        <v>1</v>
      </c>
      <c r="D31" s="56" t="s">
        <v>137</v>
      </c>
      <c r="E31" s="58"/>
      <c r="F31" s="59"/>
      <c r="G31" s="56" t="s">
        <v>108</v>
      </c>
      <c r="H31" s="60">
        <f>Tariefopbouw1</f>
        <v>0</v>
      </c>
    </row>
    <row r="32" spans="1:8" x14ac:dyDescent="0.2">
      <c r="A32" s="56" t="s">
        <v>138</v>
      </c>
      <c r="B32" s="57">
        <v>1</v>
      </c>
      <c r="C32" s="56">
        <v>12</v>
      </c>
      <c r="D32" s="56" t="s">
        <v>139</v>
      </c>
      <c r="E32" s="58"/>
      <c r="F32" s="59"/>
      <c r="G32" s="56" t="s">
        <v>108</v>
      </c>
      <c r="H32" s="60">
        <f>Tariefopbouw1</f>
        <v>0</v>
      </c>
    </row>
    <row r="33" spans="1:8" x14ac:dyDescent="0.2">
      <c r="A33" s="56" t="s">
        <v>140</v>
      </c>
      <c r="B33" s="57">
        <v>1</v>
      </c>
      <c r="C33" s="56">
        <v>1</v>
      </c>
      <c r="D33" s="56" t="s">
        <v>141</v>
      </c>
      <c r="E33" s="58"/>
      <c r="F33" s="59"/>
      <c r="G33" s="56" t="s">
        <v>108</v>
      </c>
      <c r="H33" s="60">
        <f>Tariefopbouw1</f>
        <v>0</v>
      </c>
    </row>
    <row r="34" spans="1:8" x14ac:dyDescent="0.2">
      <c r="A34" s="56" t="s">
        <v>142</v>
      </c>
      <c r="B34" s="57">
        <v>1</v>
      </c>
      <c r="C34" s="56">
        <v>30</v>
      </c>
      <c r="D34" s="56" t="s">
        <v>143</v>
      </c>
      <c r="E34" s="58"/>
      <c r="F34" s="59"/>
      <c r="G34" s="56" t="s">
        <v>108</v>
      </c>
      <c r="H34" s="60">
        <f>Tariefopbouw1</f>
        <v>0</v>
      </c>
    </row>
    <row r="35" spans="1:8" x14ac:dyDescent="0.2">
      <c r="A35" s="56" t="s">
        <v>142</v>
      </c>
      <c r="B35" s="57">
        <v>1</v>
      </c>
      <c r="C35" s="56">
        <v>35</v>
      </c>
      <c r="D35" s="56" t="s">
        <v>143</v>
      </c>
      <c r="E35" s="58"/>
      <c r="F35" s="59"/>
      <c r="G35" s="56" t="s">
        <v>108</v>
      </c>
      <c r="H35" s="60">
        <f>Tariefopbouw1</f>
        <v>0</v>
      </c>
    </row>
    <row r="36" spans="1:8" x14ac:dyDescent="0.2">
      <c r="A36" s="56" t="s">
        <v>142</v>
      </c>
      <c r="B36" s="57">
        <v>1</v>
      </c>
      <c r="C36" s="56">
        <v>40</v>
      </c>
      <c r="D36" s="56" t="s">
        <v>143</v>
      </c>
      <c r="E36" s="58"/>
      <c r="F36" s="59"/>
      <c r="G36" s="56" t="s">
        <v>108</v>
      </c>
      <c r="H36" s="60">
        <f>Tariefopbouw1</f>
        <v>0</v>
      </c>
    </row>
    <row r="37" spans="1:8" x14ac:dyDescent="0.2">
      <c r="A37" s="56" t="s">
        <v>142</v>
      </c>
      <c r="B37" s="57">
        <v>1</v>
      </c>
      <c r="C37" s="56">
        <v>45</v>
      </c>
      <c r="D37" s="56" t="s">
        <v>143</v>
      </c>
      <c r="E37" s="58"/>
      <c r="F37" s="59"/>
      <c r="G37" s="56" t="s">
        <v>108</v>
      </c>
      <c r="H37" s="60">
        <f>Tariefopbouw1</f>
        <v>0</v>
      </c>
    </row>
    <row r="38" spans="1:8" x14ac:dyDescent="0.2">
      <c r="A38" s="56" t="s">
        <v>142</v>
      </c>
      <c r="B38" s="57">
        <v>1</v>
      </c>
      <c r="C38" s="56">
        <v>51</v>
      </c>
      <c r="D38" s="56" t="s">
        <v>143</v>
      </c>
      <c r="E38" s="58"/>
      <c r="F38" s="59"/>
      <c r="G38" s="56" t="s">
        <v>108</v>
      </c>
      <c r="H38" s="60">
        <f>Tariefopbouw1</f>
        <v>0</v>
      </c>
    </row>
    <row r="39" spans="1:8" x14ac:dyDescent="0.2">
      <c r="A39" s="56" t="s">
        <v>144</v>
      </c>
      <c r="B39" s="57">
        <v>1</v>
      </c>
      <c r="C39" s="56">
        <v>1</v>
      </c>
      <c r="D39" s="56" t="s">
        <v>145</v>
      </c>
      <c r="E39" s="58"/>
      <c r="F39" s="59"/>
      <c r="G39" s="56" t="s">
        <v>108</v>
      </c>
      <c r="H39" s="60">
        <f>Tariefopbouw1</f>
        <v>0</v>
      </c>
    </row>
    <row r="40" spans="1:8" x14ac:dyDescent="0.2">
      <c r="A40" s="56" t="s">
        <v>146</v>
      </c>
      <c r="B40" s="57">
        <v>1</v>
      </c>
      <c r="C40" s="56">
        <v>30</v>
      </c>
      <c r="D40" s="56" t="s">
        <v>147</v>
      </c>
      <c r="E40" s="58"/>
      <c r="F40" s="59"/>
      <c r="G40" s="56" t="s">
        <v>108</v>
      </c>
      <c r="H40" s="60">
        <f>Tariefopbouw1</f>
        <v>0</v>
      </c>
    </row>
    <row r="41" spans="1:8" x14ac:dyDescent="0.2">
      <c r="A41" s="56" t="s">
        <v>148</v>
      </c>
      <c r="B41" s="57">
        <v>2</v>
      </c>
      <c r="C41" s="56">
        <v>1</v>
      </c>
      <c r="D41" s="56" t="s">
        <v>149</v>
      </c>
      <c r="E41" s="58"/>
      <c r="F41" s="59"/>
      <c r="G41" s="56" t="s">
        <v>108</v>
      </c>
      <c r="H41" s="60">
        <f>Tariefopbouw1</f>
        <v>0</v>
      </c>
    </row>
    <row r="42" spans="1:8" x14ac:dyDescent="0.2">
      <c r="A42" s="56" t="s">
        <v>150</v>
      </c>
      <c r="B42" s="57">
        <v>2</v>
      </c>
      <c r="C42" s="56">
        <v>30</v>
      </c>
      <c r="D42" s="56" t="s">
        <v>151</v>
      </c>
      <c r="E42" s="58"/>
      <c r="F42" s="59"/>
      <c r="G42" s="56" t="s">
        <v>108</v>
      </c>
      <c r="H42" s="60">
        <f>Tariefopbouw1</f>
        <v>0</v>
      </c>
    </row>
    <row r="43" spans="1:8" x14ac:dyDescent="0.2">
      <c r="A43" s="56" t="s">
        <v>150</v>
      </c>
      <c r="B43" s="57">
        <v>2</v>
      </c>
      <c r="C43" s="56">
        <v>35</v>
      </c>
      <c r="D43" s="56" t="s">
        <v>151</v>
      </c>
      <c r="E43" s="58"/>
      <c r="F43" s="59"/>
      <c r="G43" s="56" t="s">
        <v>108</v>
      </c>
      <c r="H43" s="60">
        <f>Tariefopbouw1</f>
        <v>0</v>
      </c>
    </row>
    <row r="44" spans="1:8" x14ac:dyDescent="0.2">
      <c r="A44" s="56" t="s">
        <v>150</v>
      </c>
      <c r="B44" s="57">
        <v>2</v>
      </c>
      <c r="C44" s="56">
        <v>40</v>
      </c>
      <c r="D44" s="56" t="s">
        <v>151</v>
      </c>
      <c r="E44" s="58"/>
      <c r="F44" s="59"/>
      <c r="G44" s="56" t="s">
        <v>108</v>
      </c>
      <c r="H44" s="60">
        <f>Tariefopbouw1</f>
        <v>0</v>
      </c>
    </row>
    <row r="45" spans="1:8" x14ac:dyDescent="0.2">
      <c r="A45" s="56" t="s">
        <v>150</v>
      </c>
      <c r="B45" s="57">
        <v>2</v>
      </c>
      <c r="C45" s="56">
        <v>45</v>
      </c>
      <c r="D45" s="56" t="s">
        <v>151</v>
      </c>
      <c r="E45" s="58"/>
      <c r="F45" s="59"/>
      <c r="G45" s="56" t="s">
        <v>108</v>
      </c>
      <c r="H45" s="60">
        <f>Tariefopbouw1</f>
        <v>0</v>
      </c>
    </row>
    <row r="46" spans="1:8" x14ac:dyDescent="0.2">
      <c r="A46" s="56" t="s">
        <v>152</v>
      </c>
      <c r="B46" s="57">
        <v>2</v>
      </c>
      <c r="C46" s="56">
        <v>1</v>
      </c>
      <c r="D46" s="56" t="s">
        <v>153</v>
      </c>
      <c r="E46" s="58"/>
      <c r="F46" s="59"/>
      <c r="G46" s="56" t="s">
        <v>108</v>
      </c>
      <c r="H46" s="60">
        <f>Tariefopbouw1</f>
        <v>0</v>
      </c>
    </row>
    <row r="47" spans="1:8" x14ac:dyDescent="0.2">
      <c r="A47" s="56" t="s">
        <v>154</v>
      </c>
      <c r="B47" s="57">
        <v>2</v>
      </c>
      <c r="C47" s="56">
        <v>30</v>
      </c>
      <c r="D47" s="56" t="s">
        <v>155</v>
      </c>
      <c r="E47" s="58"/>
      <c r="F47" s="59"/>
      <c r="G47" s="56" t="s">
        <v>108</v>
      </c>
      <c r="H47" s="60">
        <f>Tariefopbouw1</f>
        <v>0</v>
      </c>
    </row>
    <row r="48" spans="1:8" x14ac:dyDescent="0.2">
      <c r="A48" s="56" t="s">
        <v>154</v>
      </c>
      <c r="B48" s="57">
        <v>2</v>
      </c>
      <c r="C48" s="56">
        <v>35</v>
      </c>
      <c r="D48" s="56" t="s">
        <v>155</v>
      </c>
      <c r="E48" s="58"/>
      <c r="F48" s="59"/>
      <c r="G48" s="56" t="s">
        <v>108</v>
      </c>
      <c r="H48" s="60">
        <f>Tariefopbouw1</f>
        <v>0</v>
      </c>
    </row>
    <row r="49" spans="1:8" x14ac:dyDescent="0.2">
      <c r="A49" s="56" t="s">
        <v>154</v>
      </c>
      <c r="B49" s="57">
        <v>2</v>
      </c>
      <c r="C49" s="56">
        <v>40</v>
      </c>
      <c r="D49" s="56" t="s">
        <v>155</v>
      </c>
      <c r="E49" s="58"/>
      <c r="F49" s="59"/>
      <c r="G49" s="56" t="s">
        <v>108</v>
      </c>
      <c r="H49" s="60">
        <f>Tariefopbouw1</f>
        <v>0</v>
      </c>
    </row>
    <row r="50" spans="1:8" x14ac:dyDescent="0.2">
      <c r="A50" s="56" t="s">
        <v>154</v>
      </c>
      <c r="B50" s="57">
        <v>2</v>
      </c>
      <c r="C50" s="56">
        <v>45</v>
      </c>
      <c r="D50" s="56" t="s">
        <v>155</v>
      </c>
      <c r="E50" s="58"/>
      <c r="F50" s="59"/>
      <c r="G50" s="56" t="s">
        <v>108</v>
      </c>
      <c r="H50" s="60">
        <f>Tariefopbouw1</f>
        <v>0</v>
      </c>
    </row>
    <row r="51" spans="1:8" x14ac:dyDescent="0.2">
      <c r="A51" s="56" t="s">
        <v>156</v>
      </c>
      <c r="B51" s="57">
        <v>2</v>
      </c>
      <c r="C51" s="56">
        <v>1</v>
      </c>
      <c r="D51" s="56" t="s">
        <v>157</v>
      </c>
      <c r="E51" s="58"/>
      <c r="F51" s="59"/>
      <c r="G51" s="56" t="s">
        <v>108</v>
      </c>
      <c r="H51" s="60">
        <f>Tariefopbouw1</f>
        <v>0</v>
      </c>
    </row>
    <row r="52" spans="1:8" x14ac:dyDescent="0.2">
      <c r="A52" s="56" t="s">
        <v>158</v>
      </c>
      <c r="B52" s="57">
        <v>2</v>
      </c>
      <c r="C52" s="56">
        <v>30</v>
      </c>
      <c r="D52" s="56" t="s">
        <v>159</v>
      </c>
      <c r="E52" s="58"/>
      <c r="F52" s="59"/>
      <c r="G52" s="56" t="s">
        <v>108</v>
      </c>
      <c r="H52" s="60">
        <f>Tariefopbouw1</f>
        <v>0</v>
      </c>
    </row>
    <row r="53" spans="1:8" x14ac:dyDescent="0.2">
      <c r="A53" s="56" t="s">
        <v>158</v>
      </c>
      <c r="B53" s="57">
        <v>2</v>
      </c>
      <c r="C53" s="56">
        <v>35</v>
      </c>
      <c r="D53" s="56" t="s">
        <v>159</v>
      </c>
      <c r="E53" s="58"/>
      <c r="F53" s="59"/>
      <c r="G53" s="56" t="s">
        <v>108</v>
      </c>
      <c r="H53" s="60">
        <f>Tariefopbouw1</f>
        <v>0</v>
      </c>
    </row>
    <row r="54" spans="1:8" x14ac:dyDescent="0.2">
      <c r="A54" s="56" t="s">
        <v>158</v>
      </c>
      <c r="B54" s="57">
        <v>2</v>
      </c>
      <c r="C54" s="56">
        <v>40</v>
      </c>
      <c r="D54" s="56" t="s">
        <v>159</v>
      </c>
      <c r="E54" s="58"/>
      <c r="F54" s="59"/>
      <c r="G54" s="56" t="s">
        <v>108</v>
      </c>
      <c r="H54" s="60">
        <f>Tariefopbouw1</f>
        <v>0</v>
      </c>
    </row>
    <row r="55" spans="1:8" x14ac:dyDescent="0.2">
      <c r="A55" s="56" t="s">
        <v>158</v>
      </c>
      <c r="B55" s="57">
        <v>2</v>
      </c>
      <c r="C55" s="56">
        <v>45</v>
      </c>
      <c r="D55" s="56" t="s">
        <v>159</v>
      </c>
      <c r="E55" s="58"/>
      <c r="F55" s="59"/>
      <c r="G55" s="56" t="s">
        <v>108</v>
      </c>
      <c r="H55" s="60">
        <f>Tariefopbouw1</f>
        <v>0</v>
      </c>
    </row>
    <row r="56" spans="1:8" x14ac:dyDescent="0.2">
      <c r="A56" s="56" t="s">
        <v>160</v>
      </c>
      <c r="B56" s="57">
        <v>3</v>
      </c>
      <c r="C56" s="56">
        <v>1</v>
      </c>
      <c r="D56" s="56" t="s">
        <v>161</v>
      </c>
      <c r="E56" s="58"/>
      <c r="F56" s="59"/>
      <c r="G56" s="56" t="s">
        <v>108</v>
      </c>
      <c r="H56" s="60">
        <f>Tariefopbouw1</f>
        <v>0</v>
      </c>
    </row>
    <row r="57" spans="1:8" x14ac:dyDescent="0.2">
      <c r="A57" s="56" t="s">
        <v>162</v>
      </c>
      <c r="B57" s="57">
        <v>3</v>
      </c>
      <c r="C57" s="56">
        <v>51</v>
      </c>
      <c r="D57" s="56" t="s">
        <v>163</v>
      </c>
      <c r="E57" s="58"/>
      <c r="F57" s="59"/>
      <c r="G57" s="56" t="s">
        <v>108</v>
      </c>
      <c r="H57" s="60">
        <f>Tariefopbouw1</f>
        <v>0</v>
      </c>
    </row>
    <row r="58" spans="1:8" x14ac:dyDescent="0.2">
      <c r="A58" s="56" t="s">
        <v>164</v>
      </c>
      <c r="B58" s="57">
        <v>3</v>
      </c>
      <c r="C58" s="56">
        <v>1</v>
      </c>
      <c r="D58" s="56" t="s">
        <v>165</v>
      </c>
      <c r="E58" s="58"/>
      <c r="F58" s="59"/>
      <c r="G58" s="56" t="s">
        <v>108</v>
      </c>
      <c r="H58" s="60">
        <f>Tariefopbouw1</f>
        <v>0</v>
      </c>
    </row>
    <row r="59" spans="1:8" x14ac:dyDescent="0.2">
      <c r="A59" s="56" t="s">
        <v>166</v>
      </c>
      <c r="B59" s="57">
        <v>3</v>
      </c>
      <c r="C59" s="56">
        <v>40</v>
      </c>
      <c r="D59" s="56" t="s">
        <v>167</v>
      </c>
      <c r="E59" s="58"/>
      <c r="F59" s="59"/>
      <c r="G59" s="56" t="s">
        <v>108</v>
      </c>
      <c r="H59" s="60">
        <f>Tariefopbouw1</f>
        <v>0</v>
      </c>
    </row>
    <row r="60" spans="1:8" x14ac:dyDescent="0.2">
      <c r="A60" s="56" t="s">
        <v>166</v>
      </c>
      <c r="B60" s="57">
        <v>3</v>
      </c>
      <c r="C60" s="56">
        <v>51</v>
      </c>
      <c r="D60" s="56" t="s">
        <v>167</v>
      </c>
      <c r="E60" s="58"/>
      <c r="F60" s="59"/>
      <c r="G60" s="56" t="s">
        <v>108</v>
      </c>
      <c r="H60" s="60">
        <f>Tariefopbouw1</f>
        <v>0</v>
      </c>
    </row>
    <row r="61" spans="1:8" x14ac:dyDescent="0.2">
      <c r="A61" s="56" t="s">
        <v>168</v>
      </c>
      <c r="B61" s="57">
        <v>3</v>
      </c>
      <c r="C61" s="56">
        <v>1</v>
      </c>
      <c r="D61" s="56" t="s">
        <v>169</v>
      </c>
      <c r="E61" s="58"/>
      <c r="F61" s="59"/>
      <c r="G61" s="56" t="s">
        <v>108</v>
      </c>
      <c r="H61" s="60">
        <f>Tariefopbouw1</f>
        <v>0</v>
      </c>
    </row>
    <row r="62" spans="1:8" x14ac:dyDescent="0.2">
      <c r="A62" s="56" t="s">
        <v>170</v>
      </c>
      <c r="B62" s="57">
        <v>3</v>
      </c>
      <c r="C62" s="56">
        <v>40</v>
      </c>
      <c r="D62" s="56" t="s">
        <v>171</v>
      </c>
      <c r="E62" s="58"/>
      <c r="F62" s="59"/>
      <c r="G62" s="56" t="s">
        <v>108</v>
      </c>
      <c r="H62" s="60">
        <f>Tariefopbouw1</f>
        <v>0</v>
      </c>
    </row>
    <row r="63" spans="1:8" x14ac:dyDescent="0.2">
      <c r="A63" s="56" t="s">
        <v>170</v>
      </c>
      <c r="B63" s="57">
        <v>3</v>
      </c>
      <c r="C63" s="56">
        <v>51</v>
      </c>
      <c r="D63" s="56" t="s">
        <v>171</v>
      </c>
      <c r="E63" s="58"/>
      <c r="F63" s="59"/>
      <c r="G63" s="56" t="s">
        <v>108</v>
      </c>
      <c r="H63" s="60">
        <f>Tariefopbouw1</f>
        <v>0</v>
      </c>
    </row>
    <row r="64" spans="1:8" x14ac:dyDescent="0.2">
      <c r="A64" s="56" t="s">
        <v>172</v>
      </c>
      <c r="B64" s="57">
        <v>4</v>
      </c>
      <c r="C64" s="56">
        <v>1</v>
      </c>
      <c r="D64" s="56" t="s">
        <v>173</v>
      </c>
      <c r="E64" s="58"/>
      <c r="F64" s="59"/>
      <c r="G64" s="56" t="s">
        <v>108</v>
      </c>
      <c r="H64" s="60">
        <f>Tariefopbouw1</f>
        <v>0</v>
      </c>
    </row>
    <row r="65" spans="1:8" x14ac:dyDescent="0.2">
      <c r="A65" s="56" t="s">
        <v>174</v>
      </c>
      <c r="B65" s="57">
        <v>4</v>
      </c>
      <c r="C65" s="56">
        <v>40</v>
      </c>
      <c r="D65" s="56" t="s">
        <v>175</v>
      </c>
      <c r="E65" s="58"/>
      <c r="F65" s="59"/>
      <c r="G65" s="56" t="s">
        <v>108</v>
      </c>
      <c r="H65" s="60">
        <f>Tariefopbouw1</f>
        <v>0</v>
      </c>
    </row>
    <row r="66" spans="1:8" x14ac:dyDescent="0.2">
      <c r="A66" s="56" t="s">
        <v>174</v>
      </c>
      <c r="B66" s="57">
        <v>4</v>
      </c>
      <c r="C66" s="56">
        <v>51</v>
      </c>
      <c r="D66" s="56" t="s">
        <v>175</v>
      </c>
      <c r="E66" s="58"/>
      <c r="F66" s="59"/>
      <c r="G66" s="56" t="s">
        <v>108</v>
      </c>
      <c r="H66" s="60">
        <f>Tariefopbouw1</f>
        <v>0</v>
      </c>
    </row>
    <row r="67" spans="1:8" x14ac:dyDescent="0.2">
      <c r="A67" s="56" t="s">
        <v>176</v>
      </c>
      <c r="B67" s="57">
        <v>5</v>
      </c>
      <c r="C67" s="56">
        <v>1</v>
      </c>
      <c r="D67" s="56" t="s">
        <v>177</v>
      </c>
      <c r="E67" s="58"/>
      <c r="F67" s="59"/>
      <c r="G67" s="56" t="s">
        <v>108</v>
      </c>
      <c r="H67" s="60">
        <f>Tariefopbouw1</f>
        <v>0</v>
      </c>
    </row>
    <row r="68" spans="1:8" x14ac:dyDescent="0.2">
      <c r="A68" s="56" t="s">
        <v>178</v>
      </c>
      <c r="B68" s="57">
        <v>5</v>
      </c>
      <c r="C68" s="56">
        <v>30</v>
      </c>
      <c r="D68" s="56" t="s">
        <v>179</v>
      </c>
      <c r="E68" s="58"/>
      <c r="F68" s="59"/>
      <c r="G68" s="56" t="s">
        <v>108</v>
      </c>
      <c r="H68" s="60">
        <f>Tariefopbouw1</f>
        <v>0</v>
      </c>
    </row>
    <row r="69" spans="1:8" x14ac:dyDescent="0.2">
      <c r="A69" s="56" t="s">
        <v>178</v>
      </c>
      <c r="B69" s="57">
        <v>5</v>
      </c>
      <c r="C69" s="56">
        <v>35</v>
      </c>
      <c r="D69" s="56" t="s">
        <v>179</v>
      </c>
      <c r="E69" s="58"/>
      <c r="F69" s="59"/>
      <c r="G69" s="56" t="s">
        <v>108</v>
      </c>
      <c r="H69" s="60">
        <f>Tariefopbouw1</f>
        <v>0</v>
      </c>
    </row>
    <row r="70" spans="1:8" x14ac:dyDescent="0.2">
      <c r="A70" s="56" t="s">
        <v>178</v>
      </c>
      <c r="B70" s="57">
        <v>5</v>
      </c>
      <c r="C70" s="56">
        <v>40</v>
      </c>
      <c r="D70" s="56" t="s">
        <v>180</v>
      </c>
      <c r="E70" s="58"/>
      <c r="F70" s="59"/>
      <c r="G70" s="56" t="s">
        <v>108</v>
      </c>
      <c r="H70" s="60">
        <f>Tariefopbouw1</f>
        <v>0</v>
      </c>
    </row>
    <row r="71" spans="1:8" x14ac:dyDescent="0.2">
      <c r="A71" s="56" t="s">
        <v>178</v>
      </c>
      <c r="B71" s="57">
        <v>5</v>
      </c>
      <c r="C71" s="56">
        <v>45</v>
      </c>
      <c r="D71" s="56" t="s">
        <v>181</v>
      </c>
      <c r="E71" s="58"/>
      <c r="F71" s="59"/>
      <c r="G71" s="56" t="s">
        <v>108</v>
      </c>
      <c r="H71" s="60">
        <f>Tariefopbouw1</f>
        <v>0</v>
      </c>
    </row>
    <row r="72" spans="1:8" x14ac:dyDescent="0.2">
      <c r="A72" s="56" t="s">
        <v>182</v>
      </c>
      <c r="B72" s="57">
        <v>5</v>
      </c>
      <c r="C72" s="56">
        <v>1</v>
      </c>
      <c r="D72" s="56" t="s">
        <v>183</v>
      </c>
      <c r="E72" s="58"/>
      <c r="F72" s="59"/>
      <c r="G72" s="56" t="s">
        <v>108</v>
      </c>
      <c r="H72" s="60">
        <f>Tariefopbouw1</f>
        <v>0</v>
      </c>
    </row>
    <row r="73" spans="1:8" x14ac:dyDescent="0.2">
      <c r="A73" s="56" t="s">
        <v>184</v>
      </c>
      <c r="B73" s="57">
        <v>5</v>
      </c>
      <c r="C73" s="56">
        <v>40</v>
      </c>
      <c r="D73" s="56" t="s">
        <v>185</v>
      </c>
      <c r="E73" s="58"/>
      <c r="F73" s="59"/>
      <c r="G73" s="56" t="s">
        <v>108</v>
      </c>
      <c r="H73" s="60">
        <f>Tariefopbouw1</f>
        <v>0</v>
      </c>
    </row>
    <row r="74" spans="1:8" x14ac:dyDescent="0.2">
      <c r="A74" s="56" t="s">
        <v>186</v>
      </c>
      <c r="B74" s="57" t="s">
        <v>187</v>
      </c>
      <c r="C74" s="56">
        <v>1</v>
      </c>
      <c r="D74" s="56" t="s">
        <v>188</v>
      </c>
      <c r="E74" s="58"/>
      <c r="F74" s="59"/>
      <c r="G74" s="56" t="s">
        <v>108</v>
      </c>
      <c r="H74" s="60">
        <f>Tariefopbouw1</f>
        <v>0</v>
      </c>
    </row>
    <row r="75" spans="1:8" x14ac:dyDescent="0.2">
      <c r="A75" s="61" t="s">
        <v>189</v>
      </c>
      <c r="B75" s="62" t="s">
        <v>187</v>
      </c>
      <c r="C75" s="61">
        <v>40</v>
      </c>
      <c r="D75" s="61" t="s">
        <v>190</v>
      </c>
      <c r="E75" s="63"/>
      <c r="F75" s="64"/>
      <c r="G75" s="61" t="s">
        <v>108</v>
      </c>
      <c r="H75" s="65">
        <f>Tariefopbouw1</f>
        <v>0</v>
      </c>
    </row>
    <row r="76" spans="1:8" x14ac:dyDescent="0.2">
      <c r="A76" s="41"/>
      <c r="B76" s="42"/>
      <c r="C76" s="42"/>
      <c r="D76" s="42"/>
      <c r="E76" s="42"/>
      <c r="F76" s="42"/>
      <c r="G76" s="42"/>
      <c r="H76" s="43"/>
    </row>
    <row r="77" spans="1:8" x14ac:dyDescent="0.2">
      <c r="A77" s="44" t="s">
        <v>191</v>
      </c>
      <c r="B77" s="45"/>
      <c r="C77" s="45"/>
      <c r="D77" s="45"/>
      <c r="E77" s="45"/>
      <c r="F77" s="45"/>
      <c r="G77" s="45"/>
      <c r="H77" s="46"/>
    </row>
    <row r="78" spans="1:8" x14ac:dyDescent="0.2">
      <c r="A78" s="51" t="s">
        <v>192</v>
      </c>
      <c r="B78" s="52">
        <v>1</v>
      </c>
      <c r="C78" s="51">
        <v>1</v>
      </c>
      <c r="D78" s="51" t="s">
        <v>193</v>
      </c>
      <c r="E78" s="53"/>
      <c r="F78" s="54"/>
      <c r="G78" s="51" t="s">
        <v>108</v>
      </c>
      <c r="H78" s="55">
        <f>Tariefopbouw1</f>
        <v>0</v>
      </c>
    </row>
    <row r="79" spans="1:8" x14ac:dyDescent="0.2">
      <c r="A79" s="56" t="s">
        <v>194</v>
      </c>
      <c r="B79" s="57">
        <v>1</v>
      </c>
      <c r="C79" s="56">
        <v>1</v>
      </c>
      <c r="D79" s="56" t="s">
        <v>195</v>
      </c>
      <c r="E79" s="58"/>
      <c r="F79" s="59"/>
      <c r="G79" s="56" t="s">
        <v>108</v>
      </c>
      <c r="H79" s="60">
        <f>Tariefopbouw1</f>
        <v>0</v>
      </c>
    </row>
    <row r="80" spans="1:8" x14ac:dyDescent="0.2">
      <c r="A80" s="56" t="s">
        <v>196</v>
      </c>
      <c r="B80" s="57">
        <v>1</v>
      </c>
      <c r="C80" s="56">
        <v>1</v>
      </c>
      <c r="D80" s="56" t="s">
        <v>197</v>
      </c>
      <c r="E80" s="58"/>
      <c r="F80" s="59"/>
      <c r="G80" s="56" t="s">
        <v>108</v>
      </c>
      <c r="H80" s="60">
        <f>Tariefopbouw1</f>
        <v>0</v>
      </c>
    </row>
    <row r="81" spans="1:8" x14ac:dyDescent="0.2">
      <c r="A81" s="56" t="s">
        <v>198</v>
      </c>
      <c r="B81" s="57">
        <v>1</v>
      </c>
      <c r="C81" s="56">
        <v>1</v>
      </c>
      <c r="D81" s="56" t="s">
        <v>199</v>
      </c>
      <c r="E81" s="58"/>
      <c r="F81" s="59"/>
      <c r="G81" s="56" t="s">
        <v>108</v>
      </c>
      <c r="H81" s="60">
        <f>Tariefopbouw1</f>
        <v>0</v>
      </c>
    </row>
    <row r="82" spans="1:8" x14ac:dyDescent="0.2">
      <c r="A82" s="56" t="s">
        <v>200</v>
      </c>
      <c r="B82" s="57">
        <v>1</v>
      </c>
      <c r="C82" s="56">
        <v>1</v>
      </c>
      <c r="D82" s="56" t="s">
        <v>201</v>
      </c>
      <c r="E82" s="58"/>
      <c r="F82" s="59"/>
      <c r="G82" s="56" t="s">
        <v>108</v>
      </c>
      <c r="H82" s="60">
        <f>Tariefopbouw1</f>
        <v>0</v>
      </c>
    </row>
    <row r="83" spans="1:8" x14ac:dyDescent="0.2">
      <c r="A83" s="56" t="s">
        <v>202</v>
      </c>
      <c r="B83" s="57">
        <v>1</v>
      </c>
      <c r="C83" s="56">
        <v>1</v>
      </c>
      <c r="D83" s="56" t="s">
        <v>203</v>
      </c>
      <c r="E83" s="58"/>
      <c r="F83" s="59"/>
      <c r="G83" s="56" t="s">
        <v>108</v>
      </c>
      <c r="H83" s="60">
        <f>Tariefopbouw1</f>
        <v>0</v>
      </c>
    </row>
    <row r="84" spans="1:8" x14ac:dyDescent="0.2">
      <c r="A84" s="56" t="s">
        <v>204</v>
      </c>
      <c r="B84" s="57">
        <v>2</v>
      </c>
      <c r="C84" s="56">
        <v>1</v>
      </c>
      <c r="D84" s="56" t="s">
        <v>205</v>
      </c>
      <c r="E84" s="58"/>
      <c r="F84" s="59"/>
      <c r="G84" s="56" t="s">
        <v>108</v>
      </c>
      <c r="H84" s="60">
        <f>Tariefopbouw1</f>
        <v>0</v>
      </c>
    </row>
    <row r="85" spans="1:8" x14ac:dyDescent="0.2">
      <c r="A85" s="56" t="s">
        <v>206</v>
      </c>
      <c r="B85" s="57">
        <v>2</v>
      </c>
      <c r="C85" s="56">
        <v>1</v>
      </c>
      <c r="D85" s="56" t="s">
        <v>207</v>
      </c>
      <c r="E85" s="58"/>
      <c r="F85" s="59"/>
      <c r="G85" s="56" t="s">
        <v>108</v>
      </c>
      <c r="H85" s="60">
        <f>Tariefopbouw1</f>
        <v>0</v>
      </c>
    </row>
    <row r="86" spans="1:8" x14ac:dyDescent="0.2">
      <c r="A86" s="56" t="s">
        <v>208</v>
      </c>
      <c r="B86" s="57">
        <v>2</v>
      </c>
      <c r="C86" s="56">
        <v>1</v>
      </c>
      <c r="D86" s="56" t="s">
        <v>209</v>
      </c>
      <c r="E86" s="58"/>
      <c r="F86" s="59"/>
      <c r="G86" s="56" t="s">
        <v>108</v>
      </c>
      <c r="H86" s="60">
        <f>Tariefopbouw1</f>
        <v>0</v>
      </c>
    </row>
    <row r="87" spans="1:8" x14ac:dyDescent="0.2">
      <c r="A87" s="56" t="s">
        <v>210</v>
      </c>
      <c r="B87" s="57">
        <v>5</v>
      </c>
      <c r="C87" s="56">
        <v>1</v>
      </c>
      <c r="D87" s="56" t="s">
        <v>211</v>
      </c>
      <c r="E87" s="58"/>
      <c r="F87" s="59"/>
      <c r="G87" s="56" t="s">
        <v>108</v>
      </c>
      <c r="H87" s="60">
        <f>Tariefopbouw1</f>
        <v>0</v>
      </c>
    </row>
    <row r="88" spans="1:8" x14ac:dyDescent="0.2">
      <c r="A88" s="61" t="s">
        <v>212</v>
      </c>
      <c r="B88" s="62">
        <v>5</v>
      </c>
      <c r="C88" s="61">
        <v>1</v>
      </c>
      <c r="D88" s="61" t="s">
        <v>213</v>
      </c>
      <c r="E88" s="63"/>
      <c r="F88" s="64"/>
      <c r="G88" s="61" t="s">
        <v>108</v>
      </c>
      <c r="H88" s="65">
        <f>Tariefopbouw1</f>
        <v>0</v>
      </c>
    </row>
    <row r="89" spans="1:8" x14ac:dyDescent="0.2">
      <c r="A89" s="41"/>
      <c r="B89" s="42"/>
      <c r="C89" s="42"/>
      <c r="D89" s="42"/>
      <c r="E89" s="42"/>
      <c r="F89" s="42"/>
      <c r="G89" s="42"/>
      <c r="H89" s="43"/>
    </row>
    <row r="90" spans="1:8" x14ac:dyDescent="0.2">
      <c r="A90" s="44" t="s">
        <v>214</v>
      </c>
      <c r="B90" s="45"/>
      <c r="C90" s="45"/>
      <c r="D90" s="45"/>
      <c r="E90" s="45"/>
      <c r="F90" s="45"/>
      <c r="G90" s="45"/>
      <c r="H90" s="46"/>
    </row>
    <row r="91" spans="1:8" x14ac:dyDescent="0.2">
      <c r="A91" s="51" t="s">
        <v>215</v>
      </c>
      <c r="B91" s="52">
        <v>1</v>
      </c>
      <c r="C91" s="51">
        <v>1</v>
      </c>
      <c r="D91" s="51" t="s">
        <v>216</v>
      </c>
      <c r="E91" s="53"/>
      <c r="F91" s="54"/>
      <c r="G91" s="51" t="s">
        <v>108</v>
      </c>
      <c r="H91" s="55">
        <f>Tariefopbouw2</f>
        <v>0</v>
      </c>
    </row>
    <row r="92" spans="1:8" x14ac:dyDescent="0.2">
      <c r="A92" s="56" t="s">
        <v>217</v>
      </c>
      <c r="B92" s="57">
        <v>1</v>
      </c>
      <c r="C92" s="56">
        <v>1</v>
      </c>
      <c r="D92" s="56" t="s">
        <v>218</v>
      </c>
      <c r="E92" s="58"/>
      <c r="F92" s="59"/>
      <c r="G92" s="56" t="s">
        <v>108</v>
      </c>
      <c r="H92" s="60">
        <f>Tariefopbouw2</f>
        <v>0</v>
      </c>
    </row>
    <row r="93" spans="1:8" x14ac:dyDescent="0.2">
      <c r="A93" s="56" t="s">
        <v>219</v>
      </c>
      <c r="B93" s="57">
        <v>1</v>
      </c>
      <c r="C93" s="56">
        <v>1</v>
      </c>
      <c r="D93" s="56" t="s">
        <v>220</v>
      </c>
      <c r="E93" s="58"/>
      <c r="F93" s="59"/>
      <c r="G93" s="56" t="s">
        <v>108</v>
      </c>
      <c r="H93" s="60">
        <f>Tariefopbouw2</f>
        <v>0</v>
      </c>
    </row>
    <row r="94" spans="1:8" x14ac:dyDescent="0.2">
      <c r="A94" s="56" t="s">
        <v>221</v>
      </c>
      <c r="B94" s="57">
        <v>1</v>
      </c>
      <c r="C94" s="56">
        <v>1</v>
      </c>
      <c r="D94" s="56" t="s">
        <v>222</v>
      </c>
      <c r="E94" s="58"/>
      <c r="F94" s="59"/>
      <c r="G94" s="56" t="s">
        <v>108</v>
      </c>
      <c r="H94" s="60">
        <f>Tariefopbouw2</f>
        <v>0</v>
      </c>
    </row>
    <row r="95" spans="1:8" x14ac:dyDescent="0.2">
      <c r="A95" s="56" t="s">
        <v>223</v>
      </c>
      <c r="B95" s="57">
        <v>1</v>
      </c>
      <c r="C95" s="56">
        <v>1</v>
      </c>
      <c r="D95" s="56" t="s">
        <v>224</v>
      </c>
      <c r="E95" s="58"/>
      <c r="F95" s="59"/>
      <c r="G95" s="56" t="s">
        <v>108</v>
      </c>
      <c r="H95" s="60">
        <f>Tariefopbouw2</f>
        <v>0</v>
      </c>
    </row>
    <row r="96" spans="1:8" x14ac:dyDescent="0.2">
      <c r="A96" s="56" t="s">
        <v>225</v>
      </c>
      <c r="B96" s="57">
        <v>1</v>
      </c>
      <c r="C96" s="56">
        <v>1</v>
      </c>
      <c r="D96" s="56" t="s">
        <v>226</v>
      </c>
      <c r="E96" s="58"/>
      <c r="F96" s="59"/>
      <c r="G96" s="56" t="s">
        <v>108</v>
      </c>
      <c r="H96" s="60">
        <f>Tariefopbouw2</f>
        <v>0</v>
      </c>
    </row>
    <row r="97" spans="1:8" x14ac:dyDescent="0.2">
      <c r="A97" s="56" t="s">
        <v>227</v>
      </c>
      <c r="B97" s="57">
        <v>2</v>
      </c>
      <c r="C97" s="56">
        <v>1</v>
      </c>
      <c r="D97" s="56" t="s">
        <v>228</v>
      </c>
      <c r="E97" s="58"/>
      <c r="F97" s="59"/>
      <c r="G97" s="56" t="s">
        <v>108</v>
      </c>
      <c r="H97" s="60">
        <f>Tariefopbouw2</f>
        <v>0</v>
      </c>
    </row>
    <row r="98" spans="1:8" x14ac:dyDescent="0.2">
      <c r="A98" s="56" t="s">
        <v>229</v>
      </c>
      <c r="B98" s="57">
        <v>2</v>
      </c>
      <c r="C98" s="56">
        <v>1</v>
      </c>
      <c r="D98" s="56" t="s">
        <v>230</v>
      </c>
      <c r="E98" s="58"/>
      <c r="F98" s="59"/>
      <c r="G98" s="56" t="s">
        <v>108</v>
      </c>
      <c r="H98" s="60">
        <f>Tariefopbouw2</f>
        <v>0</v>
      </c>
    </row>
    <row r="99" spans="1:8" x14ac:dyDescent="0.2">
      <c r="A99" s="56" t="s">
        <v>231</v>
      </c>
      <c r="B99" s="57">
        <v>2</v>
      </c>
      <c r="C99" s="56">
        <v>1</v>
      </c>
      <c r="D99" s="56" t="s">
        <v>232</v>
      </c>
      <c r="E99" s="58"/>
      <c r="F99" s="59"/>
      <c r="G99" s="56" t="s">
        <v>108</v>
      </c>
      <c r="H99" s="60">
        <f>Tariefopbouw2</f>
        <v>0</v>
      </c>
    </row>
    <row r="100" spans="1:8" x14ac:dyDescent="0.2">
      <c r="A100" s="56" t="s">
        <v>233</v>
      </c>
      <c r="B100" s="57">
        <v>5</v>
      </c>
      <c r="C100" s="56">
        <v>1</v>
      </c>
      <c r="D100" s="56" t="s">
        <v>234</v>
      </c>
      <c r="E100" s="58"/>
      <c r="F100" s="59"/>
      <c r="G100" s="56" t="s">
        <v>108</v>
      </c>
      <c r="H100" s="60">
        <f>Tariefopbouw2</f>
        <v>0</v>
      </c>
    </row>
    <row r="101" spans="1:8" x14ac:dyDescent="0.2">
      <c r="A101" s="61" t="s">
        <v>235</v>
      </c>
      <c r="B101" s="62">
        <v>5</v>
      </c>
      <c r="C101" s="61">
        <v>1</v>
      </c>
      <c r="D101" s="61" t="s">
        <v>236</v>
      </c>
      <c r="E101" s="63"/>
      <c r="F101" s="64"/>
      <c r="G101" s="61" t="s">
        <v>108</v>
      </c>
      <c r="H101" s="65">
        <f>Tariefopbouw2</f>
        <v>0</v>
      </c>
    </row>
  </sheetData>
  <sheetProtection algorithmName="SHA-512" hashValue="Lw8P19OM3SbEJOGuD/3Gkt5xWiP50dE/SifFPacRBXRCNTjUSrAOdymbZsjdbQXhimLbrHGrv+n2wNsdA+q1Vg==" saltValue="JD5KeyYmkYDHCZ/3VTZuiQ==" spinCount="100000" sheet="1" objects="1" scenarios="1" autoFilter="0"/>
  <pageMargins left="0.7" right="0.7" top="0.75" bottom="0.75" header="0.3" footer="0.3"/>
  <pageSetup scale="70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D6E21-BE0A-4062-8C99-FFDCC23AC832}">
  <dimension ref="A1:N112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12.6328125" customWidth="1"/>
    <col min="4" max="4" width="35.6328125" customWidth="1"/>
    <col min="5" max="5" width="12.6328125" customWidth="1"/>
    <col min="6" max="8" width="11.6328125" customWidth="1"/>
    <col min="9" max="9" width="9.6328125" customWidth="1"/>
    <col min="10" max="12" width="11.6328125" customWidth="1"/>
    <col min="13" max="13" width="12.6328125" customWidth="1"/>
    <col min="14" max="14" width="14.6328125" customWidth="1"/>
  </cols>
  <sheetData>
    <row r="1" spans="1:14" x14ac:dyDescent="0.2">
      <c r="A1" s="1" t="str">
        <f>CONCATENATE("Bijlage F.2.2: ",tabeltype," regulier werk")</f>
        <v>Bijlage F.2.2: Invultabel regulier werk</v>
      </c>
    </row>
    <row r="3" spans="1:14" ht="37.799999999999997" x14ac:dyDescent="0.2">
      <c r="A3" s="40" t="s">
        <v>237</v>
      </c>
      <c r="B3" s="40" t="s">
        <v>7</v>
      </c>
      <c r="C3" s="40" t="s">
        <v>238</v>
      </c>
      <c r="D3" s="40" t="s">
        <v>100</v>
      </c>
      <c r="E3" s="40" t="s">
        <v>239</v>
      </c>
      <c r="F3" s="40" t="s">
        <v>240</v>
      </c>
      <c r="G3" s="40" t="s">
        <v>101</v>
      </c>
      <c r="H3" s="40" t="s">
        <v>102</v>
      </c>
      <c r="I3" s="40" t="s">
        <v>103</v>
      </c>
      <c r="J3" s="40" t="s">
        <v>104</v>
      </c>
      <c r="K3" s="40" t="s">
        <v>241</v>
      </c>
      <c r="L3" s="40" t="s">
        <v>242</v>
      </c>
      <c r="M3" s="40" t="s">
        <v>243</v>
      </c>
      <c r="N3" s="40" t="s">
        <v>244</v>
      </c>
    </row>
    <row r="4" spans="1:14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2">
      <c r="A5" s="44" t="s">
        <v>105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6"/>
    </row>
    <row r="6" spans="1:14" x14ac:dyDescent="0.2">
      <c r="A6" s="51" t="s">
        <v>245</v>
      </c>
      <c r="B6" s="51" t="s">
        <v>24</v>
      </c>
      <c r="C6" s="51" t="s">
        <v>246</v>
      </c>
      <c r="D6" s="51" t="s">
        <v>247</v>
      </c>
      <c r="E6" s="69">
        <v>27.66</v>
      </c>
      <c r="F6" s="69">
        <f>E6*VLOOKUP(B6,dagsoorttabel1,2,FALSE)</f>
        <v>1.3016470588235294</v>
      </c>
      <c r="G6" s="70">
        <f>IF(AND(catpn_1_AHB_1&gt;0,catpn_1_AHV_12&gt;0),(dagenperjaar1*VLOOKUP(B6,dagsoorttabel1,2,FALSE))/(((dagenperjaar1*VLOOKUP(B6,dagsoorttabel1,2,FALSE))-catfd_1_AHV_12)/catpn_1_AHB_1+catfd_1_AHV_12/catpn_1_AHV_12),0)</f>
        <v>0</v>
      </c>
      <c r="H6" s="71">
        <f>IF(AND(catpn_1_AHB_1&gt;0,catpn_1_AHV_12&gt;0),(catdw_1_AHB_1*((dagenperjaar1-VLOOKUP(B6,dagsoorttabel1,2,FALSE))-catfd_1_AHV_12)/catpn_1_AHB_1+catdw_1_AHV_12*catfd_1_AHV_12/catpn_1_AHV_12)/(((dagenperjaar1-VLOOKUP(B6,dagsoorttabel1,2,FALSE))-catfd_1_AHV_12)/catpn_1_AHB_1+catfd_1_AHV_12/catpn_1_AHV_12),0)</f>
        <v>0</v>
      </c>
      <c r="I6" s="51" t="s">
        <v>108</v>
      </c>
      <c r="J6" s="55">
        <f>IF(AND(catpn_1_AHB_1&gt;0,catpn_1_AHV_12&gt;0),(cattf_1_AHB_1*((dagenperjaar1*VLOOKUP(B6,dagsoorttabel1,2,FALSE))-catfd_1_AHV_12)/catpn_1_AHB_1+cattf_1_AHV_12*catfd_1_AHV_12/catpn_1_AHV_12)/(((dagenperjaar1*VLOOKUP(B6,dagsoorttabel1,2,FALSE))-catfd_1_AHV_12)/catpn_1_AHB_1+catfd_1_AHV_12/catpn_1_AHV_12),0)</f>
        <v>0</v>
      </c>
      <c r="K6" s="69">
        <f>IF(OR(ISBLANK(G6),G6=0),0,F6/ROUND(G6,4))</f>
        <v>0</v>
      </c>
      <c r="L6" s="55">
        <f>ROUND(J6,2)*K6</f>
        <v>0</v>
      </c>
      <c r="M6" s="69">
        <f>K6*dagenperjaar1</f>
        <v>0</v>
      </c>
      <c r="N6" s="55">
        <f>M6*ROUND(J6,2)</f>
        <v>0</v>
      </c>
    </row>
    <row r="7" spans="1:14" x14ac:dyDescent="0.2">
      <c r="A7" s="56" t="s">
        <v>248</v>
      </c>
      <c r="B7" s="56" t="s">
        <v>16</v>
      </c>
      <c r="C7" s="56" t="s">
        <v>246</v>
      </c>
      <c r="D7" s="56" t="s">
        <v>249</v>
      </c>
      <c r="E7" s="72">
        <v>13.78</v>
      </c>
      <c r="F7" s="72">
        <f>E7*VLOOKUP(B7,dagsoorttabel1,2,FALSE)</f>
        <v>8.1058823529411761</v>
      </c>
      <c r="G7" s="73">
        <f>IF(AND(catpn_1_BHB_1&gt;0,catpn_1_BHV_30&gt;0),(dagenperjaar1*VLOOKUP(B7,dagsoorttabel1,2,FALSE))/(((dagenperjaar1*VLOOKUP(B7,dagsoorttabel1,2,FALSE))-catfd_1_BHV_30)/catpn_1_BHB_1+catfd_1_BHV_30/catpn_1_BHV_30),0)</f>
        <v>0</v>
      </c>
      <c r="H7" s="74">
        <f>IF(AND(catpn_1_BHB_1&gt;0,catpn_1_BHV_30&gt;0),(catdw_1_BHB_1*((dagenperjaar1-VLOOKUP(B7,dagsoorttabel1,2,FALSE))-catfd_1_BHV_30)/catpn_1_BHB_1+catdw_1_BHV_30*catfd_1_BHV_30/catpn_1_BHV_30)/(((dagenperjaar1-VLOOKUP(B7,dagsoorttabel1,2,FALSE))-catfd_1_BHV_30)/catpn_1_BHB_1+catfd_1_BHV_30/catpn_1_BHV_30),0)</f>
        <v>0</v>
      </c>
      <c r="I7" s="56" t="s">
        <v>108</v>
      </c>
      <c r="J7" s="60">
        <f>IF(AND(catpn_1_BHB_1&gt;0,catpn_1_BHV_30&gt;0),(cattf_1_BHB_1*((dagenperjaar1*VLOOKUP(B7,dagsoorttabel1,2,FALSE))-catfd_1_BHV_30)/catpn_1_BHB_1+cattf_1_BHV_30*catfd_1_BHV_30/catpn_1_BHV_30)/(((dagenperjaar1*VLOOKUP(B7,dagsoorttabel1,2,FALSE))-catfd_1_BHV_30)/catpn_1_BHB_1+catfd_1_BHV_30/catpn_1_BHV_30),0)</f>
        <v>0</v>
      </c>
      <c r="K7" s="72">
        <f>IF(OR(ISBLANK(G7),G7=0),0,F7/ROUND(G7,4))</f>
        <v>0</v>
      </c>
      <c r="L7" s="60">
        <f>ROUND(J7,2)*K7</f>
        <v>0</v>
      </c>
      <c r="M7" s="72">
        <f>K7*dagenperjaar1</f>
        <v>0</v>
      </c>
      <c r="N7" s="60">
        <f>M7*ROUND(J7,2)</f>
        <v>0</v>
      </c>
    </row>
    <row r="8" spans="1:14" x14ac:dyDescent="0.2">
      <c r="A8" s="56" t="s">
        <v>248</v>
      </c>
      <c r="B8" s="56" t="s">
        <v>14</v>
      </c>
      <c r="C8" s="56" t="s">
        <v>246</v>
      </c>
      <c r="D8" s="56" t="s">
        <v>249</v>
      </c>
      <c r="E8" s="72">
        <v>14.7</v>
      </c>
      <c r="F8" s="72">
        <f>E8*VLOOKUP(B8,dagsoorttabel1,2,FALSE)</f>
        <v>10.088235294117647</v>
      </c>
      <c r="G8" s="73">
        <f>IF(AND(catpn_1_BHB_1&gt;0,catpn_1_BHV_35&gt;0),(dagenperjaar1*VLOOKUP(B8,dagsoorttabel1,2,FALSE))/(((dagenperjaar1*VLOOKUP(B8,dagsoorttabel1,2,FALSE))-catfd_1_BHV_35)/catpn_1_BHB_1+catfd_1_BHV_35/catpn_1_BHV_35),0)</f>
        <v>0</v>
      </c>
      <c r="H8" s="74">
        <f>IF(AND(catpn_1_BHB_1&gt;0,catpn_1_BHV_35&gt;0),(catdw_1_BHB_1*((dagenperjaar1-VLOOKUP(B8,dagsoorttabel1,2,FALSE))-catfd_1_BHV_35)/catpn_1_BHB_1+catdw_1_BHV_35*catfd_1_BHV_35/catpn_1_BHV_35)/(((dagenperjaar1-VLOOKUP(B8,dagsoorttabel1,2,FALSE))-catfd_1_BHV_35)/catpn_1_BHB_1+catfd_1_BHV_35/catpn_1_BHV_35),0)</f>
        <v>0</v>
      </c>
      <c r="I8" s="56" t="s">
        <v>108</v>
      </c>
      <c r="J8" s="60">
        <f>IF(AND(catpn_1_BHB_1&gt;0,catpn_1_BHV_35&gt;0),(cattf_1_BHB_1*((dagenperjaar1*VLOOKUP(B8,dagsoorttabel1,2,FALSE))-catfd_1_BHV_35)/catpn_1_BHB_1+cattf_1_BHV_35*catfd_1_BHV_35/catpn_1_BHV_35)/(((dagenperjaar1*VLOOKUP(B8,dagsoorttabel1,2,FALSE))-catfd_1_BHV_35)/catpn_1_BHB_1+catfd_1_BHV_35/catpn_1_BHV_35),0)</f>
        <v>0</v>
      </c>
      <c r="K8" s="72">
        <f>IF(OR(ISBLANK(G8),G8=0),0,F8/ROUND(G8,4))</f>
        <v>0</v>
      </c>
      <c r="L8" s="60">
        <f>ROUND(J8,2)*K8</f>
        <v>0</v>
      </c>
      <c r="M8" s="72">
        <f>K8*dagenperjaar1</f>
        <v>0</v>
      </c>
      <c r="N8" s="60">
        <f>M8*ROUND(J8,2)</f>
        <v>0</v>
      </c>
    </row>
    <row r="9" spans="1:14" x14ac:dyDescent="0.2">
      <c r="A9" s="56" t="s">
        <v>248</v>
      </c>
      <c r="B9" s="56" t="s">
        <v>13</v>
      </c>
      <c r="C9" s="56" t="s">
        <v>246</v>
      </c>
      <c r="D9" s="56" t="s">
        <v>250</v>
      </c>
      <c r="E9" s="72">
        <v>658.36</v>
      </c>
      <c r="F9" s="72">
        <f>E9*VLOOKUP(B9,dagsoorttabel1,2,FALSE)</f>
        <v>516.3607843137255</v>
      </c>
      <c r="G9" s="73">
        <f>IF(AND(catpn_1_BHB_1&gt;0,catpn_1_BHV_40&gt;0),(dagenperjaar1*VLOOKUP(B9,dagsoorttabel1,2,FALSE))/(((dagenperjaar1*VLOOKUP(B9,dagsoorttabel1,2,FALSE))-catfd_1_BHV_40)/catpn_1_BHB_1+catfd_1_BHV_40/catpn_1_BHV_40),0)</f>
        <v>0</v>
      </c>
      <c r="H9" s="74">
        <f>IF(AND(catpn_1_BHB_1&gt;0,catpn_1_BHV_40&gt;0),(catdw_1_BHB_1*((dagenperjaar1-VLOOKUP(B9,dagsoorttabel1,2,FALSE))-catfd_1_BHV_40)/catpn_1_BHB_1+catdw_1_BHV_40*catfd_1_BHV_40/catpn_1_BHV_40)/(((dagenperjaar1-VLOOKUP(B9,dagsoorttabel1,2,FALSE))-catfd_1_BHV_40)/catpn_1_BHB_1+catfd_1_BHV_40/catpn_1_BHV_40),0)</f>
        <v>0</v>
      </c>
      <c r="I9" s="56" t="s">
        <v>108</v>
      </c>
      <c r="J9" s="60">
        <f>IF(AND(catpn_1_BHB_1&gt;0,catpn_1_BHV_40&gt;0),(cattf_1_BHB_1*((dagenperjaar1*VLOOKUP(B9,dagsoorttabel1,2,FALSE))-catfd_1_BHV_40)/catpn_1_BHB_1+cattf_1_BHV_40*catfd_1_BHV_40/catpn_1_BHV_40)/(((dagenperjaar1*VLOOKUP(B9,dagsoorttabel1,2,FALSE))-catfd_1_BHV_40)/catpn_1_BHB_1+catfd_1_BHV_40/catpn_1_BHV_40),0)</f>
        <v>0</v>
      </c>
      <c r="K9" s="72">
        <f>IF(OR(ISBLANK(G9),G9=0),0,F9/ROUND(G9,4))</f>
        <v>0</v>
      </c>
      <c r="L9" s="60">
        <f>ROUND(J9,2)*K9</f>
        <v>0</v>
      </c>
      <c r="M9" s="72">
        <f>K9*dagenperjaar1</f>
        <v>0</v>
      </c>
      <c r="N9" s="60">
        <f>M9*ROUND(J9,2)</f>
        <v>0</v>
      </c>
    </row>
    <row r="10" spans="1:14" x14ac:dyDescent="0.2">
      <c r="A10" s="56" t="s">
        <v>248</v>
      </c>
      <c r="B10" s="56" t="s">
        <v>11</v>
      </c>
      <c r="C10" s="56" t="s">
        <v>246</v>
      </c>
      <c r="D10" s="56" t="s">
        <v>250</v>
      </c>
      <c r="E10" s="72">
        <v>19</v>
      </c>
      <c r="F10" s="72">
        <f>E10*VLOOKUP(B10,dagsoorttabel1,2,FALSE)</f>
        <v>16.764705882352942</v>
      </c>
      <c r="G10" s="73">
        <f>IF(AND(catpn_1_BHB_1&gt;0,catpn_1_BHV_45&gt;0),(dagenperjaar1*VLOOKUP(B10,dagsoorttabel1,2,FALSE))/(((dagenperjaar1*VLOOKUP(B10,dagsoorttabel1,2,FALSE))-catfd_1_BHV_45)/catpn_1_BHB_1+catfd_1_BHV_45/catpn_1_BHV_45),0)</f>
        <v>0</v>
      </c>
      <c r="H10" s="74">
        <f>IF(AND(catpn_1_BHB_1&gt;0,catpn_1_BHV_45&gt;0),(catdw_1_BHB_1*((dagenperjaar1-VLOOKUP(B10,dagsoorttabel1,2,FALSE))-catfd_1_BHV_45)/catpn_1_BHB_1+catdw_1_BHV_45*catfd_1_BHV_45/catpn_1_BHV_45)/(((dagenperjaar1-VLOOKUP(B10,dagsoorttabel1,2,FALSE))-catfd_1_BHV_45)/catpn_1_BHB_1+catfd_1_BHV_45/catpn_1_BHV_45),0)</f>
        <v>0</v>
      </c>
      <c r="I10" s="56" t="s">
        <v>108</v>
      </c>
      <c r="J10" s="60">
        <f>IF(AND(catpn_1_BHB_1&gt;0,catpn_1_BHV_45&gt;0),(cattf_1_BHB_1*((dagenperjaar1*VLOOKUP(B10,dagsoorttabel1,2,FALSE))-catfd_1_BHV_45)/catpn_1_BHB_1+cattf_1_BHV_45*catfd_1_BHV_45/catpn_1_BHV_45)/(((dagenperjaar1*VLOOKUP(B10,dagsoorttabel1,2,FALSE))-catfd_1_BHV_45)/catpn_1_BHB_1+catfd_1_BHV_45/catpn_1_BHV_45),0)</f>
        <v>0</v>
      </c>
      <c r="K10" s="72">
        <f>IF(OR(ISBLANK(G10),G10=0),0,F10/ROUND(G10,4))</f>
        <v>0</v>
      </c>
      <c r="L10" s="60">
        <f>ROUND(J10,2)*K10</f>
        <v>0</v>
      </c>
      <c r="M10" s="72">
        <f>K10*dagenperjaar1</f>
        <v>0</v>
      </c>
      <c r="N10" s="60">
        <f>M10*ROUND(J10,2)</f>
        <v>0</v>
      </c>
    </row>
    <row r="11" spans="1:14" x14ac:dyDescent="0.2">
      <c r="A11" s="56" t="s">
        <v>251</v>
      </c>
      <c r="B11" s="56" t="s">
        <v>16</v>
      </c>
      <c r="C11" s="56" t="s">
        <v>246</v>
      </c>
      <c r="D11" s="56" t="s">
        <v>252</v>
      </c>
      <c r="E11" s="72">
        <v>35.5</v>
      </c>
      <c r="F11" s="72">
        <f>E11*VLOOKUP(B11,dagsoorttabel1,2,FALSE)</f>
        <v>20.882352941176471</v>
      </c>
      <c r="G11" s="73">
        <f>IF(AND(catpn_1_DHB_1&gt;0,catpn_1_DHV_30&gt;0),(dagenperjaar1*VLOOKUP(B11,dagsoorttabel1,2,FALSE))/(((dagenperjaar1*VLOOKUP(B11,dagsoorttabel1,2,FALSE))-catfd_1_DHV_30)/catpn_1_DHB_1+catfd_1_DHV_30/catpn_1_DHV_30),0)</f>
        <v>0</v>
      </c>
      <c r="H11" s="74">
        <f>IF(AND(catpn_1_DHB_1&gt;0,catpn_1_DHV_30&gt;0),(catdw_1_DHB_1*((dagenperjaar1-VLOOKUP(B11,dagsoorttabel1,2,FALSE))-catfd_1_DHV_30)/catpn_1_DHB_1+catdw_1_DHV_30*catfd_1_DHV_30/catpn_1_DHV_30)/(((dagenperjaar1-VLOOKUP(B11,dagsoorttabel1,2,FALSE))-catfd_1_DHV_30)/catpn_1_DHB_1+catfd_1_DHV_30/catpn_1_DHV_30),0)</f>
        <v>0</v>
      </c>
      <c r="I11" s="56" t="s">
        <v>108</v>
      </c>
      <c r="J11" s="60">
        <f>IF(AND(catpn_1_DHB_1&gt;0,catpn_1_DHV_30&gt;0),(cattf_1_DHB_1*((dagenperjaar1*VLOOKUP(B11,dagsoorttabel1,2,FALSE))-catfd_1_DHV_30)/catpn_1_DHB_1+cattf_1_DHV_30*catfd_1_DHV_30/catpn_1_DHV_30)/(((dagenperjaar1*VLOOKUP(B11,dagsoorttabel1,2,FALSE))-catfd_1_DHV_30)/catpn_1_DHB_1+catfd_1_DHV_30/catpn_1_DHV_30),0)</f>
        <v>0</v>
      </c>
      <c r="K11" s="72">
        <f>IF(OR(ISBLANK(G11),G11=0),0,F11/ROUND(G11,4))</f>
        <v>0</v>
      </c>
      <c r="L11" s="60">
        <f>ROUND(J11,2)*K11</f>
        <v>0</v>
      </c>
      <c r="M11" s="72">
        <f>K11*dagenperjaar1</f>
        <v>0</v>
      </c>
      <c r="N11" s="60">
        <f>M11*ROUND(J11,2)</f>
        <v>0</v>
      </c>
    </row>
    <row r="12" spans="1:14" x14ac:dyDescent="0.2">
      <c r="A12" s="56" t="s">
        <v>251</v>
      </c>
      <c r="B12" s="56" t="s">
        <v>14</v>
      </c>
      <c r="C12" s="56" t="s">
        <v>246</v>
      </c>
      <c r="D12" s="56" t="s">
        <v>252</v>
      </c>
      <c r="E12" s="72">
        <v>70.2</v>
      </c>
      <c r="F12" s="72">
        <f>E12*VLOOKUP(B12,dagsoorttabel1,2,FALSE)</f>
        <v>48.176470588235297</v>
      </c>
      <c r="G12" s="73">
        <f>IF(AND(catpn_1_DHB_1&gt;0,catpn_1_DHV_35&gt;0),(dagenperjaar1*VLOOKUP(B12,dagsoorttabel1,2,FALSE))/(((dagenperjaar1*VLOOKUP(B12,dagsoorttabel1,2,FALSE))-catfd_1_DHV_35)/catpn_1_DHB_1+catfd_1_DHV_35/catpn_1_DHV_35),0)</f>
        <v>0</v>
      </c>
      <c r="H12" s="74">
        <f>IF(AND(catpn_1_DHB_1&gt;0,catpn_1_DHV_35&gt;0),(catdw_1_DHB_1*((dagenperjaar1-VLOOKUP(B12,dagsoorttabel1,2,FALSE))-catfd_1_DHV_35)/catpn_1_DHB_1+catdw_1_DHV_35*catfd_1_DHV_35/catpn_1_DHV_35)/(((dagenperjaar1-VLOOKUP(B12,dagsoorttabel1,2,FALSE))-catfd_1_DHV_35)/catpn_1_DHB_1+catfd_1_DHV_35/catpn_1_DHV_35),0)</f>
        <v>0</v>
      </c>
      <c r="I12" s="56" t="s">
        <v>108</v>
      </c>
      <c r="J12" s="60">
        <f>IF(AND(catpn_1_DHB_1&gt;0,catpn_1_DHV_35&gt;0),(cattf_1_DHB_1*((dagenperjaar1*VLOOKUP(B12,dagsoorttabel1,2,FALSE))-catfd_1_DHV_35)/catpn_1_DHB_1+cattf_1_DHV_35*catfd_1_DHV_35/catpn_1_DHV_35)/(((dagenperjaar1*VLOOKUP(B12,dagsoorttabel1,2,FALSE))-catfd_1_DHV_35)/catpn_1_DHB_1+catfd_1_DHV_35/catpn_1_DHV_35),0)</f>
        <v>0</v>
      </c>
      <c r="K12" s="72">
        <f>IF(OR(ISBLANK(G12),G12=0),0,F12/ROUND(G12,4))</f>
        <v>0</v>
      </c>
      <c r="L12" s="60">
        <f>ROUND(J12,2)*K12</f>
        <v>0</v>
      </c>
      <c r="M12" s="72">
        <f>K12*dagenperjaar1</f>
        <v>0</v>
      </c>
      <c r="N12" s="60">
        <f>M12*ROUND(J12,2)</f>
        <v>0</v>
      </c>
    </row>
    <row r="13" spans="1:14" x14ac:dyDescent="0.2">
      <c r="A13" s="56" t="s">
        <v>251</v>
      </c>
      <c r="B13" s="56" t="s">
        <v>13</v>
      </c>
      <c r="C13" s="56" t="s">
        <v>246</v>
      </c>
      <c r="D13" s="56" t="s">
        <v>252</v>
      </c>
      <c r="E13" s="72">
        <v>290.93</v>
      </c>
      <c r="F13" s="72">
        <f>E13*VLOOKUP(B13,dagsoorttabel1,2,FALSE)</f>
        <v>228.18039215686275</v>
      </c>
      <c r="G13" s="73">
        <f>IF(AND(catpn_1_DHB_1&gt;0,catpn_1_DHV_40&gt;0),(dagenperjaar1*VLOOKUP(B13,dagsoorttabel1,2,FALSE))/(((dagenperjaar1*VLOOKUP(B13,dagsoorttabel1,2,FALSE))-catfd_1_DHV_40)/catpn_1_DHB_1+catfd_1_DHV_40/catpn_1_DHV_40),0)</f>
        <v>0</v>
      </c>
      <c r="H13" s="74">
        <f>IF(AND(catpn_1_DHB_1&gt;0,catpn_1_DHV_40&gt;0),(catdw_1_DHB_1*((dagenperjaar1-VLOOKUP(B13,dagsoorttabel1,2,FALSE))-catfd_1_DHV_40)/catpn_1_DHB_1+catdw_1_DHV_40*catfd_1_DHV_40/catpn_1_DHV_40)/(((dagenperjaar1-VLOOKUP(B13,dagsoorttabel1,2,FALSE))-catfd_1_DHV_40)/catpn_1_DHB_1+catfd_1_DHV_40/catpn_1_DHV_40),0)</f>
        <v>0</v>
      </c>
      <c r="I13" s="56" t="s">
        <v>108</v>
      </c>
      <c r="J13" s="60">
        <f>IF(AND(catpn_1_DHB_1&gt;0,catpn_1_DHV_40&gt;0),(cattf_1_DHB_1*((dagenperjaar1*VLOOKUP(B13,dagsoorttabel1,2,FALSE))-catfd_1_DHV_40)/catpn_1_DHB_1+cattf_1_DHV_40*catfd_1_DHV_40/catpn_1_DHV_40)/(((dagenperjaar1*VLOOKUP(B13,dagsoorttabel1,2,FALSE))-catfd_1_DHV_40)/catpn_1_DHB_1+catfd_1_DHV_40/catpn_1_DHV_40),0)</f>
        <v>0</v>
      </c>
      <c r="K13" s="72">
        <f>IF(OR(ISBLANK(G13),G13=0),0,F13/ROUND(G13,4))</f>
        <v>0</v>
      </c>
      <c r="L13" s="60">
        <f>ROUND(J13,2)*K13</f>
        <v>0</v>
      </c>
      <c r="M13" s="72">
        <f>K13*dagenperjaar1</f>
        <v>0</v>
      </c>
      <c r="N13" s="60">
        <f>M13*ROUND(J13,2)</f>
        <v>0</v>
      </c>
    </row>
    <row r="14" spans="1:14" x14ac:dyDescent="0.2">
      <c r="A14" s="56" t="s">
        <v>251</v>
      </c>
      <c r="B14" s="56" t="s">
        <v>11</v>
      </c>
      <c r="C14" s="56" t="s">
        <v>246</v>
      </c>
      <c r="D14" s="56" t="s">
        <v>252</v>
      </c>
      <c r="E14" s="72">
        <v>384.82000000000005</v>
      </c>
      <c r="F14" s="72">
        <f>E14*VLOOKUP(B14,dagsoorttabel1,2,FALSE)</f>
        <v>339.54705882352943</v>
      </c>
      <c r="G14" s="73">
        <f>IF(AND(catpn_1_DHB_1&gt;0,catpn_1_DHV_45&gt;0),(dagenperjaar1*VLOOKUP(B14,dagsoorttabel1,2,FALSE))/(((dagenperjaar1*VLOOKUP(B14,dagsoorttabel1,2,FALSE))-catfd_1_DHV_45)/catpn_1_DHB_1+catfd_1_DHV_45/catpn_1_DHV_45),0)</f>
        <v>0</v>
      </c>
      <c r="H14" s="74">
        <f>IF(AND(catpn_1_DHB_1&gt;0,catpn_1_DHV_45&gt;0),(catdw_1_DHB_1*((dagenperjaar1-VLOOKUP(B14,dagsoorttabel1,2,FALSE))-catfd_1_DHV_45)/catpn_1_DHB_1+catdw_1_DHV_45*catfd_1_DHV_45/catpn_1_DHV_45)/(((dagenperjaar1-VLOOKUP(B14,dagsoorttabel1,2,FALSE))-catfd_1_DHV_45)/catpn_1_DHB_1+catfd_1_DHV_45/catpn_1_DHV_45),0)</f>
        <v>0</v>
      </c>
      <c r="I14" s="56" t="s">
        <v>108</v>
      </c>
      <c r="J14" s="60">
        <f>IF(AND(catpn_1_DHB_1&gt;0,catpn_1_DHV_45&gt;0),(cattf_1_DHB_1*((dagenperjaar1*VLOOKUP(B14,dagsoorttabel1,2,FALSE))-catfd_1_DHV_45)/catpn_1_DHB_1+cattf_1_DHV_45*catfd_1_DHV_45/catpn_1_DHV_45)/(((dagenperjaar1*VLOOKUP(B14,dagsoorttabel1,2,FALSE))-catfd_1_DHV_45)/catpn_1_DHB_1+catfd_1_DHV_45/catpn_1_DHV_45),0)</f>
        <v>0</v>
      </c>
      <c r="K14" s="72">
        <f>IF(OR(ISBLANK(G14),G14=0),0,F14/ROUND(G14,4))</f>
        <v>0</v>
      </c>
      <c r="L14" s="60">
        <f>ROUND(J14,2)*K14</f>
        <v>0</v>
      </c>
      <c r="M14" s="72">
        <f>K14*dagenperjaar1</f>
        <v>0</v>
      </c>
      <c r="N14" s="60">
        <f>M14*ROUND(J14,2)</f>
        <v>0</v>
      </c>
    </row>
    <row r="15" spans="1:14" x14ac:dyDescent="0.2">
      <c r="A15" s="56" t="s">
        <v>253</v>
      </c>
      <c r="B15" s="56" t="s">
        <v>14</v>
      </c>
      <c r="C15" s="56" t="s">
        <v>246</v>
      </c>
      <c r="D15" s="56" t="s">
        <v>254</v>
      </c>
      <c r="E15" s="72">
        <v>42.8</v>
      </c>
      <c r="F15" s="72">
        <f>E15*VLOOKUP(B15,dagsoorttabel1,2,FALSE)</f>
        <v>29.372549019607842</v>
      </c>
      <c r="G15" s="73">
        <f>IF(AND(catpn_1_EHB_1&gt;0,catpn_1_EHV_35&gt;0),(dagenperjaar1*VLOOKUP(B15,dagsoorttabel1,2,FALSE))/(((dagenperjaar1*VLOOKUP(B15,dagsoorttabel1,2,FALSE))-catfd_1_EHV_35)/catpn_1_EHB_1+catfd_1_EHV_35/catpn_1_EHV_35),0)</f>
        <v>0</v>
      </c>
      <c r="H15" s="74">
        <f>IF(AND(catpn_1_EHB_1&gt;0,catpn_1_EHV_35&gt;0),(catdw_1_EHB_1*((dagenperjaar1-VLOOKUP(B15,dagsoorttabel1,2,FALSE))-catfd_1_EHV_35)/catpn_1_EHB_1+catdw_1_EHV_35*catfd_1_EHV_35/catpn_1_EHV_35)/(((dagenperjaar1-VLOOKUP(B15,dagsoorttabel1,2,FALSE))-catfd_1_EHV_35)/catpn_1_EHB_1+catfd_1_EHV_35/catpn_1_EHV_35),0)</f>
        <v>0</v>
      </c>
      <c r="I15" s="56" t="s">
        <v>108</v>
      </c>
      <c r="J15" s="60">
        <f>IF(AND(catpn_1_EHB_1&gt;0,catpn_1_EHV_35&gt;0),(cattf_1_EHB_1*((dagenperjaar1*VLOOKUP(B15,dagsoorttabel1,2,FALSE))-catfd_1_EHV_35)/catpn_1_EHB_1+cattf_1_EHV_35*catfd_1_EHV_35/catpn_1_EHV_35)/(((dagenperjaar1*VLOOKUP(B15,dagsoorttabel1,2,FALSE))-catfd_1_EHV_35)/catpn_1_EHB_1+catfd_1_EHV_35/catpn_1_EHV_35),0)</f>
        <v>0</v>
      </c>
      <c r="K15" s="72">
        <f>IF(OR(ISBLANK(G15),G15=0),0,F15/ROUND(G15,4))</f>
        <v>0</v>
      </c>
      <c r="L15" s="60">
        <f>ROUND(J15,2)*K15</f>
        <v>0</v>
      </c>
      <c r="M15" s="72">
        <f>K15*dagenperjaar1</f>
        <v>0</v>
      </c>
      <c r="N15" s="60">
        <f>M15*ROUND(J15,2)</f>
        <v>0</v>
      </c>
    </row>
    <row r="16" spans="1:14" x14ac:dyDescent="0.2">
      <c r="A16" s="56" t="s">
        <v>253</v>
      </c>
      <c r="B16" s="56" t="s">
        <v>13</v>
      </c>
      <c r="C16" s="56" t="s">
        <v>246</v>
      </c>
      <c r="D16" s="56" t="s">
        <v>254</v>
      </c>
      <c r="E16" s="72">
        <v>97.47999999999999</v>
      </c>
      <c r="F16" s="72">
        <f>E16*VLOOKUP(B16,dagsoorttabel1,2,FALSE)</f>
        <v>76.454901960784298</v>
      </c>
      <c r="G16" s="73">
        <f>IF(AND(catpn_1_EHB_1&gt;0,catpn_1_EHV_40&gt;0),(dagenperjaar1*VLOOKUP(B16,dagsoorttabel1,2,FALSE))/(((dagenperjaar1*VLOOKUP(B16,dagsoorttabel1,2,FALSE))-catfd_1_EHV_40)/catpn_1_EHB_1+catfd_1_EHV_40/catpn_1_EHV_40),0)</f>
        <v>0</v>
      </c>
      <c r="H16" s="74">
        <f>IF(AND(catpn_1_EHB_1&gt;0,catpn_1_EHV_40&gt;0),(catdw_1_EHB_1*((dagenperjaar1-VLOOKUP(B16,dagsoorttabel1,2,FALSE))-catfd_1_EHV_40)/catpn_1_EHB_1+catdw_1_EHV_40*catfd_1_EHV_40/catpn_1_EHV_40)/(((dagenperjaar1-VLOOKUP(B16,dagsoorttabel1,2,FALSE))-catfd_1_EHV_40)/catpn_1_EHB_1+catfd_1_EHV_40/catpn_1_EHV_40),0)</f>
        <v>0</v>
      </c>
      <c r="I16" s="56" t="s">
        <v>108</v>
      </c>
      <c r="J16" s="60">
        <f>IF(AND(catpn_1_EHB_1&gt;0,catpn_1_EHV_40&gt;0),(cattf_1_EHB_1*((dagenperjaar1*VLOOKUP(B16,dagsoorttabel1,2,FALSE))-catfd_1_EHV_40)/catpn_1_EHB_1+cattf_1_EHV_40*catfd_1_EHV_40/catpn_1_EHV_40)/(((dagenperjaar1*VLOOKUP(B16,dagsoorttabel1,2,FALSE))-catfd_1_EHV_40)/catpn_1_EHB_1+catfd_1_EHV_40/catpn_1_EHV_40),0)</f>
        <v>0</v>
      </c>
      <c r="K16" s="72">
        <f>IF(OR(ISBLANK(G16),G16=0),0,F16/ROUND(G16,4))</f>
        <v>0</v>
      </c>
      <c r="L16" s="60">
        <f>ROUND(J16,2)*K16</f>
        <v>0</v>
      </c>
      <c r="M16" s="72">
        <f>K16*dagenperjaar1</f>
        <v>0</v>
      </c>
      <c r="N16" s="60">
        <f>M16*ROUND(J16,2)</f>
        <v>0</v>
      </c>
    </row>
    <row r="17" spans="1:14" x14ac:dyDescent="0.2">
      <c r="A17" s="56" t="s">
        <v>253</v>
      </c>
      <c r="B17" s="56" t="s">
        <v>11</v>
      </c>
      <c r="C17" s="56" t="s">
        <v>246</v>
      </c>
      <c r="D17" s="56" t="s">
        <v>254</v>
      </c>
      <c r="E17" s="72">
        <v>238</v>
      </c>
      <c r="F17" s="72">
        <f>E17*VLOOKUP(B17,dagsoorttabel1,2,FALSE)</f>
        <v>210</v>
      </c>
      <c r="G17" s="73">
        <f>IF(AND(catpn_1_EHB_1&gt;0,catpn_1_EHV_45&gt;0),(dagenperjaar1*VLOOKUP(B17,dagsoorttabel1,2,FALSE))/(((dagenperjaar1*VLOOKUP(B17,dagsoorttabel1,2,FALSE))-catfd_1_EHV_45)/catpn_1_EHB_1+catfd_1_EHV_45/catpn_1_EHV_45),0)</f>
        <v>0</v>
      </c>
      <c r="H17" s="74">
        <f>IF(AND(catpn_1_EHB_1&gt;0,catpn_1_EHV_45&gt;0),(catdw_1_EHB_1*((dagenperjaar1-VLOOKUP(B17,dagsoorttabel1,2,FALSE))-catfd_1_EHV_45)/catpn_1_EHB_1+catdw_1_EHV_45*catfd_1_EHV_45/catpn_1_EHV_45)/(((dagenperjaar1-VLOOKUP(B17,dagsoorttabel1,2,FALSE))-catfd_1_EHV_45)/catpn_1_EHB_1+catfd_1_EHV_45/catpn_1_EHV_45),0)</f>
        <v>0</v>
      </c>
      <c r="I17" s="56" t="s">
        <v>108</v>
      </c>
      <c r="J17" s="60">
        <f>IF(AND(catpn_1_EHB_1&gt;0,catpn_1_EHV_45&gt;0),(cattf_1_EHB_1*((dagenperjaar1*VLOOKUP(B17,dagsoorttabel1,2,FALSE))-catfd_1_EHV_45)/catpn_1_EHB_1+cattf_1_EHV_45*catfd_1_EHV_45/catpn_1_EHV_45)/(((dagenperjaar1*VLOOKUP(B17,dagsoorttabel1,2,FALSE))-catfd_1_EHV_45)/catpn_1_EHB_1+catfd_1_EHV_45/catpn_1_EHV_45),0)</f>
        <v>0</v>
      </c>
      <c r="K17" s="72">
        <f>IF(OR(ISBLANK(G17),G17=0),0,F17/ROUND(G17,4))</f>
        <v>0</v>
      </c>
      <c r="L17" s="60">
        <f>ROUND(J17,2)*K17</f>
        <v>0</v>
      </c>
      <c r="M17" s="72">
        <f>K17*dagenperjaar1</f>
        <v>0</v>
      </c>
      <c r="N17" s="60">
        <f>M17*ROUND(J17,2)</f>
        <v>0</v>
      </c>
    </row>
    <row r="18" spans="1:14" x14ac:dyDescent="0.2">
      <c r="A18" s="56" t="s">
        <v>253</v>
      </c>
      <c r="B18" s="56" t="s">
        <v>10</v>
      </c>
      <c r="C18" s="56" t="s">
        <v>246</v>
      </c>
      <c r="D18" s="56" t="s">
        <v>254</v>
      </c>
      <c r="E18" s="72">
        <v>10.5</v>
      </c>
      <c r="F18" s="72">
        <f>E18*VLOOKUP(B18,dagsoorttabel1,2,FALSE)</f>
        <v>10.5</v>
      </c>
      <c r="G18" s="73">
        <f>IF(AND(catpn_1_EHB_1&gt;0,catpn_1_EHV_51&gt;0),(dagenperjaar1*VLOOKUP(B18,dagsoorttabel1,2,FALSE))/(((dagenperjaar1*VLOOKUP(B18,dagsoorttabel1,2,FALSE))-catfd_1_EHV_51)/catpn_1_EHB_1+catfd_1_EHV_51/catpn_1_EHV_51),0)</f>
        <v>0</v>
      </c>
      <c r="H18" s="74">
        <f>IF(AND(catpn_1_EHB_1&gt;0,catpn_1_EHV_51&gt;0),(catdw_1_EHB_1*((dagenperjaar1-VLOOKUP(B18,dagsoorttabel1,2,FALSE))-catfd_1_EHV_51)/catpn_1_EHB_1+catdw_1_EHV_51*catfd_1_EHV_51/catpn_1_EHV_51)/(((dagenperjaar1-VLOOKUP(B18,dagsoorttabel1,2,FALSE))-catfd_1_EHV_51)/catpn_1_EHB_1+catfd_1_EHV_51/catpn_1_EHV_51),0)</f>
        <v>0</v>
      </c>
      <c r="I18" s="56" t="s">
        <v>108</v>
      </c>
      <c r="J18" s="60">
        <f>IF(AND(catpn_1_EHB_1&gt;0,catpn_1_EHV_51&gt;0),(cattf_1_EHB_1*((dagenperjaar1*VLOOKUP(B18,dagsoorttabel1,2,FALSE))-catfd_1_EHV_51)/catpn_1_EHB_1+cattf_1_EHV_51*catfd_1_EHV_51/catpn_1_EHV_51)/(((dagenperjaar1*VLOOKUP(B18,dagsoorttabel1,2,FALSE))-catfd_1_EHV_51)/catpn_1_EHB_1+catfd_1_EHV_51/catpn_1_EHV_51),0)</f>
        <v>0</v>
      </c>
      <c r="K18" s="72">
        <f>IF(OR(ISBLANK(G18),G18=0),0,F18/ROUND(G18,4))</f>
        <v>0</v>
      </c>
      <c r="L18" s="60">
        <f>ROUND(J18,2)*K18</f>
        <v>0</v>
      </c>
      <c r="M18" s="72">
        <f>K18*dagenperjaar1</f>
        <v>0</v>
      </c>
      <c r="N18" s="60">
        <f>M18*ROUND(J18,2)</f>
        <v>0</v>
      </c>
    </row>
    <row r="19" spans="1:14" x14ac:dyDescent="0.2">
      <c r="A19" s="56" t="s">
        <v>255</v>
      </c>
      <c r="B19" s="56" t="s">
        <v>13</v>
      </c>
      <c r="C19" s="56" t="s">
        <v>246</v>
      </c>
      <c r="D19" s="56" t="s">
        <v>256</v>
      </c>
      <c r="E19" s="72">
        <v>4.92</v>
      </c>
      <c r="F19" s="72">
        <f>E19*VLOOKUP(B19,dagsoorttabel1,2,FALSE)</f>
        <v>3.8588235294117648</v>
      </c>
      <c r="G19" s="73">
        <f>IF(AND(catpn_1_EZB_1&gt;0,catpn_1_EZV_40&gt;0),(dagenperjaar1*VLOOKUP(B19,dagsoorttabel1,2,FALSE))/(((dagenperjaar1*VLOOKUP(B19,dagsoorttabel1,2,FALSE))-catfd_1_EZV_40)/catpn_1_EZB_1+catfd_1_EZV_40/catpn_1_EZV_40),0)</f>
        <v>0</v>
      </c>
      <c r="H19" s="74">
        <f>IF(AND(catpn_1_EZB_1&gt;0,catpn_1_EZV_40&gt;0),(catdw_1_EZB_1*((dagenperjaar1-VLOOKUP(B19,dagsoorttabel1,2,FALSE))-catfd_1_EZV_40)/catpn_1_EZB_1+catdw_1_EZV_40*catfd_1_EZV_40/catpn_1_EZV_40)/(((dagenperjaar1-VLOOKUP(B19,dagsoorttabel1,2,FALSE))-catfd_1_EZV_40)/catpn_1_EZB_1+catfd_1_EZV_40/catpn_1_EZV_40),0)</f>
        <v>0</v>
      </c>
      <c r="I19" s="56" t="s">
        <v>108</v>
      </c>
      <c r="J19" s="60">
        <f>IF(AND(catpn_1_EZB_1&gt;0,catpn_1_EZV_40&gt;0),(cattf_1_EZB_1*((dagenperjaar1*VLOOKUP(B19,dagsoorttabel1,2,FALSE))-catfd_1_EZV_40)/catpn_1_EZB_1+cattf_1_EZV_40*catfd_1_EZV_40/catpn_1_EZV_40)/(((dagenperjaar1*VLOOKUP(B19,dagsoorttabel1,2,FALSE))-catfd_1_EZV_40)/catpn_1_EZB_1+catfd_1_EZV_40/catpn_1_EZV_40),0)</f>
        <v>0</v>
      </c>
      <c r="K19" s="72">
        <f>IF(OR(ISBLANK(G19),G19=0),0,F19/ROUND(G19,4))</f>
        <v>0</v>
      </c>
      <c r="L19" s="60">
        <f>ROUND(J19,2)*K19</f>
        <v>0</v>
      </c>
      <c r="M19" s="72">
        <f>K19*dagenperjaar1</f>
        <v>0</v>
      </c>
      <c r="N19" s="60">
        <f>M19*ROUND(J19,2)</f>
        <v>0</v>
      </c>
    </row>
    <row r="20" spans="1:14" x14ac:dyDescent="0.2">
      <c r="A20" s="56" t="s">
        <v>257</v>
      </c>
      <c r="B20" s="56" t="s">
        <v>16</v>
      </c>
      <c r="C20" s="56" t="s">
        <v>246</v>
      </c>
      <c r="D20" s="56" t="s">
        <v>258</v>
      </c>
      <c r="E20" s="72">
        <v>1.61</v>
      </c>
      <c r="F20" s="72">
        <f>E20*VLOOKUP(B20,dagsoorttabel1,2,FALSE)</f>
        <v>0.94705882352941184</v>
      </c>
      <c r="G20" s="73">
        <f>IF(AND(catpn_1_FHB_1&gt;0,catpn_1_FHV_30&gt;0),(dagenperjaar1*VLOOKUP(B20,dagsoorttabel1,2,FALSE))/(((dagenperjaar1*VLOOKUP(B20,dagsoorttabel1,2,FALSE))-catfd_1_FHV_30)/catpn_1_FHB_1+catfd_1_FHV_30/catpn_1_FHV_30),0)</f>
        <v>0</v>
      </c>
      <c r="H20" s="74">
        <f>IF(AND(catpn_1_FHB_1&gt;0,catpn_1_FHV_30&gt;0),(catdw_1_FHB_1*((dagenperjaar1-VLOOKUP(B20,dagsoorttabel1,2,FALSE))-catfd_1_FHV_30)/catpn_1_FHB_1+catdw_1_FHV_30*catfd_1_FHV_30/catpn_1_FHV_30)/(((dagenperjaar1-VLOOKUP(B20,dagsoorttabel1,2,FALSE))-catfd_1_FHV_30)/catpn_1_FHB_1+catfd_1_FHV_30/catpn_1_FHV_30),0)</f>
        <v>0</v>
      </c>
      <c r="I20" s="56" t="s">
        <v>108</v>
      </c>
      <c r="J20" s="60">
        <f>IF(AND(catpn_1_FHB_1&gt;0,catpn_1_FHV_30&gt;0),(cattf_1_FHB_1*((dagenperjaar1*VLOOKUP(B20,dagsoorttabel1,2,FALSE))-catfd_1_FHV_30)/catpn_1_FHB_1+cattf_1_FHV_30*catfd_1_FHV_30/catpn_1_FHV_30)/(((dagenperjaar1*VLOOKUP(B20,dagsoorttabel1,2,FALSE))-catfd_1_FHV_30)/catpn_1_FHB_1+catfd_1_FHV_30/catpn_1_FHV_30),0)</f>
        <v>0</v>
      </c>
      <c r="K20" s="72">
        <f>IF(OR(ISBLANK(G20),G20=0),0,F20/ROUND(G20,4))</f>
        <v>0</v>
      </c>
      <c r="L20" s="60">
        <f>ROUND(J20,2)*K20</f>
        <v>0</v>
      </c>
      <c r="M20" s="72">
        <f>K20*dagenperjaar1</f>
        <v>0</v>
      </c>
      <c r="N20" s="60">
        <f>M20*ROUND(J20,2)</f>
        <v>0</v>
      </c>
    </row>
    <row r="21" spans="1:14" x14ac:dyDescent="0.2">
      <c r="A21" s="56" t="s">
        <v>257</v>
      </c>
      <c r="B21" s="56" t="s">
        <v>14</v>
      </c>
      <c r="C21" s="56" t="s">
        <v>246</v>
      </c>
      <c r="D21" s="56" t="s">
        <v>258</v>
      </c>
      <c r="E21" s="72">
        <v>4</v>
      </c>
      <c r="F21" s="72">
        <f>E21*VLOOKUP(B21,dagsoorttabel1,2,FALSE)</f>
        <v>2.7450980392156863</v>
      </c>
      <c r="G21" s="73">
        <f>IF(AND(catpn_1_FHB_1&gt;0,catpn_1_FHV_35&gt;0),(dagenperjaar1*VLOOKUP(B21,dagsoorttabel1,2,FALSE))/(((dagenperjaar1*VLOOKUP(B21,dagsoorttabel1,2,FALSE))-catfd_1_FHV_35)/catpn_1_FHB_1+catfd_1_FHV_35/catpn_1_FHV_35),0)</f>
        <v>0</v>
      </c>
      <c r="H21" s="74">
        <f>IF(AND(catpn_1_FHB_1&gt;0,catpn_1_FHV_35&gt;0),(catdw_1_FHB_1*((dagenperjaar1-VLOOKUP(B21,dagsoorttabel1,2,FALSE))-catfd_1_FHV_35)/catpn_1_FHB_1+catdw_1_FHV_35*catfd_1_FHV_35/catpn_1_FHV_35)/(((dagenperjaar1-VLOOKUP(B21,dagsoorttabel1,2,FALSE))-catfd_1_FHV_35)/catpn_1_FHB_1+catfd_1_FHV_35/catpn_1_FHV_35),0)</f>
        <v>0</v>
      </c>
      <c r="I21" s="56" t="s">
        <v>108</v>
      </c>
      <c r="J21" s="60">
        <f>IF(AND(catpn_1_FHB_1&gt;0,catpn_1_FHV_35&gt;0),(cattf_1_FHB_1*((dagenperjaar1*VLOOKUP(B21,dagsoorttabel1,2,FALSE))-catfd_1_FHV_35)/catpn_1_FHB_1+cattf_1_FHV_35*catfd_1_FHV_35/catpn_1_FHV_35)/(((dagenperjaar1*VLOOKUP(B21,dagsoorttabel1,2,FALSE))-catfd_1_FHV_35)/catpn_1_FHB_1+catfd_1_FHV_35/catpn_1_FHV_35),0)</f>
        <v>0</v>
      </c>
      <c r="K21" s="72">
        <f>IF(OR(ISBLANK(G21),G21=0),0,F21/ROUND(G21,4))</f>
        <v>0</v>
      </c>
      <c r="L21" s="60">
        <f>ROUND(J21,2)*K21</f>
        <v>0</v>
      </c>
      <c r="M21" s="72">
        <f>K21*dagenperjaar1</f>
        <v>0</v>
      </c>
      <c r="N21" s="60">
        <f>M21*ROUND(J21,2)</f>
        <v>0</v>
      </c>
    </row>
    <row r="22" spans="1:14" x14ac:dyDescent="0.2">
      <c r="A22" s="56" t="s">
        <v>257</v>
      </c>
      <c r="B22" s="56" t="s">
        <v>13</v>
      </c>
      <c r="C22" s="56" t="s">
        <v>246</v>
      </c>
      <c r="D22" s="56" t="s">
        <v>258</v>
      </c>
      <c r="E22" s="72">
        <v>1.54</v>
      </c>
      <c r="F22" s="72">
        <f>E22*VLOOKUP(B22,dagsoorttabel1,2,FALSE)</f>
        <v>1.2078431372549019</v>
      </c>
      <c r="G22" s="73">
        <f>IF(AND(catpn_1_FHB_1&gt;0,catpn_1_FHV_40&gt;0),(dagenperjaar1*VLOOKUP(B22,dagsoorttabel1,2,FALSE))/(((dagenperjaar1*VLOOKUP(B22,dagsoorttabel1,2,FALSE))-catfd_1_FHV_40)/catpn_1_FHB_1+catfd_1_FHV_40/catpn_1_FHV_40),0)</f>
        <v>0</v>
      </c>
      <c r="H22" s="74">
        <f>IF(AND(catpn_1_FHB_1&gt;0,catpn_1_FHV_40&gt;0),(catdw_1_FHB_1*((dagenperjaar1-VLOOKUP(B22,dagsoorttabel1,2,FALSE))-catfd_1_FHV_40)/catpn_1_FHB_1+catdw_1_FHV_40*catfd_1_FHV_40/catpn_1_FHV_40)/(((dagenperjaar1-VLOOKUP(B22,dagsoorttabel1,2,FALSE))-catfd_1_FHV_40)/catpn_1_FHB_1+catfd_1_FHV_40/catpn_1_FHV_40),0)</f>
        <v>0</v>
      </c>
      <c r="I22" s="56" t="s">
        <v>108</v>
      </c>
      <c r="J22" s="60">
        <f>IF(AND(catpn_1_FHB_1&gt;0,catpn_1_FHV_40&gt;0),(cattf_1_FHB_1*((dagenperjaar1*VLOOKUP(B22,dagsoorttabel1,2,FALSE))-catfd_1_FHV_40)/catpn_1_FHB_1+cattf_1_FHV_40*catfd_1_FHV_40/catpn_1_FHV_40)/(((dagenperjaar1*VLOOKUP(B22,dagsoorttabel1,2,FALSE))-catfd_1_FHV_40)/catpn_1_FHB_1+catfd_1_FHV_40/catpn_1_FHV_40),0)</f>
        <v>0</v>
      </c>
      <c r="K22" s="72">
        <f>IF(OR(ISBLANK(G22),G22=0),0,F22/ROUND(G22,4))</f>
        <v>0</v>
      </c>
      <c r="L22" s="60">
        <f>ROUND(J22,2)*K22</f>
        <v>0</v>
      </c>
      <c r="M22" s="72">
        <f>K22*dagenperjaar1</f>
        <v>0</v>
      </c>
      <c r="N22" s="60">
        <f>M22*ROUND(J22,2)</f>
        <v>0</v>
      </c>
    </row>
    <row r="23" spans="1:14" x14ac:dyDescent="0.2">
      <c r="A23" s="56" t="s">
        <v>259</v>
      </c>
      <c r="B23" s="56" t="s">
        <v>16</v>
      </c>
      <c r="C23" s="56" t="s">
        <v>246</v>
      </c>
      <c r="D23" s="56" t="s">
        <v>260</v>
      </c>
      <c r="E23" s="72">
        <v>1314.84</v>
      </c>
      <c r="F23" s="72">
        <f>E23*VLOOKUP(B23,dagsoorttabel1,2,FALSE)</f>
        <v>773.435294117647</v>
      </c>
      <c r="G23" s="73">
        <f>IF(AND(catpn_1_GHB_1&gt;0,catpn_1_GHV_30&gt;0),(dagenperjaar1*VLOOKUP(B23,dagsoorttabel1,2,FALSE))/(((dagenperjaar1*VLOOKUP(B23,dagsoorttabel1,2,FALSE))-catfd_1_GHV_30)/catpn_1_GHB_1+catfd_1_GHV_30/catpn_1_GHV_30),0)</f>
        <v>0</v>
      </c>
      <c r="H23" s="74">
        <f>IF(AND(catpn_1_GHB_1&gt;0,catpn_1_GHV_30&gt;0),(catdw_1_GHB_1*((dagenperjaar1-VLOOKUP(B23,dagsoorttabel1,2,FALSE))-catfd_1_GHV_30)/catpn_1_GHB_1+catdw_1_GHV_30*catfd_1_GHV_30/catpn_1_GHV_30)/(((dagenperjaar1-VLOOKUP(B23,dagsoorttabel1,2,FALSE))-catfd_1_GHV_30)/catpn_1_GHB_1+catfd_1_GHV_30/catpn_1_GHV_30),0)</f>
        <v>0</v>
      </c>
      <c r="I23" s="56" t="s">
        <v>108</v>
      </c>
      <c r="J23" s="60">
        <f>IF(AND(catpn_1_GHB_1&gt;0,catpn_1_GHV_30&gt;0),(cattf_1_GHB_1*((dagenperjaar1*VLOOKUP(B23,dagsoorttabel1,2,FALSE))-catfd_1_GHV_30)/catpn_1_GHB_1+cattf_1_GHV_30*catfd_1_GHV_30/catpn_1_GHV_30)/(((dagenperjaar1*VLOOKUP(B23,dagsoorttabel1,2,FALSE))-catfd_1_GHV_30)/catpn_1_GHB_1+catfd_1_GHV_30/catpn_1_GHV_30),0)</f>
        <v>0</v>
      </c>
      <c r="K23" s="72">
        <f>IF(OR(ISBLANK(G23),G23=0),0,F23/ROUND(G23,4))</f>
        <v>0</v>
      </c>
      <c r="L23" s="60">
        <f>ROUND(J23,2)*K23</f>
        <v>0</v>
      </c>
      <c r="M23" s="72">
        <f>K23*dagenperjaar1</f>
        <v>0</v>
      </c>
      <c r="N23" s="60">
        <f>M23*ROUND(J23,2)</f>
        <v>0</v>
      </c>
    </row>
    <row r="24" spans="1:14" x14ac:dyDescent="0.2">
      <c r="A24" s="56" t="s">
        <v>259</v>
      </c>
      <c r="B24" s="56" t="s">
        <v>14</v>
      </c>
      <c r="C24" s="56" t="s">
        <v>246</v>
      </c>
      <c r="D24" s="56" t="s">
        <v>261</v>
      </c>
      <c r="E24" s="72">
        <v>1699.9</v>
      </c>
      <c r="F24" s="72">
        <f>E24*VLOOKUP(B24,dagsoorttabel1,2,FALSE)</f>
        <v>1166.5980392156864</v>
      </c>
      <c r="G24" s="73">
        <f>IF(AND(catpn_1_GHB_1&gt;0,catpn_1_GHV_35&gt;0),(dagenperjaar1*VLOOKUP(B24,dagsoorttabel1,2,FALSE))/(((dagenperjaar1*VLOOKUP(B24,dagsoorttabel1,2,FALSE))-catfd_1_GHV_35)/catpn_1_GHB_1+catfd_1_GHV_35/catpn_1_GHV_35),0)</f>
        <v>0</v>
      </c>
      <c r="H24" s="74">
        <f>IF(AND(catpn_1_GHB_1&gt;0,catpn_1_GHV_35&gt;0),(catdw_1_GHB_1*((dagenperjaar1-VLOOKUP(B24,dagsoorttabel1,2,FALSE))-catfd_1_GHV_35)/catpn_1_GHB_1+catdw_1_GHV_35*catfd_1_GHV_35/catpn_1_GHV_35)/(((dagenperjaar1-VLOOKUP(B24,dagsoorttabel1,2,FALSE))-catfd_1_GHV_35)/catpn_1_GHB_1+catfd_1_GHV_35/catpn_1_GHV_35),0)</f>
        <v>0</v>
      </c>
      <c r="I24" s="56" t="s">
        <v>108</v>
      </c>
      <c r="J24" s="60">
        <f>IF(AND(catpn_1_GHB_1&gt;0,catpn_1_GHV_35&gt;0),(cattf_1_GHB_1*((dagenperjaar1*VLOOKUP(B24,dagsoorttabel1,2,FALSE))-catfd_1_GHV_35)/catpn_1_GHB_1+cattf_1_GHV_35*catfd_1_GHV_35/catpn_1_GHV_35)/(((dagenperjaar1*VLOOKUP(B24,dagsoorttabel1,2,FALSE))-catfd_1_GHV_35)/catpn_1_GHB_1+catfd_1_GHV_35/catpn_1_GHV_35),0)</f>
        <v>0</v>
      </c>
      <c r="K24" s="72">
        <f>IF(OR(ISBLANK(G24),G24=0),0,F24/ROUND(G24,4))</f>
        <v>0</v>
      </c>
      <c r="L24" s="60">
        <f>ROUND(J24,2)*K24</f>
        <v>0</v>
      </c>
      <c r="M24" s="72">
        <f>K24*dagenperjaar1</f>
        <v>0</v>
      </c>
      <c r="N24" s="60">
        <f>M24*ROUND(J24,2)</f>
        <v>0</v>
      </c>
    </row>
    <row r="25" spans="1:14" x14ac:dyDescent="0.2">
      <c r="A25" s="56" t="s">
        <v>259</v>
      </c>
      <c r="B25" s="56" t="s">
        <v>13</v>
      </c>
      <c r="C25" s="56" t="s">
        <v>246</v>
      </c>
      <c r="D25" s="56" t="s">
        <v>261</v>
      </c>
      <c r="E25" s="72">
        <v>6979.1599999999989</v>
      </c>
      <c r="F25" s="72">
        <f>E25*VLOOKUP(B25,dagsoorttabel1,2,FALSE)</f>
        <v>5473.8509803921561</v>
      </c>
      <c r="G25" s="73">
        <f>IF(AND(catpn_1_GHB_1&gt;0,catpn_1_GHV_40&gt;0),(dagenperjaar1*VLOOKUP(B25,dagsoorttabel1,2,FALSE))/(((dagenperjaar1*VLOOKUP(B25,dagsoorttabel1,2,FALSE))-catfd_1_GHV_40)/catpn_1_GHB_1+catfd_1_GHV_40/catpn_1_GHV_40),0)</f>
        <v>0</v>
      </c>
      <c r="H25" s="74">
        <f>IF(AND(catpn_1_GHB_1&gt;0,catpn_1_GHV_40&gt;0),(catdw_1_GHB_1*((dagenperjaar1-VLOOKUP(B25,dagsoorttabel1,2,FALSE))-catfd_1_GHV_40)/catpn_1_GHB_1+catdw_1_GHV_40*catfd_1_GHV_40/catpn_1_GHV_40)/(((dagenperjaar1-VLOOKUP(B25,dagsoorttabel1,2,FALSE))-catfd_1_GHV_40)/catpn_1_GHB_1+catfd_1_GHV_40/catpn_1_GHV_40),0)</f>
        <v>0</v>
      </c>
      <c r="I25" s="56" t="s">
        <v>108</v>
      </c>
      <c r="J25" s="60">
        <f>IF(AND(catpn_1_GHB_1&gt;0,catpn_1_GHV_40&gt;0),(cattf_1_GHB_1*((dagenperjaar1*VLOOKUP(B25,dagsoorttabel1,2,FALSE))-catfd_1_GHV_40)/catpn_1_GHB_1+cattf_1_GHV_40*catfd_1_GHV_40/catpn_1_GHV_40)/(((dagenperjaar1*VLOOKUP(B25,dagsoorttabel1,2,FALSE))-catfd_1_GHV_40)/catpn_1_GHB_1+catfd_1_GHV_40/catpn_1_GHV_40),0)</f>
        <v>0</v>
      </c>
      <c r="K25" s="72">
        <f>IF(OR(ISBLANK(G25),G25=0),0,F25/ROUND(G25,4))</f>
        <v>0</v>
      </c>
      <c r="L25" s="60">
        <f>ROUND(J25,2)*K25</f>
        <v>0</v>
      </c>
      <c r="M25" s="72">
        <f>K25*dagenperjaar1</f>
        <v>0</v>
      </c>
      <c r="N25" s="60">
        <f>M25*ROUND(J25,2)</f>
        <v>0</v>
      </c>
    </row>
    <row r="26" spans="1:14" x14ac:dyDescent="0.2">
      <c r="A26" s="56" t="s">
        <v>259</v>
      </c>
      <c r="B26" s="56" t="s">
        <v>11</v>
      </c>
      <c r="C26" s="56" t="s">
        <v>246</v>
      </c>
      <c r="D26" s="56" t="s">
        <v>261</v>
      </c>
      <c r="E26" s="72">
        <v>3461.6600000000003</v>
      </c>
      <c r="F26" s="72">
        <f>E26*VLOOKUP(B26,dagsoorttabel1,2,FALSE)</f>
        <v>3054.4058823529413</v>
      </c>
      <c r="G26" s="73">
        <f>IF(AND(catpn_1_GHB_1&gt;0,catpn_1_GHV_45&gt;0),(dagenperjaar1*VLOOKUP(B26,dagsoorttabel1,2,FALSE))/(((dagenperjaar1*VLOOKUP(B26,dagsoorttabel1,2,FALSE))-catfd_1_GHV_45)/catpn_1_GHB_1+catfd_1_GHV_45/catpn_1_GHV_45),0)</f>
        <v>0</v>
      </c>
      <c r="H26" s="74">
        <f>IF(AND(catpn_1_GHB_1&gt;0,catpn_1_GHV_45&gt;0),(catdw_1_GHB_1*((dagenperjaar1-VLOOKUP(B26,dagsoorttabel1,2,FALSE))-catfd_1_GHV_45)/catpn_1_GHB_1+catdw_1_GHV_45*catfd_1_GHV_45/catpn_1_GHV_45)/(((dagenperjaar1-VLOOKUP(B26,dagsoorttabel1,2,FALSE))-catfd_1_GHV_45)/catpn_1_GHB_1+catfd_1_GHV_45/catpn_1_GHV_45),0)</f>
        <v>0</v>
      </c>
      <c r="I26" s="56" t="s">
        <v>108</v>
      </c>
      <c r="J26" s="60">
        <f>IF(AND(catpn_1_GHB_1&gt;0,catpn_1_GHV_45&gt;0),(cattf_1_GHB_1*((dagenperjaar1*VLOOKUP(B26,dagsoorttabel1,2,FALSE))-catfd_1_GHV_45)/catpn_1_GHB_1+cattf_1_GHV_45*catfd_1_GHV_45/catpn_1_GHV_45)/(((dagenperjaar1*VLOOKUP(B26,dagsoorttabel1,2,FALSE))-catfd_1_GHV_45)/catpn_1_GHB_1+catfd_1_GHV_45/catpn_1_GHV_45),0)</f>
        <v>0</v>
      </c>
      <c r="K26" s="72">
        <f>IF(OR(ISBLANK(G26),G26=0),0,F26/ROUND(G26,4))</f>
        <v>0</v>
      </c>
      <c r="L26" s="60">
        <f>ROUND(J26,2)*K26</f>
        <v>0</v>
      </c>
      <c r="M26" s="72">
        <f>K26*dagenperjaar1</f>
        <v>0</v>
      </c>
      <c r="N26" s="60">
        <f>M26*ROUND(J26,2)</f>
        <v>0</v>
      </c>
    </row>
    <row r="27" spans="1:14" x14ac:dyDescent="0.2">
      <c r="A27" s="56" t="s">
        <v>259</v>
      </c>
      <c r="B27" s="56" t="s">
        <v>28</v>
      </c>
      <c r="C27" s="56" t="s">
        <v>246</v>
      </c>
      <c r="D27" s="56" t="s">
        <v>261</v>
      </c>
      <c r="E27" s="72">
        <v>504.51</v>
      </c>
      <c r="F27" s="72">
        <f>E27*VLOOKUP(B27,dagsoorttabel1,2,FALSE)</f>
        <v>3.956941176470588</v>
      </c>
      <c r="G27" s="73">
        <f>catpn_1_GHB_1</f>
        <v>0</v>
      </c>
      <c r="H27" s="74">
        <f>catdw_1_GHB_1</f>
        <v>0</v>
      </c>
      <c r="I27" s="56" t="s">
        <v>108</v>
      </c>
      <c r="J27" s="60">
        <f>cattf_1_GHB_1</f>
        <v>0</v>
      </c>
      <c r="K27" s="72">
        <f>IF(OR(ISBLANK(G27),G27=0),0,F27/ROUND(G27,4))</f>
        <v>0</v>
      </c>
      <c r="L27" s="60">
        <f>ROUND(J27,2)*K27</f>
        <v>0</v>
      </c>
      <c r="M27" s="72">
        <f>K27*dagenperjaar1</f>
        <v>0</v>
      </c>
      <c r="N27" s="60">
        <f>M27*ROUND(J27,2)</f>
        <v>0</v>
      </c>
    </row>
    <row r="28" spans="1:14" x14ac:dyDescent="0.2">
      <c r="A28" s="56" t="s">
        <v>259</v>
      </c>
      <c r="B28" s="56" t="s">
        <v>22</v>
      </c>
      <c r="C28" s="56" t="s">
        <v>246</v>
      </c>
      <c r="D28" s="56" t="s">
        <v>260</v>
      </c>
      <c r="E28" s="72">
        <v>32.949999999999996</v>
      </c>
      <c r="F28" s="72">
        <f>E28*VLOOKUP(B28,dagsoorttabel1,2,FALSE)</f>
        <v>5.1686274509803916</v>
      </c>
      <c r="G28" s="73">
        <f>IF(AND(catpn_1_GHB_1&gt;0,catpn_1_GHV_40&gt;0),(dagenperjaar1*VLOOKUP(B28,dagsoorttabel1,2,FALSE))/(((dagenperjaar1*VLOOKUP(B28,dagsoorttabel1,2,FALSE))-catfd_1_GHV_40)/catpn_1_GHB_1+catfd_1_GHV_40/catpn_1_GHV_40),0)</f>
        <v>0</v>
      </c>
      <c r="H28" s="74">
        <f>IF(AND(catpn_1_GHB_1&gt;0,catpn_1_GHV_40&gt;0),(catdw_1_GHB_1*((dagenperjaar1-VLOOKUP(B28,dagsoorttabel1,2,FALSE))-catfd_1_GHV_40)/catpn_1_GHB_1+catdw_1_GHV_40*catfd_1_GHV_40/catpn_1_GHV_40)/(((dagenperjaar1-VLOOKUP(B28,dagsoorttabel1,2,FALSE))-catfd_1_GHV_40)/catpn_1_GHB_1+catfd_1_GHV_40/catpn_1_GHV_40),0)</f>
        <v>0</v>
      </c>
      <c r="I28" s="56" t="s">
        <v>108</v>
      </c>
      <c r="J28" s="60">
        <f>IF(AND(catpn_1_GHB_1&gt;0,catpn_1_GHV_40&gt;0),(cattf_1_GHB_1*((dagenperjaar1*VLOOKUP(B28,dagsoorttabel1,2,FALSE))-catfd_1_GHV_40)/catpn_1_GHB_1+cattf_1_GHV_40*catfd_1_GHV_40/catpn_1_GHV_40)/(((dagenperjaar1*VLOOKUP(B28,dagsoorttabel1,2,FALSE))-catfd_1_GHV_40)/catpn_1_GHB_1+catfd_1_GHV_40/catpn_1_GHV_40),0)</f>
        <v>0</v>
      </c>
      <c r="K28" s="72">
        <f>IF(OR(ISBLANK(G28),G28=0),0,F28/ROUND(G28,4))</f>
        <v>0</v>
      </c>
      <c r="L28" s="60">
        <f>ROUND(J28,2)*K28</f>
        <v>0</v>
      </c>
      <c r="M28" s="72">
        <f>K28*dagenperjaar1</f>
        <v>0</v>
      </c>
      <c r="N28" s="60">
        <f>M28*ROUND(J28,2)</f>
        <v>0</v>
      </c>
    </row>
    <row r="29" spans="1:14" x14ac:dyDescent="0.2">
      <c r="A29" s="56" t="s">
        <v>262</v>
      </c>
      <c r="B29" s="56" t="s">
        <v>16</v>
      </c>
      <c r="C29" s="56" t="s">
        <v>246</v>
      </c>
      <c r="D29" s="56" t="s">
        <v>263</v>
      </c>
      <c r="E29" s="72">
        <v>60</v>
      </c>
      <c r="F29" s="72">
        <f>E29*VLOOKUP(B29,dagsoorttabel1,2,FALSE)</f>
        <v>35.294117647058826</v>
      </c>
      <c r="G29" s="73">
        <f>IF(AND(catpn_1_KLHB_1&gt;0,catpn_1_KLHV_30&gt;0),(dagenperjaar1*VLOOKUP(B29,dagsoorttabel1,2,FALSE))/(((dagenperjaar1*VLOOKUP(B29,dagsoorttabel1,2,FALSE))-catfd_1_KLHV_30)/catpn_1_KLHB_1+catfd_1_KLHV_30/catpn_1_KLHV_30),0)</f>
        <v>0</v>
      </c>
      <c r="H29" s="74">
        <f>IF(AND(catpn_1_KLHB_1&gt;0,catpn_1_KLHV_30&gt;0),(catdw_1_KLHB_1*((dagenperjaar1-VLOOKUP(B29,dagsoorttabel1,2,FALSE))-catfd_1_KLHV_30)/catpn_1_KLHB_1+catdw_1_KLHV_30*catfd_1_KLHV_30/catpn_1_KLHV_30)/(((dagenperjaar1-VLOOKUP(B29,dagsoorttabel1,2,FALSE))-catfd_1_KLHV_30)/catpn_1_KLHB_1+catfd_1_KLHV_30/catpn_1_KLHV_30),0)</f>
        <v>0</v>
      </c>
      <c r="I29" s="56" t="s">
        <v>108</v>
      </c>
      <c r="J29" s="60">
        <f>IF(AND(catpn_1_KLHB_1&gt;0,catpn_1_KLHV_30&gt;0),(cattf_1_KLHB_1*((dagenperjaar1*VLOOKUP(B29,dagsoorttabel1,2,FALSE))-catfd_1_KLHV_30)/catpn_1_KLHB_1+cattf_1_KLHV_30*catfd_1_KLHV_30/catpn_1_KLHV_30)/(((dagenperjaar1*VLOOKUP(B29,dagsoorttabel1,2,FALSE))-catfd_1_KLHV_30)/catpn_1_KLHB_1+catfd_1_KLHV_30/catpn_1_KLHV_30),0)</f>
        <v>0</v>
      </c>
      <c r="K29" s="72">
        <f>IF(OR(ISBLANK(G29),G29=0),0,F29/ROUND(G29,4))</f>
        <v>0</v>
      </c>
      <c r="L29" s="60">
        <f>ROUND(J29,2)*K29</f>
        <v>0</v>
      </c>
      <c r="M29" s="72">
        <f>K29*dagenperjaar1</f>
        <v>0</v>
      </c>
      <c r="N29" s="60">
        <f>M29*ROUND(J29,2)</f>
        <v>0</v>
      </c>
    </row>
    <row r="30" spans="1:14" x14ac:dyDescent="0.2">
      <c r="A30" s="56" t="s">
        <v>262</v>
      </c>
      <c r="B30" s="56" t="s">
        <v>14</v>
      </c>
      <c r="C30" s="56" t="s">
        <v>246</v>
      </c>
      <c r="D30" s="56" t="s">
        <v>263</v>
      </c>
      <c r="E30" s="72">
        <v>226.20000000000002</v>
      </c>
      <c r="F30" s="72">
        <f>E30*VLOOKUP(B30,dagsoorttabel1,2,FALSE)</f>
        <v>155.23529411764707</v>
      </c>
      <c r="G30" s="73">
        <f>IF(AND(catpn_1_KLHB_1&gt;0,catpn_1_KLHV_35&gt;0),(dagenperjaar1*VLOOKUP(B30,dagsoorttabel1,2,FALSE))/(((dagenperjaar1*VLOOKUP(B30,dagsoorttabel1,2,FALSE))-catfd_1_KLHV_35)/catpn_1_KLHB_1+catfd_1_KLHV_35/catpn_1_KLHV_35),0)</f>
        <v>0</v>
      </c>
      <c r="H30" s="74">
        <f>IF(AND(catpn_1_KLHB_1&gt;0,catpn_1_KLHV_35&gt;0),(catdw_1_KLHB_1*((dagenperjaar1-VLOOKUP(B30,dagsoorttabel1,2,FALSE))-catfd_1_KLHV_35)/catpn_1_KLHB_1+catdw_1_KLHV_35*catfd_1_KLHV_35/catpn_1_KLHV_35)/(((dagenperjaar1-VLOOKUP(B30,dagsoorttabel1,2,FALSE))-catfd_1_KLHV_35)/catpn_1_KLHB_1+catfd_1_KLHV_35/catpn_1_KLHV_35),0)</f>
        <v>0</v>
      </c>
      <c r="I30" s="56" t="s">
        <v>108</v>
      </c>
      <c r="J30" s="60">
        <f>IF(AND(catpn_1_KLHB_1&gt;0,catpn_1_KLHV_35&gt;0),(cattf_1_KLHB_1*((dagenperjaar1*VLOOKUP(B30,dagsoorttabel1,2,FALSE))-catfd_1_KLHV_35)/catpn_1_KLHB_1+cattf_1_KLHV_35*catfd_1_KLHV_35/catpn_1_KLHV_35)/(((dagenperjaar1*VLOOKUP(B30,dagsoorttabel1,2,FALSE))-catfd_1_KLHV_35)/catpn_1_KLHB_1+catfd_1_KLHV_35/catpn_1_KLHV_35),0)</f>
        <v>0</v>
      </c>
      <c r="K30" s="72">
        <f>IF(OR(ISBLANK(G30),G30=0),0,F30/ROUND(G30,4))</f>
        <v>0</v>
      </c>
      <c r="L30" s="60">
        <f>ROUND(J30,2)*K30</f>
        <v>0</v>
      </c>
      <c r="M30" s="72">
        <f>K30*dagenperjaar1</f>
        <v>0</v>
      </c>
      <c r="N30" s="60">
        <f>M30*ROUND(J30,2)</f>
        <v>0</v>
      </c>
    </row>
    <row r="31" spans="1:14" x14ac:dyDescent="0.2">
      <c r="A31" s="56" t="s">
        <v>262</v>
      </c>
      <c r="B31" s="56" t="s">
        <v>13</v>
      </c>
      <c r="C31" s="56" t="s">
        <v>246</v>
      </c>
      <c r="D31" s="56" t="s">
        <v>263</v>
      </c>
      <c r="E31" s="72">
        <v>654.98</v>
      </c>
      <c r="F31" s="72">
        <f>E31*VLOOKUP(B31,dagsoorttabel1,2,FALSE)</f>
        <v>513.70980392156866</v>
      </c>
      <c r="G31" s="73">
        <f>IF(AND(catpn_1_KLHB_1&gt;0,catpn_1_KLHV_40&gt;0),(dagenperjaar1*VLOOKUP(B31,dagsoorttabel1,2,FALSE))/(((dagenperjaar1*VLOOKUP(B31,dagsoorttabel1,2,FALSE))-catfd_1_KLHV_40)/catpn_1_KLHB_1+catfd_1_KLHV_40/catpn_1_KLHV_40),0)</f>
        <v>0</v>
      </c>
      <c r="H31" s="74">
        <f>IF(AND(catpn_1_KLHB_1&gt;0,catpn_1_KLHV_40&gt;0),(catdw_1_KLHB_1*((dagenperjaar1-VLOOKUP(B31,dagsoorttabel1,2,FALSE))-catfd_1_KLHV_40)/catpn_1_KLHB_1+catdw_1_KLHV_40*catfd_1_KLHV_40/catpn_1_KLHV_40)/(((dagenperjaar1-VLOOKUP(B31,dagsoorttabel1,2,FALSE))-catfd_1_KLHV_40)/catpn_1_KLHB_1+catfd_1_KLHV_40/catpn_1_KLHV_40),0)</f>
        <v>0</v>
      </c>
      <c r="I31" s="56" t="s">
        <v>108</v>
      </c>
      <c r="J31" s="60">
        <f>IF(AND(catpn_1_KLHB_1&gt;0,catpn_1_KLHV_40&gt;0),(cattf_1_KLHB_1*((dagenperjaar1*VLOOKUP(B31,dagsoorttabel1,2,FALSE))-catfd_1_KLHV_40)/catpn_1_KLHB_1+cattf_1_KLHV_40*catfd_1_KLHV_40/catpn_1_KLHV_40)/(((dagenperjaar1*VLOOKUP(B31,dagsoorttabel1,2,FALSE))-catfd_1_KLHV_40)/catpn_1_KLHB_1+catfd_1_KLHV_40/catpn_1_KLHV_40),0)</f>
        <v>0</v>
      </c>
      <c r="K31" s="72">
        <f>IF(OR(ISBLANK(G31),G31=0),0,F31/ROUND(G31,4))</f>
        <v>0</v>
      </c>
      <c r="L31" s="60">
        <f>ROUND(J31,2)*K31</f>
        <v>0</v>
      </c>
      <c r="M31" s="72">
        <f>K31*dagenperjaar1</f>
        <v>0</v>
      </c>
      <c r="N31" s="60">
        <f>M31*ROUND(J31,2)</f>
        <v>0</v>
      </c>
    </row>
    <row r="32" spans="1:14" x14ac:dyDescent="0.2">
      <c r="A32" s="56" t="s">
        <v>262</v>
      </c>
      <c r="B32" s="56" t="s">
        <v>11</v>
      </c>
      <c r="C32" s="56" t="s">
        <v>246</v>
      </c>
      <c r="D32" s="56" t="s">
        <v>263</v>
      </c>
      <c r="E32" s="72">
        <v>806.68</v>
      </c>
      <c r="F32" s="72">
        <f>E32*VLOOKUP(B32,dagsoorttabel1,2,FALSE)</f>
        <v>711.77647058823527</v>
      </c>
      <c r="G32" s="73">
        <f>IF(AND(catpn_1_KLHB_1&gt;0,catpn_1_KLHV_45&gt;0),(dagenperjaar1*VLOOKUP(B32,dagsoorttabel1,2,FALSE))/(((dagenperjaar1*VLOOKUP(B32,dagsoorttabel1,2,FALSE))-catfd_1_KLHV_45)/catpn_1_KLHB_1+catfd_1_KLHV_45/catpn_1_KLHV_45),0)</f>
        <v>0</v>
      </c>
      <c r="H32" s="74">
        <f>IF(AND(catpn_1_KLHB_1&gt;0,catpn_1_KLHV_45&gt;0),(catdw_1_KLHB_1*((dagenperjaar1-VLOOKUP(B32,dagsoorttabel1,2,FALSE))-catfd_1_KLHV_45)/catpn_1_KLHB_1+catdw_1_KLHV_45*catfd_1_KLHV_45/catpn_1_KLHV_45)/(((dagenperjaar1-VLOOKUP(B32,dagsoorttabel1,2,FALSE))-catfd_1_KLHV_45)/catpn_1_KLHB_1+catfd_1_KLHV_45/catpn_1_KLHV_45),0)</f>
        <v>0</v>
      </c>
      <c r="I32" s="56" t="s">
        <v>108</v>
      </c>
      <c r="J32" s="60">
        <f>IF(AND(catpn_1_KLHB_1&gt;0,catpn_1_KLHV_45&gt;0),(cattf_1_KLHB_1*((dagenperjaar1*VLOOKUP(B32,dagsoorttabel1,2,FALSE))-catfd_1_KLHV_45)/catpn_1_KLHB_1+cattf_1_KLHV_45*catfd_1_KLHV_45/catpn_1_KLHV_45)/(((dagenperjaar1*VLOOKUP(B32,dagsoorttabel1,2,FALSE))-catfd_1_KLHV_45)/catpn_1_KLHB_1+catfd_1_KLHV_45/catpn_1_KLHV_45),0)</f>
        <v>0</v>
      </c>
      <c r="K32" s="72">
        <f>IF(OR(ISBLANK(G32),G32=0),0,F32/ROUND(G32,4))</f>
        <v>0</v>
      </c>
      <c r="L32" s="60">
        <f>ROUND(J32,2)*K32</f>
        <v>0</v>
      </c>
      <c r="M32" s="72">
        <f>K32*dagenperjaar1</f>
        <v>0</v>
      </c>
      <c r="N32" s="60">
        <f>M32*ROUND(J32,2)</f>
        <v>0</v>
      </c>
    </row>
    <row r="33" spans="1:14" x14ac:dyDescent="0.2">
      <c r="A33" s="56" t="s">
        <v>264</v>
      </c>
      <c r="B33" s="56" t="s">
        <v>13</v>
      </c>
      <c r="C33" s="56" t="s">
        <v>246</v>
      </c>
      <c r="D33" s="56" t="s">
        <v>265</v>
      </c>
      <c r="E33" s="72">
        <v>555</v>
      </c>
      <c r="F33" s="72">
        <f>E33*VLOOKUP(B33,dagsoorttabel1,2,FALSE)</f>
        <v>435.29411764705884</v>
      </c>
      <c r="G33" s="73">
        <f>IF(AND(catpn_1_LHB_1&gt;0,catpn_1_LHV_40&gt;0),(dagenperjaar1*VLOOKUP(B33,dagsoorttabel1,2,FALSE))/(((dagenperjaar1*VLOOKUP(B33,dagsoorttabel1,2,FALSE))-catfd_1_LHV_40)/catpn_1_LHB_1+catfd_1_LHV_40/catpn_1_LHV_40),0)</f>
        <v>0</v>
      </c>
      <c r="H33" s="74">
        <f>IF(AND(catpn_1_LHB_1&gt;0,catpn_1_LHV_40&gt;0),(catdw_1_LHB_1*((dagenperjaar1-VLOOKUP(B33,dagsoorttabel1,2,FALSE))-catfd_1_LHV_40)/catpn_1_LHB_1+catdw_1_LHV_40*catfd_1_LHV_40/catpn_1_LHV_40)/(((dagenperjaar1-VLOOKUP(B33,dagsoorttabel1,2,FALSE))-catfd_1_LHV_40)/catpn_1_LHB_1+catfd_1_LHV_40/catpn_1_LHV_40),0)</f>
        <v>0</v>
      </c>
      <c r="I33" s="56" t="s">
        <v>108</v>
      </c>
      <c r="J33" s="60">
        <f>IF(AND(catpn_1_LHB_1&gt;0,catpn_1_LHV_40&gt;0),(cattf_1_LHB_1*((dagenperjaar1*VLOOKUP(B33,dagsoorttabel1,2,FALSE))-catfd_1_LHV_40)/catpn_1_LHB_1+cattf_1_LHV_40*catfd_1_LHV_40/catpn_1_LHV_40)/(((dagenperjaar1*VLOOKUP(B33,dagsoorttabel1,2,FALSE))-catfd_1_LHV_40)/catpn_1_LHB_1+catfd_1_LHV_40/catpn_1_LHV_40),0)</f>
        <v>0</v>
      </c>
      <c r="K33" s="72">
        <f>IF(OR(ISBLANK(G33),G33=0),0,F33/ROUND(G33,4))</f>
        <v>0</v>
      </c>
      <c r="L33" s="60">
        <f>ROUND(J33,2)*K33</f>
        <v>0</v>
      </c>
      <c r="M33" s="72">
        <f>K33*dagenperjaar1</f>
        <v>0</v>
      </c>
      <c r="N33" s="60">
        <f>M33*ROUND(J33,2)</f>
        <v>0</v>
      </c>
    </row>
    <row r="34" spans="1:14" x14ac:dyDescent="0.2">
      <c r="A34" s="56" t="s">
        <v>266</v>
      </c>
      <c r="B34" s="56" t="s">
        <v>13</v>
      </c>
      <c r="C34" s="56" t="s">
        <v>246</v>
      </c>
      <c r="D34" s="56" t="s">
        <v>267</v>
      </c>
      <c r="E34" s="72">
        <v>50</v>
      </c>
      <c r="F34" s="72">
        <f>E34*VLOOKUP(B34,dagsoorttabel1,2,FALSE)</f>
        <v>39.215686274509807</v>
      </c>
      <c r="G34" s="73">
        <f>IF(AND(catpn_1_QHB_1&gt;0,catpn_1_QHV_40&gt;0),(dagenperjaar1*VLOOKUP(B34,dagsoorttabel1,2,FALSE))/(((dagenperjaar1*VLOOKUP(B34,dagsoorttabel1,2,FALSE))-catfd_1_QHV_40)/catpn_1_QHB_1+catfd_1_QHV_40/catpn_1_QHV_40),0)</f>
        <v>0</v>
      </c>
      <c r="H34" s="74">
        <f>IF(AND(catpn_1_QHB_1&gt;0,catpn_1_QHV_40&gt;0),(catdw_1_QHB_1*((dagenperjaar1-VLOOKUP(B34,dagsoorttabel1,2,FALSE))-catfd_1_QHV_40)/catpn_1_QHB_1+catdw_1_QHV_40*catfd_1_QHV_40/catpn_1_QHV_40)/(((dagenperjaar1-VLOOKUP(B34,dagsoorttabel1,2,FALSE))-catfd_1_QHV_40)/catpn_1_QHB_1+catfd_1_QHV_40/catpn_1_QHV_40),0)</f>
        <v>0</v>
      </c>
      <c r="I34" s="56" t="s">
        <v>108</v>
      </c>
      <c r="J34" s="60">
        <f>IF(AND(catpn_1_QHB_1&gt;0,catpn_1_QHV_40&gt;0),(cattf_1_QHB_1*((dagenperjaar1*VLOOKUP(B34,dagsoorttabel1,2,FALSE))-catfd_1_QHV_40)/catpn_1_QHB_1+cattf_1_QHV_40*catfd_1_QHV_40/catpn_1_QHV_40)/(((dagenperjaar1*VLOOKUP(B34,dagsoorttabel1,2,FALSE))-catfd_1_QHV_40)/catpn_1_QHB_1+catfd_1_QHV_40/catpn_1_QHV_40),0)</f>
        <v>0</v>
      </c>
      <c r="K34" s="72">
        <f>IF(OR(ISBLANK(G34),G34=0),0,F34/ROUND(G34,4))</f>
        <v>0</v>
      </c>
      <c r="L34" s="60">
        <f>ROUND(J34,2)*K34</f>
        <v>0</v>
      </c>
      <c r="M34" s="72">
        <f>K34*dagenperjaar1</f>
        <v>0</v>
      </c>
      <c r="N34" s="60">
        <f>M34*ROUND(J34,2)</f>
        <v>0</v>
      </c>
    </row>
    <row r="35" spans="1:14" x14ac:dyDescent="0.2">
      <c r="A35" s="56" t="s">
        <v>268</v>
      </c>
      <c r="B35" s="56" t="s">
        <v>13</v>
      </c>
      <c r="C35" s="56" t="s">
        <v>246</v>
      </c>
      <c r="D35" s="56" t="s">
        <v>269</v>
      </c>
      <c r="E35" s="72">
        <v>32</v>
      </c>
      <c r="F35" s="72">
        <f>E35*VLOOKUP(B35,dagsoorttabel1,2,FALSE)</f>
        <v>25.098039215686274</v>
      </c>
      <c r="G35" s="73">
        <f>IF(AND(catpn_1_RHB_1&gt;0,catpn_1_RHV_40&gt;0),(dagenperjaar1*VLOOKUP(B35,dagsoorttabel1,2,FALSE))/(((dagenperjaar1*VLOOKUP(B35,dagsoorttabel1,2,FALSE))-catfd_1_RHV_40)/catpn_1_RHB_1+catfd_1_RHV_40/catpn_1_RHV_40),0)</f>
        <v>0</v>
      </c>
      <c r="H35" s="74">
        <f>IF(AND(catpn_1_RHB_1&gt;0,catpn_1_RHV_40&gt;0),(catdw_1_RHB_1*((dagenperjaar1-VLOOKUP(B35,dagsoorttabel1,2,FALSE))-catfd_1_RHV_40)/catpn_1_RHB_1+catdw_1_RHV_40*catfd_1_RHV_40/catpn_1_RHV_40)/(((dagenperjaar1-VLOOKUP(B35,dagsoorttabel1,2,FALSE))-catfd_1_RHV_40)/catpn_1_RHB_1+catfd_1_RHV_40/catpn_1_RHV_40),0)</f>
        <v>0</v>
      </c>
      <c r="I35" s="56" t="s">
        <v>108</v>
      </c>
      <c r="J35" s="60">
        <f>IF(AND(catpn_1_RHB_1&gt;0,catpn_1_RHV_40&gt;0),(cattf_1_RHB_1*((dagenperjaar1*VLOOKUP(B35,dagsoorttabel1,2,FALSE))-catfd_1_RHV_40)/catpn_1_RHB_1+cattf_1_RHV_40*catfd_1_RHV_40/catpn_1_RHV_40)/(((dagenperjaar1*VLOOKUP(B35,dagsoorttabel1,2,FALSE))-catfd_1_RHV_40)/catpn_1_RHB_1+catfd_1_RHV_40/catpn_1_RHV_40),0)</f>
        <v>0</v>
      </c>
      <c r="K35" s="72">
        <f>IF(OR(ISBLANK(G35),G35=0),0,F35/ROUND(G35,4))</f>
        <v>0</v>
      </c>
      <c r="L35" s="60">
        <f>ROUND(J35,2)*K35</f>
        <v>0</v>
      </c>
      <c r="M35" s="72">
        <f>K35*dagenperjaar1</f>
        <v>0</v>
      </c>
      <c r="N35" s="60">
        <f>M35*ROUND(J35,2)</f>
        <v>0</v>
      </c>
    </row>
    <row r="36" spans="1:14" x14ac:dyDescent="0.2">
      <c r="A36" s="56" t="s">
        <v>270</v>
      </c>
      <c r="B36" s="56" t="s">
        <v>16</v>
      </c>
      <c r="C36" s="56" t="s">
        <v>246</v>
      </c>
      <c r="D36" s="56" t="s">
        <v>271</v>
      </c>
      <c r="E36" s="72">
        <v>29</v>
      </c>
      <c r="F36" s="72">
        <f>E36*VLOOKUP(B36,dagsoorttabel1,2,FALSE)</f>
        <v>17.058823529411764</v>
      </c>
      <c r="G36" s="73">
        <f>IF(AND(catpn_1_SHB_1&gt;0,catpn_1_SHV_30&gt;0),(dagenperjaar1*VLOOKUP(B36,dagsoorttabel1,2,FALSE))/(((dagenperjaar1*VLOOKUP(B36,dagsoorttabel1,2,FALSE))-catfd_1_SHV_30)/catpn_1_SHB_1+catfd_1_SHV_30/catpn_1_SHV_30),0)</f>
        <v>0</v>
      </c>
      <c r="H36" s="74">
        <f>IF(AND(catpn_1_SHB_1&gt;0,catpn_1_SHV_30&gt;0),(catdw_1_SHB_1*((dagenperjaar1-VLOOKUP(B36,dagsoorttabel1,2,FALSE))-catfd_1_SHV_30)/catpn_1_SHB_1+catdw_1_SHV_30*catfd_1_SHV_30/catpn_1_SHV_30)/(((dagenperjaar1-VLOOKUP(B36,dagsoorttabel1,2,FALSE))-catfd_1_SHV_30)/catpn_1_SHB_1+catfd_1_SHV_30/catpn_1_SHV_30),0)</f>
        <v>0</v>
      </c>
      <c r="I36" s="56" t="s">
        <v>108</v>
      </c>
      <c r="J36" s="60">
        <f>IF(AND(catpn_1_SHB_1&gt;0,catpn_1_SHV_30&gt;0),(cattf_1_SHB_1*((dagenperjaar1*VLOOKUP(B36,dagsoorttabel1,2,FALSE))-catfd_1_SHV_30)/catpn_1_SHB_1+cattf_1_SHV_30*catfd_1_SHV_30/catpn_1_SHV_30)/(((dagenperjaar1*VLOOKUP(B36,dagsoorttabel1,2,FALSE))-catfd_1_SHV_30)/catpn_1_SHB_1+catfd_1_SHV_30/catpn_1_SHV_30),0)</f>
        <v>0</v>
      </c>
      <c r="K36" s="72">
        <f>IF(OR(ISBLANK(G36),G36=0),0,F36/ROUND(G36,4))</f>
        <v>0</v>
      </c>
      <c r="L36" s="60">
        <f>ROUND(J36,2)*K36</f>
        <v>0</v>
      </c>
      <c r="M36" s="72">
        <f>K36*dagenperjaar1</f>
        <v>0</v>
      </c>
      <c r="N36" s="60">
        <f>M36*ROUND(J36,2)</f>
        <v>0</v>
      </c>
    </row>
    <row r="37" spans="1:14" x14ac:dyDescent="0.2">
      <c r="A37" s="56" t="s">
        <v>270</v>
      </c>
      <c r="B37" s="56" t="s">
        <v>14</v>
      </c>
      <c r="C37" s="56" t="s">
        <v>246</v>
      </c>
      <c r="D37" s="56" t="s">
        <v>271</v>
      </c>
      <c r="E37" s="72">
        <v>24.599999999999998</v>
      </c>
      <c r="F37" s="72">
        <f>E37*VLOOKUP(B37,dagsoorttabel1,2,FALSE)</f>
        <v>16.882352941176471</v>
      </c>
      <c r="G37" s="73">
        <f>IF(AND(catpn_1_SHB_1&gt;0,catpn_1_SHV_35&gt;0),(dagenperjaar1*VLOOKUP(B37,dagsoorttabel1,2,FALSE))/(((dagenperjaar1*VLOOKUP(B37,dagsoorttabel1,2,FALSE))-catfd_1_SHV_35)/catpn_1_SHB_1+catfd_1_SHV_35/catpn_1_SHV_35),0)</f>
        <v>0</v>
      </c>
      <c r="H37" s="74">
        <f>IF(AND(catpn_1_SHB_1&gt;0,catpn_1_SHV_35&gt;0),(catdw_1_SHB_1*((dagenperjaar1-VLOOKUP(B37,dagsoorttabel1,2,FALSE))-catfd_1_SHV_35)/catpn_1_SHB_1+catdw_1_SHV_35*catfd_1_SHV_35/catpn_1_SHV_35)/(((dagenperjaar1-VLOOKUP(B37,dagsoorttabel1,2,FALSE))-catfd_1_SHV_35)/catpn_1_SHB_1+catfd_1_SHV_35/catpn_1_SHV_35),0)</f>
        <v>0</v>
      </c>
      <c r="I37" s="56" t="s">
        <v>108</v>
      </c>
      <c r="J37" s="60">
        <f>IF(AND(catpn_1_SHB_1&gt;0,catpn_1_SHV_35&gt;0),(cattf_1_SHB_1*((dagenperjaar1*VLOOKUP(B37,dagsoorttabel1,2,FALSE))-catfd_1_SHV_35)/catpn_1_SHB_1+cattf_1_SHV_35*catfd_1_SHV_35/catpn_1_SHV_35)/(((dagenperjaar1*VLOOKUP(B37,dagsoorttabel1,2,FALSE))-catfd_1_SHV_35)/catpn_1_SHB_1+catfd_1_SHV_35/catpn_1_SHV_35),0)</f>
        <v>0</v>
      </c>
      <c r="K37" s="72">
        <f>IF(OR(ISBLANK(G37),G37=0),0,F37/ROUND(G37,4))</f>
        <v>0</v>
      </c>
      <c r="L37" s="60">
        <f>ROUND(J37,2)*K37</f>
        <v>0</v>
      </c>
      <c r="M37" s="72">
        <f>K37*dagenperjaar1</f>
        <v>0</v>
      </c>
      <c r="N37" s="60">
        <f>M37*ROUND(J37,2)</f>
        <v>0</v>
      </c>
    </row>
    <row r="38" spans="1:14" x14ac:dyDescent="0.2">
      <c r="A38" s="56" t="s">
        <v>270</v>
      </c>
      <c r="B38" s="56" t="s">
        <v>13</v>
      </c>
      <c r="C38" s="56" t="s">
        <v>246</v>
      </c>
      <c r="D38" s="56" t="s">
        <v>271</v>
      </c>
      <c r="E38" s="72">
        <v>272.77</v>
      </c>
      <c r="F38" s="72">
        <f>E38*VLOOKUP(B38,dagsoorttabel1,2,FALSE)</f>
        <v>213.93725490196076</v>
      </c>
      <c r="G38" s="73">
        <f>IF(AND(catpn_1_SHB_1&gt;0,catpn_1_SHV_40&gt;0),(dagenperjaar1*VLOOKUP(B38,dagsoorttabel1,2,FALSE))/(((dagenperjaar1*VLOOKUP(B38,dagsoorttabel1,2,FALSE))-catfd_1_SHV_40)/catpn_1_SHB_1+catfd_1_SHV_40/catpn_1_SHV_40),0)</f>
        <v>0</v>
      </c>
      <c r="H38" s="74">
        <f>IF(AND(catpn_1_SHB_1&gt;0,catpn_1_SHV_40&gt;0),(catdw_1_SHB_1*((dagenperjaar1-VLOOKUP(B38,dagsoorttabel1,2,FALSE))-catfd_1_SHV_40)/catpn_1_SHB_1+catdw_1_SHV_40*catfd_1_SHV_40/catpn_1_SHV_40)/(((dagenperjaar1-VLOOKUP(B38,dagsoorttabel1,2,FALSE))-catfd_1_SHV_40)/catpn_1_SHB_1+catfd_1_SHV_40/catpn_1_SHV_40),0)</f>
        <v>0</v>
      </c>
      <c r="I38" s="56" t="s">
        <v>108</v>
      </c>
      <c r="J38" s="60">
        <f>IF(AND(catpn_1_SHB_1&gt;0,catpn_1_SHV_40&gt;0),(cattf_1_SHB_1*((dagenperjaar1*VLOOKUP(B38,dagsoorttabel1,2,FALSE))-catfd_1_SHV_40)/catpn_1_SHB_1+cattf_1_SHV_40*catfd_1_SHV_40/catpn_1_SHV_40)/(((dagenperjaar1*VLOOKUP(B38,dagsoorttabel1,2,FALSE))-catfd_1_SHV_40)/catpn_1_SHB_1+catfd_1_SHV_40/catpn_1_SHV_40),0)</f>
        <v>0</v>
      </c>
      <c r="K38" s="72">
        <f>IF(OR(ISBLANK(G38),G38=0),0,F38/ROUND(G38,4))</f>
        <v>0</v>
      </c>
      <c r="L38" s="60">
        <f>ROUND(J38,2)*K38</f>
        <v>0</v>
      </c>
      <c r="M38" s="72">
        <f>K38*dagenperjaar1</f>
        <v>0</v>
      </c>
      <c r="N38" s="60">
        <f>M38*ROUND(J38,2)</f>
        <v>0</v>
      </c>
    </row>
    <row r="39" spans="1:14" x14ac:dyDescent="0.2">
      <c r="A39" s="56" t="s">
        <v>270</v>
      </c>
      <c r="B39" s="56" t="s">
        <v>11</v>
      </c>
      <c r="C39" s="56" t="s">
        <v>246</v>
      </c>
      <c r="D39" s="56" t="s">
        <v>272</v>
      </c>
      <c r="E39" s="72">
        <v>99.460000000000008</v>
      </c>
      <c r="F39" s="72">
        <f>E39*VLOOKUP(B39,dagsoorttabel1,2,FALSE)</f>
        <v>87.758823529411771</v>
      </c>
      <c r="G39" s="73">
        <f>IF(AND(catpn_1_SHB_1&gt;0,catpn_1_SHV_45&gt;0),(dagenperjaar1*VLOOKUP(B39,dagsoorttabel1,2,FALSE))/(((dagenperjaar1*VLOOKUP(B39,dagsoorttabel1,2,FALSE))-catfd_1_SHV_45)/catpn_1_SHB_1+catfd_1_SHV_45/catpn_1_SHV_45),0)</f>
        <v>0</v>
      </c>
      <c r="H39" s="74">
        <f>IF(AND(catpn_1_SHB_1&gt;0,catpn_1_SHV_45&gt;0),(catdw_1_SHB_1*((dagenperjaar1-VLOOKUP(B39,dagsoorttabel1,2,FALSE))-catfd_1_SHV_45)/catpn_1_SHB_1+catdw_1_SHV_45*catfd_1_SHV_45/catpn_1_SHV_45)/(((dagenperjaar1-VLOOKUP(B39,dagsoorttabel1,2,FALSE))-catfd_1_SHV_45)/catpn_1_SHB_1+catfd_1_SHV_45/catpn_1_SHV_45),0)</f>
        <v>0</v>
      </c>
      <c r="I39" s="56" t="s">
        <v>108</v>
      </c>
      <c r="J39" s="60">
        <f>IF(AND(catpn_1_SHB_1&gt;0,catpn_1_SHV_45&gt;0),(cattf_1_SHB_1*((dagenperjaar1*VLOOKUP(B39,dagsoorttabel1,2,FALSE))-catfd_1_SHV_45)/catpn_1_SHB_1+cattf_1_SHV_45*catfd_1_SHV_45/catpn_1_SHV_45)/(((dagenperjaar1*VLOOKUP(B39,dagsoorttabel1,2,FALSE))-catfd_1_SHV_45)/catpn_1_SHB_1+catfd_1_SHV_45/catpn_1_SHV_45),0)</f>
        <v>0</v>
      </c>
      <c r="K39" s="72">
        <f>IF(OR(ISBLANK(G39),G39=0),0,F39/ROUND(G39,4))</f>
        <v>0</v>
      </c>
      <c r="L39" s="60">
        <f>ROUND(J39,2)*K39</f>
        <v>0</v>
      </c>
      <c r="M39" s="72">
        <f>K39*dagenperjaar1</f>
        <v>0</v>
      </c>
      <c r="N39" s="60">
        <f>M39*ROUND(J39,2)</f>
        <v>0</v>
      </c>
    </row>
    <row r="40" spans="1:14" x14ac:dyDescent="0.2">
      <c r="A40" s="56" t="s">
        <v>273</v>
      </c>
      <c r="B40" s="56" t="s">
        <v>16</v>
      </c>
      <c r="C40" s="56" t="s">
        <v>246</v>
      </c>
      <c r="D40" s="56" t="s">
        <v>274</v>
      </c>
      <c r="E40" s="72">
        <v>23.75</v>
      </c>
      <c r="F40" s="72">
        <f>E40*VLOOKUP(B40,dagsoorttabel1,2,FALSE)</f>
        <v>13.970588235294118</v>
      </c>
      <c r="G40" s="73">
        <f>IF(AND(catpn_1_THB_1&gt;0,catpn_1_THV_30&gt;0),(dagenperjaar1*VLOOKUP(B40,dagsoorttabel1,2,FALSE))/(((dagenperjaar1*VLOOKUP(B40,dagsoorttabel1,2,FALSE))-catfd_1_THV_30)/catpn_1_THB_1+catfd_1_THV_30/catpn_1_THV_30),0)</f>
        <v>0</v>
      </c>
      <c r="H40" s="74">
        <f>IF(AND(catpn_1_THB_1&gt;0,catpn_1_THV_30&gt;0),(catdw_1_THB_1*((dagenperjaar1-VLOOKUP(B40,dagsoorttabel1,2,FALSE))-catfd_1_THV_30)/catpn_1_THB_1+catdw_1_THV_30*catfd_1_THV_30/catpn_1_THV_30)/(((dagenperjaar1-VLOOKUP(B40,dagsoorttabel1,2,FALSE))-catfd_1_THV_30)/catpn_1_THB_1+catfd_1_THV_30/catpn_1_THV_30),0)</f>
        <v>0</v>
      </c>
      <c r="I40" s="56" t="s">
        <v>108</v>
      </c>
      <c r="J40" s="60">
        <f>IF(AND(catpn_1_THB_1&gt;0,catpn_1_THV_30&gt;0),(cattf_1_THB_1*((dagenperjaar1*VLOOKUP(B40,dagsoorttabel1,2,FALSE))-catfd_1_THV_30)/catpn_1_THB_1+cattf_1_THV_30*catfd_1_THV_30/catpn_1_THV_30)/(((dagenperjaar1*VLOOKUP(B40,dagsoorttabel1,2,FALSE))-catfd_1_THV_30)/catpn_1_THB_1+catfd_1_THV_30/catpn_1_THV_30),0)</f>
        <v>0</v>
      </c>
      <c r="K40" s="72">
        <f>IF(OR(ISBLANK(G40),G40=0),0,F40/ROUND(G40,4))</f>
        <v>0</v>
      </c>
      <c r="L40" s="60">
        <f>ROUND(J40,2)*K40</f>
        <v>0</v>
      </c>
      <c r="M40" s="72">
        <f>K40*dagenperjaar1</f>
        <v>0</v>
      </c>
      <c r="N40" s="60">
        <f>M40*ROUND(J40,2)</f>
        <v>0</v>
      </c>
    </row>
    <row r="41" spans="1:14" x14ac:dyDescent="0.2">
      <c r="A41" s="56" t="s">
        <v>273</v>
      </c>
      <c r="B41" s="56" t="s">
        <v>14</v>
      </c>
      <c r="C41" s="56" t="s">
        <v>246</v>
      </c>
      <c r="D41" s="56" t="s">
        <v>274</v>
      </c>
      <c r="E41" s="72">
        <v>26</v>
      </c>
      <c r="F41" s="72">
        <f>E41*VLOOKUP(B41,dagsoorttabel1,2,FALSE)</f>
        <v>17.843137254901961</v>
      </c>
      <c r="G41" s="73">
        <f>IF(AND(catpn_1_THB_1&gt;0,catpn_1_THV_35&gt;0),(dagenperjaar1*VLOOKUP(B41,dagsoorttabel1,2,FALSE))/(((dagenperjaar1*VLOOKUP(B41,dagsoorttabel1,2,FALSE))-catfd_1_THV_35)/catpn_1_THB_1+catfd_1_THV_35/catpn_1_THV_35),0)</f>
        <v>0</v>
      </c>
      <c r="H41" s="74">
        <f>IF(AND(catpn_1_THB_1&gt;0,catpn_1_THV_35&gt;0),(catdw_1_THB_1*((dagenperjaar1-VLOOKUP(B41,dagsoorttabel1,2,FALSE))-catfd_1_THV_35)/catpn_1_THB_1+catdw_1_THV_35*catfd_1_THV_35/catpn_1_THV_35)/(((dagenperjaar1-VLOOKUP(B41,dagsoorttabel1,2,FALSE))-catfd_1_THV_35)/catpn_1_THB_1+catfd_1_THV_35/catpn_1_THV_35),0)</f>
        <v>0</v>
      </c>
      <c r="I41" s="56" t="s">
        <v>108</v>
      </c>
      <c r="J41" s="60">
        <f>IF(AND(catpn_1_THB_1&gt;0,catpn_1_THV_35&gt;0),(cattf_1_THB_1*((dagenperjaar1*VLOOKUP(B41,dagsoorttabel1,2,FALSE))-catfd_1_THV_35)/catpn_1_THB_1+cattf_1_THV_35*catfd_1_THV_35/catpn_1_THV_35)/(((dagenperjaar1*VLOOKUP(B41,dagsoorttabel1,2,FALSE))-catfd_1_THV_35)/catpn_1_THB_1+catfd_1_THV_35/catpn_1_THV_35),0)</f>
        <v>0</v>
      </c>
      <c r="K41" s="72">
        <f>IF(OR(ISBLANK(G41),G41=0),0,F41/ROUND(G41,4))</f>
        <v>0</v>
      </c>
      <c r="L41" s="60">
        <f>ROUND(J41,2)*K41</f>
        <v>0</v>
      </c>
      <c r="M41" s="72">
        <f>K41*dagenperjaar1</f>
        <v>0</v>
      </c>
      <c r="N41" s="60">
        <f>M41*ROUND(J41,2)</f>
        <v>0</v>
      </c>
    </row>
    <row r="42" spans="1:14" x14ac:dyDescent="0.2">
      <c r="A42" s="56" t="s">
        <v>273</v>
      </c>
      <c r="B42" s="56" t="s">
        <v>13</v>
      </c>
      <c r="C42" s="56" t="s">
        <v>246</v>
      </c>
      <c r="D42" s="56" t="s">
        <v>274</v>
      </c>
      <c r="E42" s="72">
        <v>131.09</v>
      </c>
      <c r="F42" s="72">
        <f>E42*VLOOKUP(B42,dagsoorttabel1,2,FALSE)</f>
        <v>102.8156862745098</v>
      </c>
      <c r="G42" s="73">
        <f>IF(AND(catpn_1_THB_1&gt;0,catpn_1_THV_40&gt;0),(dagenperjaar1*VLOOKUP(B42,dagsoorttabel1,2,FALSE))/(((dagenperjaar1*VLOOKUP(B42,dagsoorttabel1,2,FALSE))-catfd_1_THV_40)/catpn_1_THB_1+catfd_1_THV_40/catpn_1_THV_40),0)</f>
        <v>0</v>
      </c>
      <c r="H42" s="74">
        <f>IF(AND(catpn_1_THB_1&gt;0,catpn_1_THV_40&gt;0),(catdw_1_THB_1*((dagenperjaar1-VLOOKUP(B42,dagsoorttabel1,2,FALSE))-catfd_1_THV_40)/catpn_1_THB_1+catdw_1_THV_40*catfd_1_THV_40/catpn_1_THV_40)/(((dagenperjaar1-VLOOKUP(B42,dagsoorttabel1,2,FALSE))-catfd_1_THV_40)/catpn_1_THB_1+catfd_1_THV_40/catpn_1_THV_40),0)</f>
        <v>0</v>
      </c>
      <c r="I42" s="56" t="s">
        <v>108</v>
      </c>
      <c r="J42" s="60">
        <f>IF(AND(catpn_1_THB_1&gt;0,catpn_1_THV_40&gt;0),(cattf_1_THB_1*((dagenperjaar1*VLOOKUP(B42,dagsoorttabel1,2,FALSE))-catfd_1_THV_40)/catpn_1_THB_1+cattf_1_THV_40*catfd_1_THV_40/catpn_1_THV_40)/(((dagenperjaar1*VLOOKUP(B42,dagsoorttabel1,2,FALSE))-catfd_1_THV_40)/catpn_1_THB_1+catfd_1_THV_40/catpn_1_THV_40),0)</f>
        <v>0</v>
      </c>
      <c r="K42" s="72">
        <f>IF(OR(ISBLANK(G42),G42=0),0,F42/ROUND(G42,4))</f>
        <v>0</v>
      </c>
      <c r="L42" s="60">
        <f>ROUND(J42,2)*K42</f>
        <v>0</v>
      </c>
      <c r="M42" s="72">
        <f>K42*dagenperjaar1</f>
        <v>0</v>
      </c>
      <c r="N42" s="60">
        <f>M42*ROUND(J42,2)</f>
        <v>0</v>
      </c>
    </row>
    <row r="43" spans="1:14" x14ac:dyDescent="0.2">
      <c r="A43" s="56" t="s">
        <v>273</v>
      </c>
      <c r="B43" s="56" t="s">
        <v>11</v>
      </c>
      <c r="C43" s="56" t="s">
        <v>246</v>
      </c>
      <c r="D43" s="56" t="s">
        <v>274</v>
      </c>
      <c r="E43" s="72">
        <v>28</v>
      </c>
      <c r="F43" s="72">
        <f>E43*VLOOKUP(B43,dagsoorttabel1,2,FALSE)</f>
        <v>24.705882352941174</v>
      </c>
      <c r="G43" s="73">
        <f>IF(AND(catpn_1_THB_1&gt;0,catpn_1_THV_45&gt;0),(dagenperjaar1*VLOOKUP(B43,dagsoorttabel1,2,FALSE))/(((dagenperjaar1*VLOOKUP(B43,dagsoorttabel1,2,FALSE))-catfd_1_THV_45)/catpn_1_THB_1+catfd_1_THV_45/catpn_1_THV_45),0)</f>
        <v>0</v>
      </c>
      <c r="H43" s="74">
        <f>IF(AND(catpn_1_THB_1&gt;0,catpn_1_THV_45&gt;0),(catdw_1_THB_1*((dagenperjaar1-VLOOKUP(B43,dagsoorttabel1,2,FALSE))-catfd_1_THV_45)/catpn_1_THB_1+catdw_1_THV_45*catfd_1_THV_45/catpn_1_THV_45)/(((dagenperjaar1-VLOOKUP(B43,dagsoorttabel1,2,FALSE))-catfd_1_THV_45)/catpn_1_THB_1+catfd_1_THV_45/catpn_1_THV_45),0)</f>
        <v>0</v>
      </c>
      <c r="I43" s="56" t="s">
        <v>108</v>
      </c>
      <c r="J43" s="60">
        <f>IF(AND(catpn_1_THB_1&gt;0,catpn_1_THV_45&gt;0),(cattf_1_THB_1*((dagenperjaar1*VLOOKUP(B43,dagsoorttabel1,2,FALSE))-catfd_1_THV_45)/catpn_1_THB_1+cattf_1_THV_45*catfd_1_THV_45/catpn_1_THV_45)/(((dagenperjaar1*VLOOKUP(B43,dagsoorttabel1,2,FALSE))-catfd_1_THV_45)/catpn_1_THB_1+catfd_1_THV_45/catpn_1_THV_45),0)</f>
        <v>0</v>
      </c>
      <c r="K43" s="72">
        <f>IF(OR(ISBLANK(G43),G43=0),0,F43/ROUND(G43,4))</f>
        <v>0</v>
      </c>
      <c r="L43" s="60">
        <f>ROUND(J43,2)*K43</f>
        <v>0</v>
      </c>
      <c r="M43" s="72">
        <f>K43*dagenperjaar1</f>
        <v>0</v>
      </c>
      <c r="N43" s="60">
        <f>M43*ROUND(J43,2)</f>
        <v>0</v>
      </c>
    </row>
    <row r="44" spans="1:14" x14ac:dyDescent="0.2">
      <c r="A44" s="56" t="s">
        <v>275</v>
      </c>
      <c r="B44" s="56" t="s">
        <v>24</v>
      </c>
      <c r="C44" s="56" t="s">
        <v>246</v>
      </c>
      <c r="D44" s="56" t="s">
        <v>276</v>
      </c>
      <c r="E44" s="72">
        <v>18.8</v>
      </c>
      <c r="F44" s="72">
        <f>E44*VLOOKUP(B44,dagsoorttabel1,2,FALSE)</f>
        <v>0.88470588235294123</v>
      </c>
      <c r="G44" s="73">
        <f>IF(AND(catpn_1_TRHB_1&gt;0,catpn_1_TRHV_12&gt;0),(dagenperjaar1*VLOOKUP(B44,dagsoorttabel1,2,FALSE))/(((dagenperjaar1*VLOOKUP(B44,dagsoorttabel1,2,FALSE))-catfd_1_TRHV_12)/catpn_1_TRHB_1+catfd_1_TRHV_12/catpn_1_TRHV_12),0)</f>
        <v>0</v>
      </c>
      <c r="H44" s="74">
        <f>IF(AND(catpn_1_TRHB_1&gt;0,catpn_1_TRHV_12&gt;0),(catdw_1_TRHB_1*((dagenperjaar1-VLOOKUP(B44,dagsoorttabel1,2,FALSE))-catfd_1_TRHV_12)/catpn_1_TRHB_1+catdw_1_TRHV_12*catfd_1_TRHV_12/catpn_1_TRHV_12)/(((dagenperjaar1-VLOOKUP(B44,dagsoorttabel1,2,FALSE))-catfd_1_TRHV_12)/catpn_1_TRHB_1+catfd_1_TRHV_12/catpn_1_TRHV_12),0)</f>
        <v>0</v>
      </c>
      <c r="I44" s="56" t="s">
        <v>108</v>
      </c>
      <c r="J44" s="60">
        <f>IF(AND(catpn_1_TRHB_1&gt;0,catpn_1_TRHV_12&gt;0),(cattf_1_TRHB_1*((dagenperjaar1*VLOOKUP(B44,dagsoorttabel1,2,FALSE))-catfd_1_TRHV_12)/catpn_1_TRHB_1+cattf_1_TRHV_12*catfd_1_TRHV_12/catpn_1_TRHV_12)/(((dagenperjaar1*VLOOKUP(B44,dagsoorttabel1,2,FALSE))-catfd_1_TRHV_12)/catpn_1_TRHB_1+catfd_1_TRHV_12/catpn_1_TRHV_12),0)</f>
        <v>0</v>
      </c>
      <c r="K44" s="72">
        <f>IF(OR(ISBLANK(G44),G44=0),0,F44/ROUND(G44,4))</f>
        <v>0</v>
      </c>
      <c r="L44" s="60">
        <f>ROUND(J44,2)*K44</f>
        <v>0</v>
      </c>
      <c r="M44" s="72">
        <f>K44*dagenperjaar1</f>
        <v>0</v>
      </c>
      <c r="N44" s="60">
        <f>M44*ROUND(J44,2)</f>
        <v>0</v>
      </c>
    </row>
    <row r="45" spans="1:14" x14ac:dyDescent="0.2">
      <c r="A45" s="56" t="s">
        <v>277</v>
      </c>
      <c r="B45" s="56" t="s">
        <v>16</v>
      </c>
      <c r="C45" s="56" t="s">
        <v>246</v>
      </c>
      <c r="D45" s="56" t="s">
        <v>278</v>
      </c>
      <c r="E45" s="72">
        <v>311.14999999999998</v>
      </c>
      <c r="F45" s="72">
        <f>E45*VLOOKUP(B45,dagsoorttabel1,2,FALSE)</f>
        <v>183.02941176470588</v>
      </c>
      <c r="G45" s="73">
        <f>IF(AND(catpn_1_VHB_1&gt;0,catpn_1_VHV_30&gt;0),(dagenperjaar1*VLOOKUP(B45,dagsoorttabel1,2,FALSE))/(((dagenperjaar1*VLOOKUP(B45,dagsoorttabel1,2,FALSE))-catfd_1_VHV_30)/catpn_1_VHB_1+catfd_1_VHV_30/catpn_1_VHV_30),0)</f>
        <v>0</v>
      </c>
      <c r="H45" s="74">
        <f>IF(AND(catpn_1_VHB_1&gt;0,catpn_1_VHV_30&gt;0),(catdw_1_VHB_1*((dagenperjaar1-VLOOKUP(B45,dagsoorttabel1,2,FALSE))-catfd_1_VHV_30)/catpn_1_VHB_1+catdw_1_VHV_30*catfd_1_VHV_30/catpn_1_VHV_30)/(((dagenperjaar1-VLOOKUP(B45,dagsoorttabel1,2,FALSE))-catfd_1_VHV_30)/catpn_1_VHB_1+catfd_1_VHV_30/catpn_1_VHV_30),0)</f>
        <v>0</v>
      </c>
      <c r="I45" s="56" t="s">
        <v>108</v>
      </c>
      <c r="J45" s="60">
        <f>IF(AND(catpn_1_VHB_1&gt;0,catpn_1_VHV_30&gt;0),(cattf_1_VHB_1*((dagenperjaar1*VLOOKUP(B45,dagsoorttabel1,2,FALSE))-catfd_1_VHV_30)/catpn_1_VHB_1+cattf_1_VHV_30*catfd_1_VHV_30/catpn_1_VHV_30)/(((dagenperjaar1*VLOOKUP(B45,dagsoorttabel1,2,FALSE))-catfd_1_VHV_30)/catpn_1_VHB_1+catfd_1_VHV_30/catpn_1_VHV_30),0)</f>
        <v>0</v>
      </c>
      <c r="K45" s="72">
        <f>IF(OR(ISBLANK(G45),G45=0),0,F45/ROUND(G45,4))</f>
        <v>0</v>
      </c>
      <c r="L45" s="60">
        <f>ROUND(J45,2)*K45</f>
        <v>0</v>
      </c>
      <c r="M45" s="72">
        <f>K45*dagenperjaar1</f>
        <v>0</v>
      </c>
      <c r="N45" s="60">
        <f>M45*ROUND(J45,2)</f>
        <v>0</v>
      </c>
    </row>
    <row r="46" spans="1:14" x14ac:dyDescent="0.2">
      <c r="A46" s="56" t="s">
        <v>277</v>
      </c>
      <c r="B46" s="56" t="s">
        <v>14</v>
      </c>
      <c r="C46" s="56" t="s">
        <v>246</v>
      </c>
      <c r="D46" s="56" t="s">
        <v>278</v>
      </c>
      <c r="E46" s="72">
        <v>601.4</v>
      </c>
      <c r="F46" s="72">
        <f>E46*VLOOKUP(B46,dagsoorttabel1,2,FALSE)</f>
        <v>412.7254901960784</v>
      </c>
      <c r="G46" s="73">
        <f>IF(AND(catpn_1_VHB_1&gt;0,catpn_1_VHV_35&gt;0),(dagenperjaar1*VLOOKUP(B46,dagsoorttabel1,2,FALSE))/(((dagenperjaar1*VLOOKUP(B46,dagsoorttabel1,2,FALSE))-catfd_1_VHV_35)/catpn_1_VHB_1+catfd_1_VHV_35/catpn_1_VHV_35),0)</f>
        <v>0</v>
      </c>
      <c r="H46" s="74">
        <f>IF(AND(catpn_1_VHB_1&gt;0,catpn_1_VHV_35&gt;0),(catdw_1_VHB_1*((dagenperjaar1-VLOOKUP(B46,dagsoorttabel1,2,FALSE))-catfd_1_VHV_35)/catpn_1_VHB_1+catdw_1_VHV_35*catfd_1_VHV_35/catpn_1_VHV_35)/(((dagenperjaar1-VLOOKUP(B46,dagsoorttabel1,2,FALSE))-catfd_1_VHV_35)/catpn_1_VHB_1+catfd_1_VHV_35/catpn_1_VHV_35),0)</f>
        <v>0</v>
      </c>
      <c r="I46" s="56" t="s">
        <v>108</v>
      </c>
      <c r="J46" s="60">
        <f>IF(AND(catpn_1_VHB_1&gt;0,catpn_1_VHV_35&gt;0),(cattf_1_VHB_1*((dagenperjaar1*VLOOKUP(B46,dagsoorttabel1,2,FALSE))-catfd_1_VHV_35)/catpn_1_VHB_1+cattf_1_VHV_35*catfd_1_VHV_35/catpn_1_VHV_35)/(((dagenperjaar1*VLOOKUP(B46,dagsoorttabel1,2,FALSE))-catfd_1_VHV_35)/catpn_1_VHB_1+catfd_1_VHV_35/catpn_1_VHV_35),0)</f>
        <v>0</v>
      </c>
      <c r="K46" s="72">
        <f>IF(OR(ISBLANK(G46),G46=0),0,F46/ROUND(G46,4))</f>
        <v>0</v>
      </c>
      <c r="L46" s="60">
        <f>ROUND(J46,2)*K46</f>
        <v>0</v>
      </c>
      <c r="M46" s="72">
        <f>K46*dagenperjaar1</f>
        <v>0</v>
      </c>
      <c r="N46" s="60">
        <f>M46*ROUND(J46,2)</f>
        <v>0</v>
      </c>
    </row>
    <row r="47" spans="1:14" x14ac:dyDescent="0.2">
      <c r="A47" s="56" t="s">
        <v>277</v>
      </c>
      <c r="B47" s="56" t="s">
        <v>13</v>
      </c>
      <c r="C47" s="56" t="s">
        <v>246</v>
      </c>
      <c r="D47" s="56" t="s">
        <v>278</v>
      </c>
      <c r="E47" s="72">
        <v>1385.05</v>
      </c>
      <c r="F47" s="72">
        <f>E47*VLOOKUP(B47,dagsoorttabel1,2,FALSE)</f>
        <v>1086.313725490196</v>
      </c>
      <c r="G47" s="73">
        <f>IF(AND(catpn_1_VHB_1&gt;0,catpn_1_VHV_40&gt;0),(dagenperjaar1*VLOOKUP(B47,dagsoorttabel1,2,FALSE))/(((dagenperjaar1*VLOOKUP(B47,dagsoorttabel1,2,FALSE))-catfd_1_VHV_40)/catpn_1_VHB_1+catfd_1_VHV_40/catpn_1_VHV_40),0)</f>
        <v>0</v>
      </c>
      <c r="H47" s="74">
        <f>IF(AND(catpn_1_VHB_1&gt;0,catpn_1_VHV_40&gt;0),(catdw_1_VHB_1*((dagenperjaar1-VLOOKUP(B47,dagsoorttabel1,2,FALSE))-catfd_1_VHV_40)/catpn_1_VHB_1+catdw_1_VHV_40*catfd_1_VHV_40/catpn_1_VHV_40)/(((dagenperjaar1-VLOOKUP(B47,dagsoorttabel1,2,FALSE))-catfd_1_VHV_40)/catpn_1_VHB_1+catfd_1_VHV_40/catpn_1_VHV_40),0)</f>
        <v>0</v>
      </c>
      <c r="I47" s="56" t="s">
        <v>108</v>
      </c>
      <c r="J47" s="60">
        <f>IF(AND(catpn_1_VHB_1&gt;0,catpn_1_VHV_40&gt;0),(cattf_1_VHB_1*((dagenperjaar1*VLOOKUP(B47,dagsoorttabel1,2,FALSE))-catfd_1_VHV_40)/catpn_1_VHB_1+cattf_1_VHV_40*catfd_1_VHV_40/catpn_1_VHV_40)/(((dagenperjaar1*VLOOKUP(B47,dagsoorttabel1,2,FALSE))-catfd_1_VHV_40)/catpn_1_VHB_1+catfd_1_VHV_40/catpn_1_VHV_40),0)</f>
        <v>0</v>
      </c>
      <c r="K47" s="72">
        <f>IF(OR(ISBLANK(G47),G47=0),0,F47/ROUND(G47,4))</f>
        <v>0</v>
      </c>
      <c r="L47" s="60">
        <f>ROUND(J47,2)*K47</f>
        <v>0</v>
      </c>
      <c r="M47" s="72">
        <f>K47*dagenperjaar1</f>
        <v>0</v>
      </c>
      <c r="N47" s="60">
        <f>M47*ROUND(J47,2)</f>
        <v>0</v>
      </c>
    </row>
    <row r="48" spans="1:14" x14ac:dyDescent="0.2">
      <c r="A48" s="56" t="s">
        <v>277</v>
      </c>
      <c r="B48" s="56" t="s">
        <v>11</v>
      </c>
      <c r="C48" s="56" t="s">
        <v>246</v>
      </c>
      <c r="D48" s="56" t="s">
        <v>278</v>
      </c>
      <c r="E48" s="72">
        <v>283.33</v>
      </c>
      <c r="F48" s="72">
        <f>E48*VLOOKUP(B48,dagsoorttabel1,2,FALSE)</f>
        <v>249.99705882352939</v>
      </c>
      <c r="G48" s="73">
        <f>IF(AND(catpn_1_VHB_1&gt;0,catpn_1_VHV_45&gt;0),(dagenperjaar1*VLOOKUP(B48,dagsoorttabel1,2,FALSE))/(((dagenperjaar1*VLOOKUP(B48,dagsoorttabel1,2,FALSE))-catfd_1_VHV_45)/catpn_1_VHB_1+catfd_1_VHV_45/catpn_1_VHV_45),0)</f>
        <v>0</v>
      </c>
      <c r="H48" s="74">
        <f>IF(AND(catpn_1_VHB_1&gt;0,catpn_1_VHV_45&gt;0),(catdw_1_VHB_1*((dagenperjaar1-VLOOKUP(B48,dagsoorttabel1,2,FALSE))-catfd_1_VHV_45)/catpn_1_VHB_1+catdw_1_VHV_45*catfd_1_VHV_45/catpn_1_VHV_45)/(((dagenperjaar1-VLOOKUP(B48,dagsoorttabel1,2,FALSE))-catfd_1_VHV_45)/catpn_1_VHB_1+catfd_1_VHV_45/catpn_1_VHV_45),0)</f>
        <v>0</v>
      </c>
      <c r="I48" s="56" t="s">
        <v>108</v>
      </c>
      <c r="J48" s="60">
        <f>IF(AND(catpn_1_VHB_1&gt;0,catpn_1_VHV_45&gt;0),(cattf_1_VHB_1*((dagenperjaar1*VLOOKUP(B48,dagsoorttabel1,2,FALSE))-catfd_1_VHV_45)/catpn_1_VHB_1+cattf_1_VHV_45*catfd_1_VHV_45/catpn_1_VHV_45)/(((dagenperjaar1*VLOOKUP(B48,dagsoorttabel1,2,FALSE))-catfd_1_VHV_45)/catpn_1_VHB_1+catfd_1_VHV_45/catpn_1_VHV_45),0)</f>
        <v>0</v>
      </c>
      <c r="K48" s="72">
        <f>IF(OR(ISBLANK(G48),G48=0),0,F48/ROUND(G48,4))</f>
        <v>0</v>
      </c>
      <c r="L48" s="60">
        <f>ROUND(J48,2)*K48</f>
        <v>0</v>
      </c>
      <c r="M48" s="72">
        <f>K48*dagenperjaar1</f>
        <v>0</v>
      </c>
      <c r="N48" s="60">
        <f>M48*ROUND(J48,2)</f>
        <v>0</v>
      </c>
    </row>
    <row r="49" spans="1:14" x14ac:dyDescent="0.2">
      <c r="A49" s="56" t="s">
        <v>277</v>
      </c>
      <c r="B49" s="56" t="s">
        <v>10</v>
      </c>
      <c r="C49" s="56" t="s">
        <v>246</v>
      </c>
      <c r="D49" s="56" t="s">
        <v>278</v>
      </c>
      <c r="E49" s="72">
        <v>180</v>
      </c>
      <c r="F49" s="72">
        <f>E49*VLOOKUP(B49,dagsoorttabel1,2,FALSE)</f>
        <v>180</v>
      </c>
      <c r="G49" s="73">
        <f>IF(AND(catpn_1_VHB_1&gt;0,catpn_1_VHV_51&gt;0),(dagenperjaar1*VLOOKUP(B49,dagsoorttabel1,2,FALSE))/(((dagenperjaar1*VLOOKUP(B49,dagsoorttabel1,2,FALSE))-catfd_1_VHV_51)/catpn_1_VHB_1+catfd_1_VHV_51/catpn_1_VHV_51),0)</f>
        <v>0</v>
      </c>
      <c r="H49" s="74">
        <f>IF(AND(catpn_1_VHB_1&gt;0,catpn_1_VHV_51&gt;0),(catdw_1_VHB_1*((dagenperjaar1-VLOOKUP(B49,dagsoorttabel1,2,FALSE))-catfd_1_VHV_51)/catpn_1_VHB_1+catdw_1_VHV_51*catfd_1_VHV_51/catpn_1_VHV_51)/(((dagenperjaar1-VLOOKUP(B49,dagsoorttabel1,2,FALSE))-catfd_1_VHV_51)/catpn_1_VHB_1+catfd_1_VHV_51/catpn_1_VHV_51),0)</f>
        <v>0</v>
      </c>
      <c r="I49" s="56" t="s">
        <v>108</v>
      </c>
      <c r="J49" s="60">
        <f>IF(AND(catpn_1_VHB_1&gt;0,catpn_1_VHV_51&gt;0),(cattf_1_VHB_1*((dagenperjaar1*VLOOKUP(B49,dagsoorttabel1,2,FALSE))-catfd_1_VHV_51)/catpn_1_VHB_1+cattf_1_VHV_51*catfd_1_VHV_51/catpn_1_VHV_51)/(((dagenperjaar1*VLOOKUP(B49,dagsoorttabel1,2,FALSE))-catfd_1_VHV_51)/catpn_1_VHB_1+catfd_1_VHV_51/catpn_1_VHV_51),0)</f>
        <v>0</v>
      </c>
      <c r="K49" s="72">
        <f>IF(OR(ISBLANK(G49),G49=0),0,F49/ROUND(G49,4))</f>
        <v>0</v>
      </c>
      <c r="L49" s="60">
        <f>ROUND(J49,2)*K49</f>
        <v>0</v>
      </c>
      <c r="M49" s="72">
        <f>K49*dagenperjaar1</f>
        <v>0</v>
      </c>
      <c r="N49" s="60">
        <f>M49*ROUND(J49,2)</f>
        <v>0</v>
      </c>
    </row>
    <row r="50" spans="1:14" x14ac:dyDescent="0.2">
      <c r="A50" s="56" t="s">
        <v>277</v>
      </c>
      <c r="B50" s="56" t="s">
        <v>28</v>
      </c>
      <c r="C50" s="56" t="s">
        <v>246</v>
      </c>
      <c r="D50" s="56" t="s">
        <v>278</v>
      </c>
      <c r="E50" s="72">
        <v>244.16</v>
      </c>
      <c r="F50" s="72">
        <f>E50*VLOOKUP(B50,dagsoorttabel1,2,FALSE)</f>
        <v>1.9149803921568627</v>
      </c>
      <c r="G50" s="73">
        <f>catpn_1_VHB_1</f>
        <v>0</v>
      </c>
      <c r="H50" s="74">
        <f>catdw_1_VHB_1</f>
        <v>0</v>
      </c>
      <c r="I50" s="56" t="s">
        <v>108</v>
      </c>
      <c r="J50" s="60">
        <f>cattf_1_VHB_1</f>
        <v>0</v>
      </c>
      <c r="K50" s="72">
        <f>IF(OR(ISBLANK(G50),G50=0),0,F50/ROUND(G50,4))</f>
        <v>0</v>
      </c>
      <c r="L50" s="60">
        <f>ROUND(J50,2)*K50</f>
        <v>0</v>
      </c>
      <c r="M50" s="72">
        <f>K50*dagenperjaar1</f>
        <v>0</v>
      </c>
      <c r="N50" s="60">
        <f>M50*ROUND(J50,2)</f>
        <v>0</v>
      </c>
    </row>
    <row r="51" spans="1:14" x14ac:dyDescent="0.2">
      <c r="A51" s="56" t="s">
        <v>277</v>
      </c>
      <c r="B51" s="56" t="s">
        <v>21</v>
      </c>
      <c r="C51" s="56" t="s">
        <v>246</v>
      </c>
      <c r="D51" s="56" t="s">
        <v>278</v>
      </c>
      <c r="E51" s="72">
        <v>83</v>
      </c>
      <c r="F51" s="72">
        <f>E51*VLOOKUP(B51,dagsoorttabel1,2,FALSE)</f>
        <v>14.647058823529413</v>
      </c>
      <c r="G51" s="73">
        <f>IF(AND(catpn_1_VHB_1&gt;0,catpn_1_VHV_45&gt;0),(dagenperjaar1*VLOOKUP(B51,dagsoorttabel1,2,FALSE))/(((dagenperjaar1*VLOOKUP(B51,dagsoorttabel1,2,FALSE))-catfd_1_VHV_45)/catpn_1_VHB_1+catfd_1_VHV_45/catpn_1_VHV_45),0)</f>
        <v>0</v>
      </c>
      <c r="H51" s="74">
        <f>IF(AND(catpn_1_VHB_1&gt;0,catpn_1_VHV_45&gt;0),(catdw_1_VHB_1*((dagenperjaar1-VLOOKUP(B51,dagsoorttabel1,2,FALSE))-catfd_1_VHV_45)/catpn_1_VHB_1+catdw_1_VHV_45*catfd_1_VHV_45/catpn_1_VHV_45)/(((dagenperjaar1-VLOOKUP(B51,dagsoorttabel1,2,FALSE))-catfd_1_VHV_45)/catpn_1_VHB_1+catfd_1_VHV_45/catpn_1_VHV_45),0)</f>
        <v>0</v>
      </c>
      <c r="I51" s="56" t="s">
        <v>108</v>
      </c>
      <c r="J51" s="60">
        <f>IF(AND(catpn_1_VHB_1&gt;0,catpn_1_VHV_45&gt;0),(cattf_1_VHB_1*((dagenperjaar1*VLOOKUP(B51,dagsoorttabel1,2,FALSE))-catfd_1_VHV_45)/catpn_1_VHB_1+cattf_1_VHV_45*catfd_1_VHV_45/catpn_1_VHV_45)/(((dagenperjaar1*VLOOKUP(B51,dagsoorttabel1,2,FALSE))-catfd_1_VHV_45)/catpn_1_VHB_1+catfd_1_VHV_45/catpn_1_VHV_45),0)</f>
        <v>0</v>
      </c>
      <c r="K51" s="72">
        <f>IF(OR(ISBLANK(G51),G51=0),0,F51/ROUND(G51,4))</f>
        <v>0</v>
      </c>
      <c r="L51" s="60">
        <f>ROUND(J51,2)*K51</f>
        <v>0</v>
      </c>
      <c r="M51" s="72">
        <f>K51*dagenperjaar1</f>
        <v>0</v>
      </c>
      <c r="N51" s="60">
        <f>M51*ROUND(J51,2)</f>
        <v>0</v>
      </c>
    </row>
    <row r="52" spans="1:14" x14ac:dyDescent="0.2">
      <c r="A52" s="56" t="s">
        <v>279</v>
      </c>
      <c r="B52" s="56" t="s">
        <v>16</v>
      </c>
      <c r="C52" s="56" t="s">
        <v>246</v>
      </c>
      <c r="D52" s="56" t="s">
        <v>280</v>
      </c>
      <c r="E52" s="72">
        <v>5.89</v>
      </c>
      <c r="F52" s="72">
        <f>E52*VLOOKUP(B52,dagsoorttabel1,2,FALSE)</f>
        <v>3.4647058823529413</v>
      </c>
      <c r="G52" s="73">
        <f>IF(AND(catpn_1_VZB_1&gt;0,catpn_1_VZV_30&gt;0),(dagenperjaar1*VLOOKUP(B52,dagsoorttabel1,2,FALSE))/(((dagenperjaar1*VLOOKUP(B52,dagsoorttabel1,2,FALSE))-catfd_1_VZV_30)/catpn_1_VZB_1+catfd_1_VZV_30/catpn_1_VZV_30),0)</f>
        <v>0</v>
      </c>
      <c r="H52" s="74">
        <f>IF(AND(catpn_1_VZB_1&gt;0,catpn_1_VZV_30&gt;0),(catdw_1_VZB_1*((dagenperjaar1-VLOOKUP(B52,dagsoorttabel1,2,FALSE))-catfd_1_VZV_30)/catpn_1_VZB_1+catdw_1_VZV_30*catfd_1_VZV_30/catpn_1_VZV_30)/(((dagenperjaar1-VLOOKUP(B52,dagsoorttabel1,2,FALSE))-catfd_1_VZV_30)/catpn_1_VZB_1+catfd_1_VZV_30/catpn_1_VZV_30),0)</f>
        <v>0</v>
      </c>
      <c r="I52" s="56" t="s">
        <v>108</v>
      </c>
      <c r="J52" s="60">
        <f>IF(AND(catpn_1_VZB_1&gt;0,catpn_1_VZV_30&gt;0),(cattf_1_VZB_1*((dagenperjaar1*VLOOKUP(B52,dagsoorttabel1,2,FALSE))-catfd_1_VZV_30)/catpn_1_VZB_1+cattf_1_VZV_30*catfd_1_VZV_30/catpn_1_VZV_30)/(((dagenperjaar1*VLOOKUP(B52,dagsoorttabel1,2,FALSE))-catfd_1_VZV_30)/catpn_1_VZB_1+catfd_1_VZV_30/catpn_1_VZV_30),0)</f>
        <v>0</v>
      </c>
      <c r="K52" s="72">
        <f>IF(OR(ISBLANK(G52),G52=0),0,F52/ROUND(G52,4))</f>
        <v>0</v>
      </c>
      <c r="L52" s="60">
        <f>ROUND(J52,2)*K52</f>
        <v>0</v>
      </c>
      <c r="M52" s="72">
        <f>K52*dagenperjaar1</f>
        <v>0</v>
      </c>
      <c r="N52" s="60">
        <f>M52*ROUND(J52,2)</f>
        <v>0</v>
      </c>
    </row>
    <row r="53" spans="1:14" x14ac:dyDescent="0.2">
      <c r="A53" s="56" t="s">
        <v>281</v>
      </c>
      <c r="B53" s="56" t="s">
        <v>10</v>
      </c>
      <c r="C53" s="56" t="s">
        <v>246</v>
      </c>
      <c r="D53" s="56" t="s">
        <v>282</v>
      </c>
      <c r="E53" s="72">
        <v>50</v>
      </c>
      <c r="F53" s="72">
        <f>E53*VLOOKUP(B53,dagsoorttabel1,2,FALSE)</f>
        <v>50</v>
      </c>
      <c r="G53" s="73">
        <f>IF(AND(catpn_1_ZDHB_1&gt;0,catpn_1_ZDHV_51&gt;0),(dagenperjaar1*VLOOKUP(B53,dagsoorttabel1,2,FALSE))/(((dagenperjaar1*VLOOKUP(B53,dagsoorttabel1,2,FALSE))-catfd_1_ZDHV_51)/catpn_1_ZDHB_1+catfd_1_ZDHV_51/catpn_1_ZDHV_51),0)</f>
        <v>0</v>
      </c>
      <c r="H53" s="74">
        <f>IF(AND(catpn_1_ZDHB_1&gt;0,catpn_1_ZDHV_51&gt;0),(catdw_1_ZDHB_1*((dagenperjaar1-VLOOKUP(B53,dagsoorttabel1,2,FALSE))-catfd_1_ZDHV_51)/catpn_1_ZDHB_1+catdw_1_ZDHV_51*catfd_1_ZDHV_51/catpn_1_ZDHV_51)/(((dagenperjaar1-VLOOKUP(B53,dagsoorttabel1,2,FALSE))-catfd_1_ZDHV_51)/catpn_1_ZDHB_1+catfd_1_ZDHV_51/catpn_1_ZDHV_51),0)</f>
        <v>0</v>
      </c>
      <c r="I53" s="56" t="s">
        <v>108</v>
      </c>
      <c r="J53" s="60">
        <f>IF(AND(catpn_1_ZDHB_1&gt;0,catpn_1_ZDHV_51&gt;0),(cattf_1_ZDHB_1*((dagenperjaar1*VLOOKUP(B53,dagsoorttabel1,2,FALSE))-catfd_1_ZDHV_51)/catpn_1_ZDHB_1+cattf_1_ZDHV_51*catfd_1_ZDHV_51/catpn_1_ZDHV_51)/(((dagenperjaar1*VLOOKUP(B53,dagsoorttabel1,2,FALSE))-catfd_1_ZDHV_51)/catpn_1_ZDHB_1+catfd_1_ZDHV_51/catpn_1_ZDHV_51),0)</f>
        <v>0</v>
      </c>
      <c r="K53" s="72">
        <f>IF(OR(ISBLANK(G53),G53=0),0,F53/ROUND(G53,4))</f>
        <v>0</v>
      </c>
      <c r="L53" s="60">
        <f>ROUND(J53,2)*K53</f>
        <v>0</v>
      </c>
      <c r="M53" s="72">
        <f>K53*dagenperjaar1</f>
        <v>0</v>
      </c>
      <c r="N53" s="60">
        <f>M53*ROUND(J53,2)</f>
        <v>0</v>
      </c>
    </row>
    <row r="54" spans="1:14" x14ac:dyDescent="0.2">
      <c r="A54" s="56" t="s">
        <v>283</v>
      </c>
      <c r="B54" s="56" t="s">
        <v>13</v>
      </c>
      <c r="C54" s="56" t="s">
        <v>246</v>
      </c>
      <c r="D54" s="56" t="s">
        <v>284</v>
      </c>
      <c r="E54" s="72">
        <v>162</v>
      </c>
      <c r="F54" s="72">
        <f>E54*VLOOKUP(B54,dagsoorttabel1,2,FALSE)</f>
        <v>127.05882352941177</v>
      </c>
      <c r="G54" s="73">
        <f>IF(AND(catpn_1_ZKLHB_1&gt;0,catpn_1_ZKLHV_40&gt;0),(dagenperjaar1*VLOOKUP(B54,dagsoorttabel1,2,FALSE))/(((dagenperjaar1*VLOOKUP(B54,dagsoorttabel1,2,FALSE))-catfd_1_ZKLHV_40)/catpn_1_ZKLHB_1+catfd_1_ZKLHV_40/catpn_1_ZKLHV_40),0)</f>
        <v>0</v>
      </c>
      <c r="H54" s="74">
        <f>IF(AND(catpn_1_ZKLHB_1&gt;0,catpn_1_ZKLHV_40&gt;0),(catdw_1_ZKLHB_1*((dagenperjaar1-VLOOKUP(B54,dagsoorttabel1,2,FALSE))-catfd_1_ZKLHV_40)/catpn_1_ZKLHB_1+catdw_1_ZKLHV_40*catfd_1_ZKLHV_40/catpn_1_ZKLHV_40)/(((dagenperjaar1-VLOOKUP(B54,dagsoorttabel1,2,FALSE))-catfd_1_ZKLHV_40)/catpn_1_ZKLHB_1+catfd_1_ZKLHV_40/catpn_1_ZKLHV_40),0)</f>
        <v>0</v>
      </c>
      <c r="I54" s="56" t="s">
        <v>108</v>
      </c>
      <c r="J54" s="60">
        <f>IF(AND(catpn_1_ZKLHB_1&gt;0,catpn_1_ZKLHV_40&gt;0),(cattf_1_ZKLHB_1*((dagenperjaar1*VLOOKUP(B54,dagsoorttabel1,2,FALSE))-catfd_1_ZKLHV_40)/catpn_1_ZKLHB_1+cattf_1_ZKLHV_40*catfd_1_ZKLHV_40/catpn_1_ZKLHV_40)/(((dagenperjaar1*VLOOKUP(B54,dagsoorttabel1,2,FALSE))-catfd_1_ZKLHV_40)/catpn_1_ZKLHB_1+catfd_1_ZKLHV_40/catpn_1_ZKLHV_40),0)</f>
        <v>0</v>
      </c>
      <c r="K54" s="72">
        <f>IF(OR(ISBLANK(G54),G54=0),0,F54/ROUND(G54,4))</f>
        <v>0</v>
      </c>
      <c r="L54" s="60">
        <f>ROUND(J54,2)*K54</f>
        <v>0</v>
      </c>
      <c r="M54" s="72">
        <f>K54*dagenperjaar1</f>
        <v>0</v>
      </c>
      <c r="N54" s="60">
        <f>M54*ROUND(J54,2)</f>
        <v>0</v>
      </c>
    </row>
    <row r="55" spans="1:14" x14ac:dyDescent="0.2">
      <c r="A55" s="56" t="s">
        <v>283</v>
      </c>
      <c r="B55" s="56" t="s">
        <v>10</v>
      </c>
      <c r="C55" s="56" t="s">
        <v>246</v>
      </c>
      <c r="D55" s="56" t="s">
        <v>284</v>
      </c>
      <c r="E55" s="72">
        <v>274</v>
      </c>
      <c r="F55" s="72">
        <f>E55*VLOOKUP(B55,dagsoorttabel1,2,FALSE)</f>
        <v>274</v>
      </c>
      <c r="G55" s="73">
        <f>IF(AND(catpn_1_ZKLHB_1&gt;0,catpn_1_ZKLHV_51&gt;0),(dagenperjaar1*VLOOKUP(B55,dagsoorttabel1,2,FALSE))/(((dagenperjaar1*VLOOKUP(B55,dagsoorttabel1,2,FALSE))-catfd_1_ZKLHV_51)/catpn_1_ZKLHB_1+catfd_1_ZKLHV_51/catpn_1_ZKLHV_51),0)</f>
        <v>0</v>
      </c>
      <c r="H55" s="74">
        <f>IF(AND(catpn_1_ZKLHB_1&gt;0,catpn_1_ZKLHV_51&gt;0),(catdw_1_ZKLHB_1*((dagenperjaar1-VLOOKUP(B55,dagsoorttabel1,2,FALSE))-catfd_1_ZKLHV_51)/catpn_1_ZKLHB_1+catdw_1_ZKLHV_51*catfd_1_ZKLHV_51/catpn_1_ZKLHV_51)/(((dagenperjaar1-VLOOKUP(B55,dagsoorttabel1,2,FALSE))-catfd_1_ZKLHV_51)/catpn_1_ZKLHB_1+catfd_1_ZKLHV_51/catpn_1_ZKLHV_51),0)</f>
        <v>0</v>
      </c>
      <c r="I55" s="56" t="s">
        <v>108</v>
      </c>
      <c r="J55" s="60">
        <f>IF(AND(catpn_1_ZKLHB_1&gt;0,catpn_1_ZKLHV_51&gt;0),(cattf_1_ZKLHB_1*((dagenperjaar1*VLOOKUP(B55,dagsoorttabel1,2,FALSE))-catfd_1_ZKLHV_51)/catpn_1_ZKLHB_1+cattf_1_ZKLHV_51*catfd_1_ZKLHV_51/catpn_1_ZKLHV_51)/(((dagenperjaar1*VLOOKUP(B55,dagsoorttabel1,2,FALSE))-catfd_1_ZKLHV_51)/catpn_1_ZKLHB_1+catfd_1_ZKLHV_51/catpn_1_ZKLHV_51),0)</f>
        <v>0</v>
      </c>
      <c r="K55" s="72">
        <f>IF(OR(ISBLANK(G55),G55=0),0,F55/ROUND(G55,4))</f>
        <v>0</v>
      </c>
      <c r="L55" s="60">
        <f>ROUND(J55,2)*K55</f>
        <v>0</v>
      </c>
      <c r="M55" s="72">
        <f>K55*dagenperjaar1</f>
        <v>0</v>
      </c>
      <c r="N55" s="60">
        <f>M55*ROUND(J55,2)</f>
        <v>0</v>
      </c>
    </row>
    <row r="56" spans="1:14" x14ac:dyDescent="0.2">
      <c r="A56" s="56" t="s">
        <v>285</v>
      </c>
      <c r="B56" s="56" t="s">
        <v>10</v>
      </c>
      <c r="C56" s="56" t="s">
        <v>246</v>
      </c>
      <c r="D56" s="56" t="s">
        <v>286</v>
      </c>
      <c r="E56" s="72">
        <v>190</v>
      </c>
      <c r="F56" s="72">
        <f>E56*VLOOKUP(B56,dagsoorttabel1,2,FALSE)</f>
        <v>190</v>
      </c>
      <c r="G56" s="73">
        <f>catpn_1_ZKLHB_1</f>
        <v>0</v>
      </c>
      <c r="H56" s="74">
        <f>catdw_1_ZKLHB_1</f>
        <v>0</v>
      </c>
      <c r="I56" s="56" t="s">
        <v>108</v>
      </c>
      <c r="J56" s="60">
        <f>cattf_1_ZKLHB_1</f>
        <v>0</v>
      </c>
      <c r="K56" s="72">
        <f>IF(OR(ISBLANK(G56),G56=0),0,F56/ROUND(G56,4))</f>
        <v>0</v>
      </c>
      <c r="L56" s="60">
        <f>ROUND(J56,2)*K56</f>
        <v>0</v>
      </c>
      <c r="M56" s="72">
        <f>K56*dagenperjaar1</f>
        <v>0</v>
      </c>
      <c r="N56" s="60">
        <f>M56*ROUND(J56,2)</f>
        <v>0</v>
      </c>
    </row>
    <row r="57" spans="1:14" x14ac:dyDescent="0.2">
      <c r="A57" s="56" t="s">
        <v>287</v>
      </c>
      <c r="B57" s="56" t="s">
        <v>13</v>
      </c>
      <c r="C57" s="56" t="s">
        <v>246</v>
      </c>
      <c r="D57" s="56" t="s">
        <v>288</v>
      </c>
      <c r="E57" s="72">
        <v>180</v>
      </c>
      <c r="F57" s="72">
        <f>E57*VLOOKUP(B57,dagsoorttabel1,2,FALSE)</f>
        <v>141.1764705882353</v>
      </c>
      <c r="G57" s="73">
        <f>IF(AND(catpn_1_ZSHB_1&gt;0,catpn_1_ZSHV_40&gt;0),(dagenperjaar1*VLOOKUP(B57,dagsoorttabel1,2,FALSE))/(((dagenperjaar1*VLOOKUP(B57,dagsoorttabel1,2,FALSE))-catfd_1_ZSHV_40)/catpn_1_ZSHB_1+catfd_1_ZSHV_40/catpn_1_ZSHV_40),0)</f>
        <v>0</v>
      </c>
      <c r="H57" s="74">
        <f>IF(AND(catpn_1_ZSHB_1&gt;0,catpn_1_ZSHV_40&gt;0),(catdw_1_ZSHB_1*((dagenperjaar1-VLOOKUP(B57,dagsoorttabel1,2,FALSE))-catfd_1_ZSHV_40)/catpn_1_ZSHB_1+catdw_1_ZSHV_40*catfd_1_ZSHV_40/catpn_1_ZSHV_40)/(((dagenperjaar1-VLOOKUP(B57,dagsoorttabel1,2,FALSE))-catfd_1_ZSHV_40)/catpn_1_ZSHB_1+catfd_1_ZSHV_40/catpn_1_ZSHV_40),0)</f>
        <v>0</v>
      </c>
      <c r="I57" s="56" t="s">
        <v>108</v>
      </c>
      <c r="J57" s="60">
        <f>IF(AND(catpn_1_ZSHB_1&gt;0,catpn_1_ZSHV_40&gt;0),(cattf_1_ZSHB_1*((dagenperjaar1*VLOOKUP(B57,dagsoorttabel1,2,FALSE))-catfd_1_ZSHV_40)/catpn_1_ZSHB_1+cattf_1_ZSHV_40*catfd_1_ZSHV_40/catpn_1_ZSHV_40)/(((dagenperjaar1*VLOOKUP(B57,dagsoorttabel1,2,FALSE))-catfd_1_ZSHV_40)/catpn_1_ZSHB_1+catfd_1_ZSHV_40/catpn_1_ZSHV_40),0)</f>
        <v>0</v>
      </c>
      <c r="K57" s="72">
        <f>IF(OR(ISBLANK(G57),G57=0),0,F57/ROUND(G57,4))</f>
        <v>0</v>
      </c>
      <c r="L57" s="60">
        <f>ROUND(J57,2)*K57</f>
        <v>0</v>
      </c>
      <c r="M57" s="72">
        <f>K57*dagenperjaar1</f>
        <v>0</v>
      </c>
      <c r="N57" s="60">
        <f>M57*ROUND(J57,2)</f>
        <v>0</v>
      </c>
    </row>
    <row r="58" spans="1:14" x14ac:dyDescent="0.2">
      <c r="A58" s="56" t="s">
        <v>287</v>
      </c>
      <c r="B58" s="56" t="s">
        <v>10</v>
      </c>
      <c r="C58" s="56" t="s">
        <v>246</v>
      </c>
      <c r="D58" s="56" t="s">
        <v>288</v>
      </c>
      <c r="E58" s="72">
        <v>14.4</v>
      </c>
      <c r="F58" s="72">
        <f>E58*VLOOKUP(B58,dagsoorttabel1,2,FALSE)</f>
        <v>14.4</v>
      </c>
      <c r="G58" s="73">
        <f>IF(AND(catpn_1_ZSHB_1&gt;0,catpn_1_ZSHV_51&gt;0),(dagenperjaar1*VLOOKUP(B58,dagsoorttabel1,2,FALSE))/(((dagenperjaar1*VLOOKUP(B58,dagsoorttabel1,2,FALSE))-catfd_1_ZSHV_51)/catpn_1_ZSHB_1+catfd_1_ZSHV_51/catpn_1_ZSHV_51),0)</f>
        <v>0</v>
      </c>
      <c r="H58" s="74">
        <f>IF(AND(catpn_1_ZSHB_1&gt;0,catpn_1_ZSHV_51&gt;0),(catdw_1_ZSHB_1*((dagenperjaar1-VLOOKUP(B58,dagsoorttabel1,2,FALSE))-catfd_1_ZSHV_51)/catpn_1_ZSHB_1+catdw_1_ZSHV_51*catfd_1_ZSHV_51/catpn_1_ZSHV_51)/(((dagenperjaar1-VLOOKUP(B58,dagsoorttabel1,2,FALSE))-catfd_1_ZSHV_51)/catpn_1_ZSHB_1+catfd_1_ZSHV_51/catpn_1_ZSHV_51),0)</f>
        <v>0</v>
      </c>
      <c r="I58" s="56" t="s">
        <v>108</v>
      </c>
      <c r="J58" s="60">
        <f>IF(AND(catpn_1_ZSHB_1&gt;0,catpn_1_ZSHV_51&gt;0),(cattf_1_ZSHB_1*((dagenperjaar1*VLOOKUP(B58,dagsoorttabel1,2,FALSE))-catfd_1_ZSHV_51)/catpn_1_ZSHB_1+cattf_1_ZSHV_51*catfd_1_ZSHV_51/catpn_1_ZSHV_51)/(((dagenperjaar1*VLOOKUP(B58,dagsoorttabel1,2,FALSE))-catfd_1_ZSHV_51)/catpn_1_ZSHB_1+catfd_1_ZSHV_51/catpn_1_ZSHV_51),0)</f>
        <v>0</v>
      </c>
      <c r="K58" s="72">
        <f>IF(OR(ISBLANK(G58),G58=0),0,F58/ROUND(G58,4))</f>
        <v>0</v>
      </c>
      <c r="L58" s="60">
        <f>ROUND(J58,2)*K58</f>
        <v>0</v>
      </c>
      <c r="M58" s="72">
        <f>K58*dagenperjaar1</f>
        <v>0</v>
      </c>
      <c r="N58" s="60">
        <f>M58*ROUND(J58,2)</f>
        <v>0</v>
      </c>
    </row>
    <row r="59" spans="1:14" x14ac:dyDescent="0.2">
      <c r="A59" s="56" t="s">
        <v>289</v>
      </c>
      <c r="B59" s="56" t="s">
        <v>10</v>
      </c>
      <c r="C59" s="56" t="s">
        <v>246</v>
      </c>
      <c r="D59" s="56" t="s">
        <v>290</v>
      </c>
      <c r="E59" s="72">
        <v>14.4</v>
      </c>
      <c r="F59" s="72">
        <f>E59*VLOOKUP(B59,dagsoorttabel1,2,FALSE)</f>
        <v>14.4</v>
      </c>
      <c r="G59" s="73">
        <f>catpn_1_ZSHB_1</f>
        <v>0</v>
      </c>
      <c r="H59" s="74">
        <f>catdw_1_ZSHB_1</f>
        <v>0</v>
      </c>
      <c r="I59" s="56" t="s">
        <v>108</v>
      </c>
      <c r="J59" s="60">
        <f>cattf_1_ZSHB_1</f>
        <v>0</v>
      </c>
      <c r="K59" s="72">
        <f>IF(OR(ISBLANK(G59),G59=0),0,F59/ROUND(G59,4))</f>
        <v>0</v>
      </c>
      <c r="L59" s="60">
        <f>ROUND(J59,2)*K59</f>
        <v>0</v>
      </c>
      <c r="M59" s="72">
        <f>K59*dagenperjaar1</f>
        <v>0</v>
      </c>
      <c r="N59" s="60">
        <f>M59*ROUND(J59,2)</f>
        <v>0</v>
      </c>
    </row>
    <row r="60" spans="1:14" x14ac:dyDescent="0.2">
      <c r="A60" s="56" t="s">
        <v>291</v>
      </c>
      <c r="B60" s="56" t="s">
        <v>13</v>
      </c>
      <c r="C60" s="56" t="s">
        <v>246</v>
      </c>
      <c r="D60" s="56" t="s">
        <v>292</v>
      </c>
      <c r="E60" s="72">
        <v>499.5</v>
      </c>
      <c r="F60" s="72">
        <f>E60*VLOOKUP(B60,dagsoorttabel1,2,FALSE)</f>
        <v>391.76470588235293</v>
      </c>
      <c r="G60" s="73">
        <f>IF(AND(catpn_1_ZVHB_1&gt;0,catpn_1_ZVHV_40&gt;0),(dagenperjaar1*VLOOKUP(B60,dagsoorttabel1,2,FALSE))/(((dagenperjaar1*VLOOKUP(B60,dagsoorttabel1,2,FALSE))-catfd_1_ZVHV_40)/catpn_1_ZVHB_1+catfd_1_ZVHV_40/catpn_1_ZVHV_40),0)</f>
        <v>0</v>
      </c>
      <c r="H60" s="74">
        <f>IF(AND(catpn_1_ZVHB_1&gt;0,catpn_1_ZVHV_40&gt;0),(catdw_1_ZVHB_1*((dagenperjaar1-VLOOKUP(B60,dagsoorttabel1,2,FALSE))-catfd_1_ZVHV_40)/catpn_1_ZVHB_1+catdw_1_ZVHV_40*catfd_1_ZVHV_40/catpn_1_ZVHV_40)/(((dagenperjaar1-VLOOKUP(B60,dagsoorttabel1,2,FALSE))-catfd_1_ZVHV_40)/catpn_1_ZVHB_1+catfd_1_ZVHV_40/catpn_1_ZVHV_40),0)</f>
        <v>0</v>
      </c>
      <c r="I60" s="56" t="s">
        <v>108</v>
      </c>
      <c r="J60" s="60">
        <f>IF(AND(catpn_1_ZVHB_1&gt;0,catpn_1_ZVHV_40&gt;0),(cattf_1_ZVHB_1*((dagenperjaar1*VLOOKUP(B60,dagsoorttabel1,2,FALSE))-catfd_1_ZVHV_40)/catpn_1_ZVHB_1+cattf_1_ZVHV_40*catfd_1_ZVHV_40/catpn_1_ZVHV_40)/(((dagenperjaar1*VLOOKUP(B60,dagsoorttabel1,2,FALSE))-catfd_1_ZVHV_40)/catpn_1_ZVHB_1+catfd_1_ZVHV_40/catpn_1_ZVHV_40),0)</f>
        <v>0</v>
      </c>
      <c r="K60" s="72">
        <f>IF(OR(ISBLANK(G60),G60=0),0,F60/ROUND(G60,4))</f>
        <v>0</v>
      </c>
      <c r="L60" s="60">
        <f>ROUND(J60,2)*K60</f>
        <v>0</v>
      </c>
      <c r="M60" s="72">
        <f>K60*dagenperjaar1</f>
        <v>0</v>
      </c>
      <c r="N60" s="60">
        <f>M60*ROUND(J60,2)</f>
        <v>0</v>
      </c>
    </row>
    <row r="61" spans="1:14" x14ac:dyDescent="0.2">
      <c r="A61" s="56" t="s">
        <v>291</v>
      </c>
      <c r="B61" s="56" t="s">
        <v>10</v>
      </c>
      <c r="C61" s="56" t="s">
        <v>246</v>
      </c>
      <c r="D61" s="56" t="s">
        <v>292</v>
      </c>
      <c r="E61" s="72">
        <v>81.25</v>
      </c>
      <c r="F61" s="72">
        <f>E61*VLOOKUP(B61,dagsoorttabel1,2,FALSE)</f>
        <v>81.25</v>
      </c>
      <c r="G61" s="73">
        <f>IF(AND(catpn_1_ZVHB_1&gt;0,catpn_1_ZVHV_51&gt;0),(dagenperjaar1*VLOOKUP(B61,dagsoorttabel1,2,FALSE))/(((dagenperjaar1*VLOOKUP(B61,dagsoorttabel1,2,FALSE))-catfd_1_ZVHV_51)/catpn_1_ZVHB_1+catfd_1_ZVHV_51/catpn_1_ZVHV_51),0)</f>
        <v>0</v>
      </c>
      <c r="H61" s="74">
        <f>IF(AND(catpn_1_ZVHB_1&gt;0,catpn_1_ZVHV_51&gt;0),(catdw_1_ZVHB_1*((dagenperjaar1-VLOOKUP(B61,dagsoorttabel1,2,FALSE))-catfd_1_ZVHV_51)/catpn_1_ZVHB_1+catdw_1_ZVHV_51*catfd_1_ZVHV_51/catpn_1_ZVHV_51)/(((dagenperjaar1-VLOOKUP(B61,dagsoorttabel1,2,FALSE))-catfd_1_ZVHV_51)/catpn_1_ZVHB_1+catfd_1_ZVHV_51/catpn_1_ZVHV_51),0)</f>
        <v>0</v>
      </c>
      <c r="I61" s="56" t="s">
        <v>108</v>
      </c>
      <c r="J61" s="60">
        <f>IF(AND(catpn_1_ZVHB_1&gt;0,catpn_1_ZVHV_51&gt;0),(cattf_1_ZVHB_1*((dagenperjaar1*VLOOKUP(B61,dagsoorttabel1,2,FALSE))-catfd_1_ZVHV_51)/catpn_1_ZVHB_1+cattf_1_ZVHV_51*catfd_1_ZVHV_51/catpn_1_ZVHV_51)/(((dagenperjaar1*VLOOKUP(B61,dagsoorttabel1,2,FALSE))-catfd_1_ZVHV_51)/catpn_1_ZVHB_1+catfd_1_ZVHV_51/catpn_1_ZVHV_51),0)</f>
        <v>0</v>
      </c>
      <c r="K61" s="72">
        <f>IF(OR(ISBLANK(G61),G61=0),0,F61/ROUND(G61,4))</f>
        <v>0</v>
      </c>
      <c r="L61" s="60">
        <f>ROUND(J61,2)*K61</f>
        <v>0</v>
      </c>
      <c r="M61" s="72">
        <f>K61*dagenperjaar1</f>
        <v>0</v>
      </c>
      <c r="N61" s="60">
        <f>M61*ROUND(J61,2)</f>
        <v>0</v>
      </c>
    </row>
    <row r="62" spans="1:14" x14ac:dyDescent="0.2">
      <c r="A62" s="61" t="s">
        <v>293</v>
      </c>
      <c r="B62" s="61" t="s">
        <v>19</v>
      </c>
      <c r="C62" s="61" t="s">
        <v>294</v>
      </c>
      <c r="D62" s="61" t="s">
        <v>295</v>
      </c>
      <c r="E62" s="75">
        <v>1</v>
      </c>
      <c r="F62" s="75">
        <f>E62*VLOOKUP(B62,dagsoorttabel1,2,FALSE)</f>
        <v>0.23529411764705882</v>
      </c>
      <c r="G62" s="76"/>
      <c r="H62" s="64"/>
      <c r="I62" s="61" t="s">
        <v>296</v>
      </c>
      <c r="J62" s="65">
        <f>Tariefopbouw1</f>
        <v>0</v>
      </c>
      <c r="K62" s="75">
        <f>F62</f>
        <v>0.23529411764705882</v>
      </c>
      <c r="L62" s="65">
        <f>ROUND(J62,2)*K62</f>
        <v>0</v>
      </c>
      <c r="M62" s="75">
        <f>K62*dagenperjaar1</f>
        <v>60</v>
      </c>
      <c r="N62" s="65">
        <f>M62*ROUND(J62,2)</f>
        <v>0</v>
      </c>
    </row>
    <row r="63" spans="1:14" x14ac:dyDescent="0.2">
      <c r="A63" s="78" t="s">
        <v>297</v>
      </c>
      <c r="B63" s="79"/>
      <c r="C63" s="79"/>
      <c r="D63" s="79"/>
      <c r="E63" s="79"/>
      <c r="F63" s="79"/>
      <c r="G63" s="79"/>
      <c r="H63" s="79"/>
      <c r="I63" s="79"/>
      <c r="J63" s="79"/>
      <c r="K63" s="80">
        <f>SUM(K6:K62)</f>
        <v>0.23529411764705882</v>
      </c>
      <c r="L63" s="81">
        <f>SUM(L6:L62)</f>
        <v>0</v>
      </c>
      <c r="M63" s="80">
        <f>SUM(M6:M62)</f>
        <v>60</v>
      </c>
      <c r="N63" s="82">
        <f>SUM(N6:N62)</f>
        <v>0</v>
      </c>
    </row>
    <row r="64" spans="1:14" x14ac:dyDescent="0.2">
      <c r="A64" s="83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84"/>
    </row>
    <row r="65" spans="1:14" x14ac:dyDescent="0.2">
      <c r="A65" s="78" t="s">
        <v>298</v>
      </c>
      <c r="B65" s="79"/>
      <c r="C65" s="79"/>
      <c r="D65" s="79"/>
      <c r="E65" s="79"/>
      <c r="F65" s="79"/>
      <c r="G65" s="79"/>
      <c r="H65" s="79"/>
      <c r="I65" s="79"/>
      <c r="J65" s="81">
        <f>IF(urenjaar1&gt;0,SUMIF(M6:M62,"&gt;0",N6:N62)/urenjaar1,0)</f>
        <v>0</v>
      </c>
      <c r="K65" s="79"/>
      <c r="L65" s="79"/>
      <c r="M65" s="79"/>
      <c r="N65" s="84"/>
    </row>
    <row r="66" spans="1:14" x14ac:dyDescent="0.2">
      <c r="A66" s="83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84"/>
    </row>
    <row r="67" spans="1:14" x14ac:dyDescent="0.2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3"/>
    </row>
    <row r="68" spans="1:14" x14ac:dyDescent="0.2">
      <c r="A68" s="44" t="s">
        <v>191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6"/>
    </row>
    <row r="69" spans="1:14" x14ac:dyDescent="0.2">
      <c r="A69" s="51" t="s">
        <v>299</v>
      </c>
      <c r="B69" s="51" t="s">
        <v>31</v>
      </c>
      <c r="C69" s="51" t="s">
        <v>246</v>
      </c>
      <c r="D69" s="51" t="s">
        <v>300</v>
      </c>
      <c r="E69" s="69">
        <v>612.35</v>
      </c>
      <c r="F69" s="69">
        <f>E69*VLOOKUP(B69,dagsoorttabel2,2,FALSE)</f>
        <v>2296.3125</v>
      </c>
      <c r="G69" s="70">
        <f>catpn_2_VBHB_1</f>
        <v>0</v>
      </c>
      <c r="H69" s="71">
        <f>catdw_2_VBHB_1</f>
        <v>0</v>
      </c>
      <c r="I69" s="51" t="s">
        <v>108</v>
      </c>
      <c r="J69" s="55">
        <f>cattf_2_VBHB_1</f>
        <v>0</v>
      </c>
      <c r="K69" s="69">
        <f>IF(OR(ISBLANK(G69),G69=0),0,F69/ROUND(G69,4))</f>
        <v>0</v>
      </c>
      <c r="L69" s="55">
        <f>ROUND(J69,2)*K69</f>
        <v>0</v>
      </c>
      <c r="M69" s="69">
        <f>K69*dagenperjaar2</f>
        <v>0</v>
      </c>
      <c r="N69" s="55">
        <f>M69*ROUND(J69,2)</f>
        <v>0</v>
      </c>
    </row>
    <row r="70" spans="1:14" x14ac:dyDescent="0.2">
      <c r="A70" s="56" t="s">
        <v>301</v>
      </c>
      <c r="B70" s="56" t="s">
        <v>31</v>
      </c>
      <c r="C70" s="56" t="s">
        <v>246</v>
      </c>
      <c r="D70" s="56" t="s">
        <v>302</v>
      </c>
      <c r="E70" s="72">
        <v>107</v>
      </c>
      <c r="F70" s="72">
        <f>E70*VLOOKUP(B70,dagsoorttabel2,2,FALSE)</f>
        <v>401.25</v>
      </c>
      <c r="G70" s="73">
        <f>catpn_2_VDHB_1</f>
        <v>0</v>
      </c>
      <c r="H70" s="74">
        <f>catdw_2_VDHB_1</f>
        <v>0</v>
      </c>
      <c r="I70" s="56" t="s">
        <v>108</v>
      </c>
      <c r="J70" s="60">
        <f>cattf_2_VDHB_1</f>
        <v>0</v>
      </c>
      <c r="K70" s="72">
        <f>IF(OR(ISBLANK(G70),G70=0),0,F70/ROUND(G70,4))</f>
        <v>0</v>
      </c>
      <c r="L70" s="60">
        <f>ROUND(J70,2)*K70</f>
        <v>0</v>
      </c>
      <c r="M70" s="72">
        <f>K70*dagenperjaar2</f>
        <v>0</v>
      </c>
      <c r="N70" s="60">
        <f>M70*ROUND(J70,2)</f>
        <v>0</v>
      </c>
    </row>
    <row r="71" spans="1:14" x14ac:dyDescent="0.2">
      <c r="A71" s="56" t="s">
        <v>303</v>
      </c>
      <c r="B71" s="56" t="s">
        <v>31</v>
      </c>
      <c r="C71" s="56" t="s">
        <v>246</v>
      </c>
      <c r="D71" s="56" t="s">
        <v>254</v>
      </c>
      <c r="E71" s="72">
        <v>34</v>
      </c>
      <c r="F71" s="72">
        <f>E71*VLOOKUP(B71,dagsoorttabel2,2,FALSE)</f>
        <v>127.5</v>
      </c>
      <c r="G71" s="73">
        <f>catpn_2_VEHB_1</f>
        <v>0</v>
      </c>
      <c r="H71" s="74">
        <f>catdw_2_VEHB_1</f>
        <v>0</v>
      </c>
      <c r="I71" s="56" t="s">
        <v>108</v>
      </c>
      <c r="J71" s="60">
        <f>cattf_2_VEHB_1</f>
        <v>0</v>
      </c>
      <c r="K71" s="72">
        <f>IF(OR(ISBLANK(G71),G71=0),0,F71/ROUND(G71,4))</f>
        <v>0</v>
      </c>
      <c r="L71" s="60">
        <f>ROUND(J71,2)*K71</f>
        <v>0</v>
      </c>
      <c r="M71" s="72">
        <f>K71*dagenperjaar2</f>
        <v>0</v>
      </c>
      <c r="N71" s="60">
        <f>M71*ROUND(J71,2)</f>
        <v>0</v>
      </c>
    </row>
    <row r="72" spans="1:14" x14ac:dyDescent="0.2">
      <c r="A72" s="56" t="s">
        <v>304</v>
      </c>
      <c r="B72" s="56" t="s">
        <v>31</v>
      </c>
      <c r="C72" s="56" t="s">
        <v>246</v>
      </c>
      <c r="D72" s="56" t="s">
        <v>258</v>
      </c>
      <c r="E72" s="72">
        <v>1.54</v>
      </c>
      <c r="F72" s="72">
        <f>E72*VLOOKUP(B72,dagsoorttabel2,2,FALSE)</f>
        <v>5.7750000000000004</v>
      </c>
      <c r="G72" s="73">
        <f>catpn_2_VFHB_1</f>
        <v>0</v>
      </c>
      <c r="H72" s="74">
        <f>catdw_2_VFHB_1</f>
        <v>0</v>
      </c>
      <c r="I72" s="56" t="s">
        <v>108</v>
      </c>
      <c r="J72" s="60">
        <f>cattf_2_VFHB_1</f>
        <v>0</v>
      </c>
      <c r="K72" s="72">
        <f>IF(OR(ISBLANK(G72),G72=0),0,F72/ROUND(G72,4))</f>
        <v>0</v>
      </c>
      <c r="L72" s="60">
        <f>ROUND(J72,2)*K72</f>
        <v>0</v>
      </c>
      <c r="M72" s="72">
        <f>K72*dagenperjaar2</f>
        <v>0</v>
      </c>
      <c r="N72" s="60">
        <f>M72*ROUND(J72,2)</f>
        <v>0</v>
      </c>
    </row>
    <row r="73" spans="1:14" x14ac:dyDescent="0.2">
      <c r="A73" s="56" t="s">
        <v>305</v>
      </c>
      <c r="B73" s="56" t="s">
        <v>31</v>
      </c>
      <c r="C73" s="56" t="s">
        <v>246</v>
      </c>
      <c r="D73" s="56" t="s">
        <v>306</v>
      </c>
      <c r="E73" s="72">
        <v>4637</v>
      </c>
      <c r="F73" s="72">
        <f>E73*VLOOKUP(B73,dagsoorttabel2,2,FALSE)</f>
        <v>17388.75</v>
      </c>
      <c r="G73" s="73">
        <f>catpn_2_VGHB_1</f>
        <v>0</v>
      </c>
      <c r="H73" s="74">
        <f>catdw_2_VGHB_1</f>
        <v>0</v>
      </c>
      <c r="I73" s="56" t="s">
        <v>108</v>
      </c>
      <c r="J73" s="60">
        <f>cattf_2_VGHB_1</f>
        <v>0</v>
      </c>
      <c r="K73" s="72">
        <f>IF(OR(ISBLANK(G73),G73=0),0,F73/ROUND(G73,4))</f>
        <v>0</v>
      </c>
      <c r="L73" s="60">
        <f>ROUND(J73,2)*K73</f>
        <v>0</v>
      </c>
      <c r="M73" s="72">
        <f>K73*dagenperjaar2</f>
        <v>0</v>
      </c>
      <c r="N73" s="60">
        <f>M73*ROUND(J73,2)</f>
        <v>0</v>
      </c>
    </row>
    <row r="74" spans="1:14" x14ac:dyDescent="0.2">
      <c r="A74" s="56" t="s">
        <v>307</v>
      </c>
      <c r="B74" s="56" t="s">
        <v>31</v>
      </c>
      <c r="C74" s="56" t="s">
        <v>246</v>
      </c>
      <c r="D74" s="56" t="s">
        <v>308</v>
      </c>
      <c r="E74" s="72">
        <v>227</v>
      </c>
      <c r="F74" s="72">
        <f>E74*VLOOKUP(B74,dagsoorttabel2,2,FALSE)</f>
        <v>851.25</v>
      </c>
      <c r="G74" s="73">
        <f>catpn_2_VKLHB_1</f>
        <v>0</v>
      </c>
      <c r="H74" s="74">
        <f>catdw_2_VKLHB_1</f>
        <v>0</v>
      </c>
      <c r="I74" s="56" t="s">
        <v>108</v>
      </c>
      <c r="J74" s="60">
        <f>cattf_2_VKLHB_1</f>
        <v>0</v>
      </c>
      <c r="K74" s="72">
        <f>IF(OR(ISBLANK(G74),G74=0),0,F74/ROUND(G74,4))</f>
        <v>0</v>
      </c>
      <c r="L74" s="60">
        <f>ROUND(J74,2)*K74</f>
        <v>0</v>
      </c>
      <c r="M74" s="72">
        <f>K74*dagenperjaar2</f>
        <v>0</v>
      </c>
      <c r="N74" s="60">
        <f>M74*ROUND(J74,2)</f>
        <v>0</v>
      </c>
    </row>
    <row r="75" spans="1:14" x14ac:dyDescent="0.2">
      <c r="A75" s="56" t="s">
        <v>309</v>
      </c>
      <c r="B75" s="56" t="s">
        <v>31</v>
      </c>
      <c r="C75" s="56" t="s">
        <v>246</v>
      </c>
      <c r="D75" s="56" t="s">
        <v>265</v>
      </c>
      <c r="E75" s="72">
        <v>555</v>
      </c>
      <c r="F75" s="72">
        <f>E75*VLOOKUP(B75,dagsoorttabel2,2,FALSE)</f>
        <v>2081.25</v>
      </c>
      <c r="G75" s="73">
        <f>catpn_2_VLHB_1</f>
        <v>0</v>
      </c>
      <c r="H75" s="74">
        <f>catdw_2_VLHB_1</f>
        <v>0</v>
      </c>
      <c r="I75" s="56" t="s">
        <v>108</v>
      </c>
      <c r="J75" s="60">
        <f>cattf_2_VLHB_1</f>
        <v>0</v>
      </c>
      <c r="K75" s="72">
        <f>IF(OR(ISBLANK(G75),G75=0),0,F75/ROUND(G75,4))</f>
        <v>0</v>
      </c>
      <c r="L75" s="60">
        <f>ROUND(J75,2)*K75</f>
        <v>0</v>
      </c>
      <c r="M75" s="72">
        <f>K75*dagenperjaar2</f>
        <v>0</v>
      </c>
      <c r="N75" s="60">
        <f>M75*ROUND(J75,2)</f>
        <v>0</v>
      </c>
    </row>
    <row r="76" spans="1:14" x14ac:dyDescent="0.2">
      <c r="A76" s="56" t="s">
        <v>310</v>
      </c>
      <c r="B76" s="56" t="s">
        <v>31</v>
      </c>
      <c r="C76" s="56" t="s">
        <v>246</v>
      </c>
      <c r="D76" s="56" t="s">
        <v>311</v>
      </c>
      <c r="E76" s="72">
        <v>16</v>
      </c>
      <c r="F76" s="72">
        <f>E76*VLOOKUP(B76,dagsoorttabel2,2,FALSE)</f>
        <v>60</v>
      </c>
      <c r="G76" s="73">
        <f>catpn_2_VRHB_1</f>
        <v>0</v>
      </c>
      <c r="H76" s="74">
        <f>catdw_2_VRHB_1</f>
        <v>0</v>
      </c>
      <c r="I76" s="56" t="s">
        <v>108</v>
      </c>
      <c r="J76" s="60">
        <f>cattf_2_VRHB_1</f>
        <v>0</v>
      </c>
      <c r="K76" s="72">
        <f>IF(OR(ISBLANK(G76),G76=0),0,F76/ROUND(G76,4))</f>
        <v>0</v>
      </c>
      <c r="L76" s="60">
        <f>ROUND(J76,2)*K76</f>
        <v>0</v>
      </c>
      <c r="M76" s="72">
        <f>K76*dagenperjaar2</f>
        <v>0</v>
      </c>
      <c r="N76" s="60">
        <f>M76*ROUND(J76,2)</f>
        <v>0</v>
      </c>
    </row>
    <row r="77" spans="1:14" x14ac:dyDescent="0.2">
      <c r="A77" s="56" t="s">
        <v>312</v>
      </c>
      <c r="B77" s="56" t="s">
        <v>31</v>
      </c>
      <c r="C77" s="56" t="s">
        <v>246</v>
      </c>
      <c r="D77" s="56" t="s">
        <v>271</v>
      </c>
      <c r="E77" s="72">
        <v>92.34</v>
      </c>
      <c r="F77" s="72">
        <f>E77*VLOOKUP(B77,dagsoorttabel2,2,FALSE)</f>
        <v>346.27500000000003</v>
      </c>
      <c r="G77" s="73">
        <f>catpn_2_VSHB_1</f>
        <v>0</v>
      </c>
      <c r="H77" s="74">
        <f>catdw_2_VSHB_1</f>
        <v>0</v>
      </c>
      <c r="I77" s="56" t="s">
        <v>108</v>
      </c>
      <c r="J77" s="60">
        <f>cattf_2_VSHB_1</f>
        <v>0</v>
      </c>
      <c r="K77" s="72">
        <f>IF(OR(ISBLANK(G77),G77=0),0,F77/ROUND(G77,4))</f>
        <v>0</v>
      </c>
      <c r="L77" s="60">
        <f>ROUND(J77,2)*K77</f>
        <v>0</v>
      </c>
      <c r="M77" s="72">
        <f>K77*dagenperjaar2</f>
        <v>0</v>
      </c>
      <c r="N77" s="60">
        <f>M77*ROUND(J77,2)</f>
        <v>0</v>
      </c>
    </row>
    <row r="78" spans="1:14" x14ac:dyDescent="0.2">
      <c r="A78" s="56" t="s">
        <v>313</v>
      </c>
      <c r="B78" s="56" t="s">
        <v>31</v>
      </c>
      <c r="C78" s="56" t="s">
        <v>246</v>
      </c>
      <c r="D78" s="56" t="s">
        <v>274</v>
      </c>
      <c r="E78" s="72">
        <v>112.03999999999999</v>
      </c>
      <c r="F78" s="72">
        <f>E78*VLOOKUP(B78,dagsoorttabel2,2,FALSE)</f>
        <v>420.15</v>
      </c>
      <c r="G78" s="73">
        <f>catpn_2_VTHB_1</f>
        <v>0</v>
      </c>
      <c r="H78" s="74">
        <f>catdw_2_VTHB_1</f>
        <v>0</v>
      </c>
      <c r="I78" s="56" t="s">
        <v>108</v>
      </c>
      <c r="J78" s="60">
        <f>cattf_2_VTHB_1</f>
        <v>0</v>
      </c>
      <c r="K78" s="72">
        <f>IF(OR(ISBLANK(G78),G78=0),0,F78/ROUND(G78,4))</f>
        <v>0</v>
      </c>
      <c r="L78" s="60">
        <f>ROUND(J78,2)*K78</f>
        <v>0</v>
      </c>
      <c r="M78" s="72">
        <f>K78*dagenperjaar2</f>
        <v>0</v>
      </c>
      <c r="N78" s="60">
        <f>M78*ROUND(J78,2)</f>
        <v>0</v>
      </c>
    </row>
    <row r="79" spans="1:14" x14ac:dyDescent="0.2">
      <c r="A79" s="61" t="s">
        <v>314</v>
      </c>
      <c r="B79" s="61" t="s">
        <v>31</v>
      </c>
      <c r="C79" s="61" t="s">
        <v>246</v>
      </c>
      <c r="D79" s="61" t="s">
        <v>315</v>
      </c>
      <c r="E79" s="75">
        <v>914.24</v>
      </c>
      <c r="F79" s="75">
        <f>E79*VLOOKUP(B79,dagsoorttabel2,2,FALSE)</f>
        <v>3428.4</v>
      </c>
      <c r="G79" s="76">
        <f>catpn_2_VVHB_1</f>
        <v>0</v>
      </c>
      <c r="H79" s="85">
        <f>catdw_2_VVHB_1</f>
        <v>0</v>
      </c>
      <c r="I79" s="61" t="s">
        <v>108</v>
      </c>
      <c r="J79" s="65">
        <f>cattf_2_VVHB_1</f>
        <v>0</v>
      </c>
      <c r="K79" s="75">
        <f>IF(OR(ISBLANK(G79),G79=0),0,F79/ROUND(G79,4))</f>
        <v>0</v>
      </c>
      <c r="L79" s="65">
        <f>ROUND(J79,2)*K79</f>
        <v>0</v>
      </c>
      <c r="M79" s="75">
        <f>K79*dagenperjaar2</f>
        <v>0</v>
      </c>
      <c r="N79" s="65">
        <f>M79*ROUND(J79,2)</f>
        <v>0</v>
      </c>
    </row>
    <row r="80" spans="1:14" x14ac:dyDescent="0.2">
      <c r="A80" s="78" t="s">
        <v>316</v>
      </c>
      <c r="B80" s="79"/>
      <c r="C80" s="79"/>
      <c r="D80" s="79"/>
      <c r="E80" s="79"/>
      <c r="F80" s="79"/>
      <c r="G80" s="79"/>
      <c r="H80" s="79"/>
      <c r="I80" s="79"/>
      <c r="J80" s="79"/>
      <c r="K80" s="80">
        <f>SUM(K69:K79)</f>
        <v>0</v>
      </c>
      <c r="L80" s="81">
        <f>SUM(L69:L79)</f>
        <v>0</v>
      </c>
      <c r="M80" s="80">
        <f>SUM(M69:M79)</f>
        <v>0</v>
      </c>
      <c r="N80" s="82">
        <f>SUM(N69:N79)</f>
        <v>0</v>
      </c>
    </row>
    <row r="81" spans="1:14" x14ac:dyDescent="0.2">
      <c r="A81" s="83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84"/>
    </row>
    <row r="82" spans="1:14" x14ac:dyDescent="0.2">
      <c r="A82" s="78" t="s">
        <v>317</v>
      </c>
      <c r="B82" s="79"/>
      <c r="C82" s="79"/>
      <c r="D82" s="79"/>
      <c r="E82" s="79"/>
      <c r="F82" s="79"/>
      <c r="G82" s="79"/>
      <c r="H82" s="79"/>
      <c r="I82" s="79"/>
      <c r="J82" s="81">
        <f>IF(urenjaar2&gt;0,SUMIF(M69:M79,"&gt;0",N69:N79)/urenjaar2,0)</f>
        <v>0</v>
      </c>
      <c r="K82" s="79"/>
      <c r="L82" s="79"/>
      <c r="M82" s="79"/>
      <c r="N82" s="84"/>
    </row>
    <row r="83" spans="1:14" x14ac:dyDescent="0.2">
      <c r="A83" s="83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84"/>
    </row>
    <row r="84" spans="1:14" x14ac:dyDescent="0.2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3"/>
    </row>
    <row r="85" spans="1:14" x14ac:dyDescent="0.2">
      <c r="A85" s="44" t="s">
        <v>214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6"/>
    </row>
    <row r="86" spans="1:14" x14ac:dyDescent="0.2">
      <c r="A86" s="51" t="s">
        <v>318</v>
      </c>
      <c r="B86" s="51" t="s">
        <v>35</v>
      </c>
      <c r="C86" s="51" t="s">
        <v>246</v>
      </c>
      <c r="D86" s="51" t="s">
        <v>300</v>
      </c>
      <c r="E86" s="69">
        <v>14.7</v>
      </c>
      <c r="F86" s="69">
        <f>E86*VLOOKUP(B86,dagsoorttabel3,2,FALSE)</f>
        <v>10.088235294117647</v>
      </c>
      <c r="G86" s="70">
        <f>catpn_3_WBHB_1</f>
        <v>0</v>
      </c>
      <c r="H86" s="71">
        <f>catdw_3_WBHB_1</f>
        <v>0</v>
      </c>
      <c r="I86" s="51" t="s">
        <v>108</v>
      </c>
      <c r="J86" s="55">
        <f>cattf_3_WBHB_1</f>
        <v>0</v>
      </c>
      <c r="K86" s="69">
        <f>IF(OR(ISBLANK(G86),G86=0),0,F86/ROUND(G86,4))</f>
        <v>0</v>
      </c>
      <c r="L86" s="55">
        <f>ROUND(J86,2)*K86</f>
        <v>0</v>
      </c>
      <c r="M86" s="69">
        <f>K86*dagenperjaar3</f>
        <v>0</v>
      </c>
      <c r="N86" s="55">
        <f>M86*ROUND(J86,2)</f>
        <v>0</v>
      </c>
    </row>
    <row r="87" spans="1:14" x14ac:dyDescent="0.2">
      <c r="A87" s="56" t="s">
        <v>318</v>
      </c>
      <c r="B87" s="56" t="s">
        <v>34</v>
      </c>
      <c r="C87" s="56" t="s">
        <v>246</v>
      </c>
      <c r="D87" s="56" t="s">
        <v>300</v>
      </c>
      <c r="E87" s="72">
        <v>612.35</v>
      </c>
      <c r="F87" s="72">
        <f>E87*VLOOKUP(B87,dagsoorttabel3,2,FALSE)</f>
        <v>480.2745098039216</v>
      </c>
      <c r="G87" s="73">
        <f>catpn_3_WBHB_1</f>
        <v>0</v>
      </c>
      <c r="H87" s="74">
        <f>catdw_3_WBHB_1</f>
        <v>0</v>
      </c>
      <c r="I87" s="56" t="s">
        <v>108</v>
      </c>
      <c r="J87" s="60">
        <f>cattf_3_WBHB_1</f>
        <v>0</v>
      </c>
      <c r="K87" s="72">
        <f>IF(OR(ISBLANK(G87),G87=0),0,F87/ROUND(G87,4))</f>
        <v>0</v>
      </c>
      <c r="L87" s="60">
        <f>ROUND(J87,2)*K87</f>
        <v>0</v>
      </c>
      <c r="M87" s="72">
        <f>K87*dagenperjaar3</f>
        <v>0</v>
      </c>
      <c r="N87" s="60">
        <f>M87*ROUND(J87,2)</f>
        <v>0</v>
      </c>
    </row>
    <row r="88" spans="1:14" x14ac:dyDescent="0.2">
      <c r="A88" s="56" t="s">
        <v>319</v>
      </c>
      <c r="B88" s="56" t="s">
        <v>35</v>
      </c>
      <c r="C88" s="56" t="s">
        <v>246</v>
      </c>
      <c r="D88" s="56" t="s">
        <v>302</v>
      </c>
      <c r="E88" s="72">
        <v>70.2</v>
      </c>
      <c r="F88" s="72">
        <f>E88*VLOOKUP(B88,dagsoorttabel3,2,FALSE)</f>
        <v>48.176470588235297</v>
      </c>
      <c r="G88" s="73">
        <f>catpn_3_WDHB_1</f>
        <v>0</v>
      </c>
      <c r="H88" s="74">
        <f>catdw_3_WDHB_1</f>
        <v>0</v>
      </c>
      <c r="I88" s="56" t="s">
        <v>108</v>
      </c>
      <c r="J88" s="60">
        <f>cattf_3_WDHB_1</f>
        <v>0</v>
      </c>
      <c r="K88" s="72">
        <f>IF(OR(ISBLANK(G88),G88=0),0,F88/ROUND(G88,4))</f>
        <v>0</v>
      </c>
      <c r="L88" s="60">
        <f>ROUND(J88,2)*K88</f>
        <v>0</v>
      </c>
      <c r="M88" s="72">
        <f>K88*dagenperjaar3</f>
        <v>0</v>
      </c>
      <c r="N88" s="60">
        <f>M88*ROUND(J88,2)</f>
        <v>0</v>
      </c>
    </row>
    <row r="89" spans="1:14" x14ac:dyDescent="0.2">
      <c r="A89" s="56" t="s">
        <v>319</v>
      </c>
      <c r="B89" s="56" t="s">
        <v>34</v>
      </c>
      <c r="C89" s="56" t="s">
        <v>246</v>
      </c>
      <c r="D89" s="56" t="s">
        <v>302</v>
      </c>
      <c r="E89" s="72">
        <v>107</v>
      </c>
      <c r="F89" s="72">
        <f>E89*VLOOKUP(B89,dagsoorttabel3,2,FALSE)</f>
        <v>83.921568627450981</v>
      </c>
      <c r="G89" s="73">
        <f>catpn_3_WDHB_1</f>
        <v>0</v>
      </c>
      <c r="H89" s="74">
        <f>catdw_3_WDHB_1</f>
        <v>0</v>
      </c>
      <c r="I89" s="56" t="s">
        <v>108</v>
      </c>
      <c r="J89" s="60">
        <f>cattf_3_WDHB_1</f>
        <v>0</v>
      </c>
      <c r="K89" s="72">
        <f>IF(OR(ISBLANK(G89),G89=0),0,F89/ROUND(G89,4))</f>
        <v>0</v>
      </c>
      <c r="L89" s="60">
        <f>ROUND(J89,2)*K89</f>
        <v>0</v>
      </c>
      <c r="M89" s="72">
        <f>K89*dagenperjaar3</f>
        <v>0</v>
      </c>
      <c r="N89" s="60">
        <f>M89*ROUND(J89,2)</f>
        <v>0</v>
      </c>
    </row>
    <row r="90" spans="1:14" x14ac:dyDescent="0.2">
      <c r="A90" s="56" t="s">
        <v>320</v>
      </c>
      <c r="B90" s="56" t="s">
        <v>35</v>
      </c>
      <c r="C90" s="56" t="s">
        <v>246</v>
      </c>
      <c r="D90" s="56" t="s">
        <v>254</v>
      </c>
      <c r="E90" s="72">
        <v>42.8</v>
      </c>
      <c r="F90" s="72">
        <f>E90*VLOOKUP(B90,dagsoorttabel3,2,FALSE)</f>
        <v>29.372549019607842</v>
      </c>
      <c r="G90" s="73">
        <f>catpn_3_WEHB_1</f>
        <v>0</v>
      </c>
      <c r="H90" s="74">
        <f>catdw_3_WEHB_1</f>
        <v>0</v>
      </c>
      <c r="I90" s="56" t="s">
        <v>108</v>
      </c>
      <c r="J90" s="60">
        <f>cattf_3_WEHB_1</f>
        <v>0</v>
      </c>
      <c r="K90" s="72">
        <f>IF(OR(ISBLANK(G90),G90=0),0,F90/ROUND(G90,4))</f>
        <v>0</v>
      </c>
      <c r="L90" s="60">
        <f>ROUND(J90,2)*K90</f>
        <v>0</v>
      </c>
      <c r="M90" s="72">
        <f>K90*dagenperjaar3</f>
        <v>0</v>
      </c>
      <c r="N90" s="60">
        <f>M90*ROUND(J90,2)</f>
        <v>0</v>
      </c>
    </row>
    <row r="91" spans="1:14" x14ac:dyDescent="0.2">
      <c r="A91" s="56" t="s">
        <v>320</v>
      </c>
      <c r="B91" s="56" t="s">
        <v>34</v>
      </c>
      <c r="C91" s="56" t="s">
        <v>246</v>
      </c>
      <c r="D91" s="56" t="s">
        <v>254</v>
      </c>
      <c r="E91" s="72">
        <v>34</v>
      </c>
      <c r="F91" s="72">
        <f>E91*VLOOKUP(B91,dagsoorttabel3,2,FALSE)</f>
        <v>26.666666666666668</v>
      </c>
      <c r="G91" s="73">
        <f>catpn_3_WEHB_1</f>
        <v>0</v>
      </c>
      <c r="H91" s="74">
        <f>catdw_3_WEHB_1</f>
        <v>0</v>
      </c>
      <c r="I91" s="56" t="s">
        <v>108</v>
      </c>
      <c r="J91" s="60">
        <f>cattf_3_WEHB_1</f>
        <v>0</v>
      </c>
      <c r="K91" s="72">
        <f>IF(OR(ISBLANK(G91),G91=0),0,F91/ROUND(G91,4))</f>
        <v>0</v>
      </c>
      <c r="L91" s="60">
        <f>ROUND(J91,2)*K91</f>
        <v>0</v>
      </c>
      <c r="M91" s="72">
        <f>K91*dagenperjaar3</f>
        <v>0</v>
      </c>
      <c r="N91" s="60">
        <f>M91*ROUND(J91,2)</f>
        <v>0</v>
      </c>
    </row>
    <row r="92" spans="1:14" x14ac:dyDescent="0.2">
      <c r="A92" s="56" t="s">
        <v>321</v>
      </c>
      <c r="B92" s="56" t="s">
        <v>35</v>
      </c>
      <c r="C92" s="56" t="s">
        <v>246</v>
      </c>
      <c r="D92" s="56" t="s">
        <v>258</v>
      </c>
      <c r="E92" s="72">
        <v>4</v>
      </c>
      <c r="F92" s="72">
        <f>E92*VLOOKUP(B92,dagsoorttabel3,2,FALSE)</f>
        <v>2.7450980392156863</v>
      </c>
      <c r="G92" s="73">
        <f>catpn_3_WFHB_1</f>
        <v>0</v>
      </c>
      <c r="H92" s="74">
        <f>catdw_3_WFHB_1</f>
        <v>0</v>
      </c>
      <c r="I92" s="56" t="s">
        <v>108</v>
      </c>
      <c r="J92" s="60">
        <f>cattf_3_WFHB_1</f>
        <v>0</v>
      </c>
      <c r="K92" s="72">
        <f>IF(OR(ISBLANK(G92),G92=0),0,F92/ROUND(G92,4))</f>
        <v>0</v>
      </c>
      <c r="L92" s="60">
        <f>ROUND(J92,2)*K92</f>
        <v>0</v>
      </c>
      <c r="M92" s="72">
        <f>K92*dagenperjaar3</f>
        <v>0</v>
      </c>
      <c r="N92" s="60">
        <f>M92*ROUND(J92,2)</f>
        <v>0</v>
      </c>
    </row>
    <row r="93" spans="1:14" x14ac:dyDescent="0.2">
      <c r="A93" s="56" t="s">
        <v>321</v>
      </c>
      <c r="B93" s="56" t="s">
        <v>34</v>
      </c>
      <c r="C93" s="56" t="s">
        <v>246</v>
      </c>
      <c r="D93" s="56" t="s">
        <v>258</v>
      </c>
      <c r="E93" s="72">
        <v>1.54</v>
      </c>
      <c r="F93" s="72">
        <f>E93*VLOOKUP(B93,dagsoorttabel3,2,FALSE)</f>
        <v>1.2078431372549019</v>
      </c>
      <c r="G93" s="73">
        <f>catpn_3_WFHB_1</f>
        <v>0</v>
      </c>
      <c r="H93" s="74">
        <f>catdw_3_WFHB_1</f>
        <v>0</v>
      </c>
      <c r="I93" s="56" t="s">
        <v>108</v>
      </c>
      <c r="J93" s="60">
        <f>cattf_3_WFHB_1</f>
        <v>0</v>
      </c>
      <c r="K93" s="72">
        <f>IF(OR(ISBLANK(G93),G93=0),0,F93/ROUND(G93,4))</f>
        <v>0</v>
      </c>
      <c r="L93" s="60">
        <f>ROUND(J93,2)*K93</f>
        <v>0</v>
      </c>
      <c r="M93" s="72">
        <f>K93*dagenperjaar3</f>
        <v>0</v>
      </c>
      <c r="N93" s="60">
        <f>M93*ROUND(J93,2)</f>
        <v>0</v>
      </c>
    </row>
    <row r="94" spans="1:14" x14ac:dyDescent="0.2">
      <c r="A94" s="56" t="s">
        <v>322</v>
      </c>
      <c r="B94" s="56" t="s">
        <v>35</v>
      </c>
      <c r="C94" s="56" t="s">
        <v>246</v>
      </c>
      <c r="D94" s="56" t="s">
        <v>306</v>
      </c>
      <c r="E94" s="72">
        <v>1699.9</v>
      </c>
      <c r="F94" s="72">
        <f>E94*VLOOKUP(B94,dagsoorttabel3,2,FALSE)</f>
        <v>1166.5980392156864</v>
      </c>
      <c r="G94" s="73">
        <f>catpn_3_WGHB_1</f>
        <v>0</v>
      </c>
      <c r="H94" s="74">
        <f>catdw_3_WGHB_1</f>
        <v>0</v>
      </c>
      <c r="I94" s="56" t="s">
        <v>108</v>
      </c>
      <c r="J94" s="60">
        <f>cattf_3_WGHB_1</f>
        <v>0</v>
      </c>
      <c r="K94" s="72">
        <f>IF(OR(ISBLANK(G94),G94=0),0,F94/ROUND(G94,4))</f>
        <v>0</v>
      </c>
      <c r="L94" s="60">
        <f>ROUND(J94,2)*K94</f>
        <v>0</v>
      </c>
      <c r="M94" s="72">
        <f>K94*dagenperjaar3</f>
        <v>0</v>
      </c>
      <c r="N94" s="60">
        <f>M94*ROUND(J94,2)</f>
        <v>0</v>
      </c>
    </row>
    <row r="95" spans="1:14" x14ac:dyDescent="0.2">
      <c r="A95" s="56" t="s">
        <v>322</v>
      </c>
      <c r="B95" s="56" t="s">
        <v>34</v>
      </c>
      <c r="C95" s="56" t="s">
        <v>246</v>
      </c>
      <c r="D95" s="56" t="s">
        <v>306</v>
      </c>
      <c r="E95" s="72">
        <v>4637</v>
      </c>
      <c r="F95" s="72">
        <f>E95*VLOOKUP(B95,dagsoorttabel3,2,FALSE)</f>
        <v>3636.8627450980393</v>
      </c>
      <c r="G95" s="73">
        <f>catpn_3_WGHB_1</f>
        <v>0</v>
      </c>
      <c r="H95" s="74">
        <f>catdw_3_WGHB_1</f>
        <v>0</v>
      </c>
      <c r="I95" s="56" t="s">
        <v>108</v>
      </c>
      <c r="J95" s="60">
        <f>cattf_3_WGHB_1</f>
        <v>0</v>
      </c>
      <c r="K95" s="72">
        <f>IF(OR(ISBLANK(G95),G95=0),0,F95/ROUND(G95,4))</f>
        <v>0</v>
      </c>
      <c r="L95" s="60">
        <f>ROUND(J95,2)*K95</f>
        <v>0</v>
      </c>
      <c r="M95" s="72">
        <f>K95*dagenperjaar3</f>
        <v>0</v>
      </c>
      <c r="N95" s="60">
        <f>M95*ROUND(J95,2)</f>
        <v>0</v>
      </c>
    </row>
    <row r="96" spans="1:14" x14ac:dyDescent="0.2">
      <c r="A96" s="56" t="s">
        <v>323</v>
      </c>
      <c r="B96" s="56" t="s">
        <v>35</v>
      </c>
      <c r="C96" s="56" t="s">
        <v>246</v>
      </c>
      <c r="D96" s="56" t="s">
        <v>308</v>
      </c>
      <c r="E96" s="72">
        <v>226.20000000000002</v>
      </c>
      <c r="F96" s="72">
        <f>E96*VLOOKUP(B96,dagsoorttabel3,2,FALSE)</f>
        <v>155.23529411764707</v>
      </c>
      <c r="G96" s="73">
        <f>catpn_3_WKLHB_1</f>
        <v>0</v>
      </c>
      <c r="H96" s="74">
        <f>catdw_3_WKLHB_1</f>
        <v>0</v>
      </c>
      <c r="I96" s="56" t="s">
        <v>108</v>
      </c>
      <c r="J96" s="60">
        <f>cattf_3_WKLHB_1</f>
        <v>0</v>
      </c>
      <c r="K96" s="72">
        <f>IF(OR(ISBLANK(G96),G96=0),0,F96/ROUND(G96,4))</f>
        <v>0</v>
      </c>
      <c r="L96" s="60">
        <f>ROUND(J96,2)*K96</f>
        <v>0</v>
      </c>
      <c r="M96" s="72">
        <f>K96*dagenperjaar3</f>
        <v>0</v>
      </c>
      <c r="N96" s="60">
        <f>M96*ROUND(J96,2)</f>
        <v>0</v>
      </c>
    </row>
    <row r="97" spans="1:14" x14ac:dyDescent="0.2">
      <c r="A97" s="56" t="s">
        <v>323</v>
      </c>
      <c r="B97" s="56" t="s">
        <v>34</v>
      </c>
      <c r="C97" s="56" t="s">
        <v>246</v>
      </c>
      <c r="D97" s="56" t="s">
        <v>308</v>
      </c>
      <c r="E97" s="72">
        <v>227</v>
      </c>
      <c r="F97" s="72">
        <f>E97*VLOOKUP(B97,dagsoorttabel3,2,FALSE)</f>
        <v>178.0392156862745</v>
      </c>
      <c r="G97" s="73">
        <f>catpn_3_WKLHB_1</f>
        <v>0</v>
      </c>
      <c r="H97" s="74">
        <f>catdw_3_WKLHB_1</f>
        <v>0</v>
      </c>
      <c r="I97" s="56" t="s">
        <v>108</v>
      </c>
      <c r="J97" s="60">
        <f>cattf_3_WKLHB_1</f>
        <v>0</v>
      </c>
      <c r="K97" s="72">
        <f>IF(OR(ISBLANK(G97),G97=0),0,F97/ROUND(G97,4))</f>
        <v>0</v>
      </c>
      <c r="L97" s="60">
        <f>ROUND(J97,2)*K97</f>
        <v>0</v>
      </c>
      <c r="M97" s="72">
        <f>K97*dagenperjaar3</f>
        <v>0</v>
      </c>
      <c r="N97" s="60">
        <f>M97*ROUND(J97,2)</f>
        <v>0</v>
      </c>
    </row>
    <row r="98" spans="1:14" x14ac:dyDescent="0.2">
      <c r="A98" s="56" t="s">
        <v>324</v>
      </c>
      <c r="B98" s="56" t="s">
        <v>34</v>
      </c>
      <c r="C98" s="56" t="s">
        <v>246</v>
      </c>
      <c r="D98" s="56" t="s">
        <v>265</v>
      </c>
      <c r="E98" s="72">
        <v>555</v>
      </c>
      <c r="F98" s="72">
        <f>E98*VLOOKUP(B98,dagsoorttabel3,2,FALSE)</f>
        <v>435.29411764705884</v>
      </c>
      <c r="G98" s="73">
        <f>catpn_3_WLHB_1</f>
        <v>0</v>
      </c>
      <c r="H98" s="74">
        <f>catdw_3_WLHB_1</f>
        <v>0</v>
      </c>
      <c r="I98" s="56" t="s">
        <v>108</v>
      </c>
      <c r="J98" s="60">
        <f>cattf_3_WLHB_1</f>
        <v>0</v>
      </c>
      <c r="K98" s="72">
        <f>IF(OR(ISBLANK(G98),G98=0),0,F98/ROUND(G98,4))</f>
        <v>0</v>
      </c>
      <c r="L98" s="60">
        <f>ROUND(J98,2)*K98</f>
        <v>0</v>
      </c>
      <c r="M98" s="72">
        <f>K98*dagenperjaar3</f>
        <v>0</v>
      </c>
      <c r="N98" s="60">
        <f>M98*ROUND(J98,2)</f>
        <v>0</v>
      </c>
    </row>
    <row r="99" spans="1:14" x14ac:dyDescent="0.2">
      <c r="A99" s="56" t="s">
        <v>325</v>
      </c>
      <c r="B99" s="56" t="s">
        <v>34</v>
      </c>
      <c r="C99" s="56" t="s">
        <v>246</v>
      </c>
      <c r="D99" s="56" t="s">
        <v>311</v>
      </c>
      <c r="E99" s="72">
        <v>16</v>
      </c>
      <c r="F99" s="72">
        <f>E99*VLOOKUP(B99,dagsoorttabel3,2,FALSE)</f>
        <v>12.549019607843137</v>
      </c>
      <c r="G99" s="73">
        <f>catpn_3_WRHB_1</f>
        <v>0</v>
      </c>
      <c r="H99" s="74">
        <f>catdw_3_WRHB_1</f>
        <v>0</v>
      </c>
      <c r="I99" s="56" t="s">
        <v>108</v>
      </c>
      <c r="J99" s="60">
        <f>cattf_3_WRHB_1</f>
        <v>0</v>
      </c>
      <c r="K99" s="72">
        <f>IF(OR(ISBLANK(G99),G99=0),0,F99/ROUND(G99,4))</f>
        <v>0</v>
      </c>
      <c r="L99" s="60">
        <f>ROUND(J99,2)*K99</f>
        <v>0</v>
      </c>
      <c r="M99" s="72">
        <f>K99*dagenperjaar3</f>
        <v>0</v>
      </c>
      <c r="N99" s="60">
        <f>M99*ROUND(J99,2)</f>
        <v>0</v>
      </c>
    </row>
    <row r="100" spans="1:14" x14ac:dyDescent="0.2">
      <c r="A100" s="56" t="s">
        <v>326</v>
      </c>
      <c r="B100" s="56" t="s">
        <v>35</v>
      </c>
      <c r="C100" s="56" t="s">
        <v>246</v>
      </c>
      <c r="D100" s="56" t="s">
        <v>271</v>
      </c>
      <c r="E100" s="72">
        <v>24.599999999999998</v>
      </c>
      <c r="F100" s="72">
        <f>E100*VLOOKUP(B100,dagsoorttabel3,2,FALSE)</f>
        <v>16.882352941176471</v>
      </c>
      <c r="G100" s="73">
        <f>catpn_3_WSHB_1</f>
        <v>0</v>
      </c>
      <c r="H100" s="74">
        <f>catdw_3_WSHB_1</f>
        <v>0</v>
      </c>
      <c r="I100" s="56" t="s">
        <v>108</v>
      </c>
      <c r="J100" s="60">
        <f>cattf_3_WSHB_1</f>
        <v>0</v>
      </c>
      <c r="K100" s="72">
        <f>IF(OR(ISBLANK(G100),G100=0),0,F100/ROUND(G100,4))</f>
        <v>0</v>
      </c>
      <c r="L100" s="60">
        <f>ROUND(J100,2)*K100</f>
        <v>0</v>
      </c>
      <c r="M100" s="72">
        <f>K100*dagenperjaar3</f>
        <v>0</v>
      </c>
      <c r="N100" s="60">
        <f>M100*ROUND(J100,2)</f>
        <v>0</v>
      </c>
    </row>
    <row r="101" spans="1:14" x14ac:dyDescent="0.2">
      <c r="A101" s="56" t="s">
        <v>326</v>
      </c>
      <c r="B101" s="56" t="s">
        <v>34</v>
      </c>
      <c r="C101" s="56" t="s">
        <v>246</v>
      </c>
      <c r="D101" s="56" t="s">
        <v>271</v>
      </c>
      <c r="E101" s="72">
        <v>92.34</v>
      </c>
      <c r="F101" s="72">
        <f>E101*VLOOKUP(B101,dagsoorttabel3,2,FALSE)</f>
        <v>72.423529411764704</v>
      </c>
      <c r="G101" s="73">
        <f>catpn_3_WSHB_1</f>
        <v>0</v>
      </c>
      <c r="H101" s="74">
        <f>catdw_3_WSHB_1</f>
        <v>0</v>
      </c>
      <c r="I101" s="56" t="s">
        <v>108</v>
      </c>
      <c r="J101" s="60">
        <f>cattf_3_WSHB_1</f>
        <v>0</v>
      </c>
      <c r="K101" s="72">
        <f>IF(OR(ISBLANK(G101),G101=0),0,F101/ROUND(G101,4))</f>
        <v>0</v>
      </c>
      <c r="L101" s="60">
        <f>ROUND(J101,2)*K101</f>
        <v>0</v>
      </c>
      <c r="M101" s="72">
        <f>K101*dagenperjaar3</f>
        <v>0</v>
      </c>
      <c r="N101" s="60">
        <f>M101*ROUND(J101,2)</f>
        <v>0</v>
      </c>
    </row>
    <row r="102" spans="1:14" x14ac:dyDescent="0.2">
      <c r="A102" s="56" t="s">
        <v>327</v>
      </c>
      <c r="B102" s="56" t="s">
        <v>35</v>
      </c>
      <c r="C102" s="56" t="s">
        <v>246</v>
      </c>
      <c r="D102" s="56" t="s">
        <v>274</v>
      </c>
      <c r="E102" s="72">
        <v>26</v>
      </c>
      <c r="F102" s="72">
        <f>E102*VLOOKUP(B102,dagsoorttabel3,2,FALSE)</f>
        <v>17.843137254901961</v>
      </c>
      <c r="G102" s="73">
        <f>catpn_3_WTHB_1</f>
        <v>0</v>
      </c>
      <c r="H102" s="74">
        <f>catdw_3_WTHB_1</f>
        <v>0</v>
      </c>
      <c r="I102" s="56" t="s">
        <v>108</v>
      </c>
      <c r="J102" s="60">
        <f>cattf_3_WTHB_1</f>
        <v>0</v>
      </c>
      <c r="K102" s="72">
        <f>IF(OR(ISBLANK(G102),G102=0),0,F102/ROUND(G102,4))</f>
        <v>0</v>
      </c>
      <c r="L102" s="60">
        <f>ROUND(J102,2)*K102</f>
        <v>0</v>
      </c>
      <c r="M102" s="72">
        <f>K102*dagenperjaar3</f>
        <v>0</v>
      </c>
      <c r="N102" s="60">
        <f>M102*ROUND(J102,2)</f>
        <v>0</v>
      </c>
    </row>
    <row r="103" spans="1:14" x14ac:dyDescent="0.2">
      <c r="A103" s="56" t="s">
        <v>327</v>
      </c>
      <c r="B103" s="56" t="s">
        <v>34</v>
      </c>
      <c r="C103" s="56" t="s">
        <v>246</v>
      </c>
      <c r="D103" s="56" t="s">
        <v>274</v>
      </c>
      <c r="E103" s="72">
        <v>112.03999999999999</v>
      </c>
      <c r="F103" s="72">
        <f>E103*VLOOKUP(B103,dagsoorttabel3,2,FALSE)</f>
        <v>87.874509803921555</v>
      </c>
      <c r="G103" s="73">
        <f>catpn_3_WTHB_1</f>
        <v>0</v>
      </c>
      <c r="H103" s="74">
        <f>catdw_3_WTHB_1</f>
        <v>0</v>
      </c>
      <c r="I103" s="56" t="s">
        <v>108</v>
      </c>
      <c r="J103" s="60">
        <f>cattf_3_WTHB_1</f>
        <v>0</v>
      </c>
      <c r="K103" s="72">
        <f>IF(OR(ISBLANK(G103),G103=0),0,F103/ROUND(G103,4))</f>
        <v>0</v>
      </c>
      <c r="L103" s="60">
        <f>ROUND(J103,2)*K103</f>
        <v>0</v>
      </c>
      <c r="M103" s="72">
        <f>K103*dagenperjaar3</f>
        <v>0</v>
      </c>
      <c r="N103" s="60">
        <f>M103*ROUND(J103,2)</f>
        <v>0</v>
      </c>
    </row>
    <row r="104" spans="1:14" x14ac:dyDescent="0.2">
      <c r="A104" s="56" t="s">
        <v>328</v>
      </c>
      <c r="B104" s="56" t="s">
        <v>35</v>
      </c>
      <c r="C104" s="56" t="s">
        <v>246</v>
      </c>
      <c r="D104" s="56" t="s">
        <v>315</v>
      </c>
      <c r="E104" s="72">
        <v>601.4</v>
      </c>
      <c r="F104" s="72">
        <f>E104*VLOOKUP(B104,dagsoorttabel3,2,FALSE)</f>
        <v>412.7254901960784</v>
      </c>
      <c r="G104" s="73">
        <f>catpn_3_WVHB_1</f>
        <v>0</v>
      </c>
      <c r="H104" s="74">
        <f>catdw_3_WVHB_1</f>
        <v>0</v>
      </c>
      <c r="I104" s="56" t="s">
        <v>108</v>
      </c>
      <c r="J104" s="60">
        <f>cattf_3_WVHB_1</f>
        <v>0</v>
      </c>
      <c r="K104" s="72">
        <f>IF(OR(ISBLANK(G104),G104=0),0,F104/ROUND(G104,4))</f>
        <v>0</v>
      </c>
      <c r="L104" s="60">
        <f>ROUND(J104,2)*K104</f>
        <v>0</v>
      </c>
      <c r="M104" s="72">
        <f>K104*dagenperjaar3</f>
        <v>0</v>
      </c>
      <c r="N104" s="60">
        <f>M104*ROUND(J104,2)</f>
        <v>0</v>
      </c>
    </row>
    <row r="105" spans="1:14" x14ac:dyDescent="0.2">
      <c r="A105" s="56" t="s">
        <v>328</v>
      </c>
      <c r="B105" s="56" t="s">
        <v>34</v>
      </c>
      <c r="C105" s="56" t="s">
        <v>246</v>
      </c>
      <c r="D105" s="56" t="s">
        <v>315</v>
      </c>
      <c r="E105" s="72">
        <v>914.24</v>
      </c>
      <c r="F105" s="72">
        <f>E105*VLOOKUP(B105,dagsoorttabel3,2,FALSE)</f>
        <v>717.05098039215682</v>
      </c>
      <c r="G105" s="73">
        <f>catpn_3_WVHB_1</f>
        <v>0</v>
      </c>
      <c r="H105" s="74">
        <f>catdw_3_WVHB_1</f>
        <v>0</v>
      </c>
      <c r="I105" s="56" t="s">
        <v>108</v>
      </c>
      <c r="J105" s="60">
        <f>cattf_3_WVHB_1</f>
        <v>0</v>
      </c>
      <c r="K105" s="72">
        <f>IF(OR(ISBLANK(G105),G105=0),0,F105/ROUND(G105,4))</f>
        <v>0</v>
      </c>
      <c r="L105" s="60">
        <f>ROUND(J105,2)*K105</f>
        <v>0</v>
      </c>
      <c r="M105" s="72">
        <f>K105*dagenperjaar3</f>
        <v>0</v>
      </c>
      <c r="N105" s="60">
        <f>M105*ROUND(J105,2)</f>
        <v>0</v>
      </c>
    </row>
    <row r="106" spans="1:14" x14ac:dyDescent="0.2">
      <c r="A106" s="61" t="s">
        <v>329</v>
      </c>
      <c r="B106" s="61" t="s">
        <v>36</v>
      </c>
      <c r="C106" s="61" t="s">
        <v>294</v>
      </c>
      <c r="D106" s="61" t="s">
        <v>330</v>
      </c>
      <c r="E106" s="75">
        <v>1</v>
      </c>
      <c r="F106" s="75">
        <f>E106*VLOOKUP(B106,dagsoorttabel3,2,FALSE)</f>
        <v>0.49019607843137253</v>
      </c>
      <c r="G106" s="76"/>
      <c r="H106" s="64"/>
      <c r="I106" s="61" t="s">
        <v>296</v>
      </c>
      <c r="J106" s="65">
        <f>Tariefopbouw2</f>
        <v>0</v>
      </c>
      <c r="K106" s="75">
        <f>F106</f>
        <v>0.49019607843137253</v>
      </c>
      <c r="L106" s="65">
        <f>ROUND(J106,2)*K106</f>
        <v>0</v>
      </c>
      <c r="M106" s="75">
        <f>K106*dagenperjaar3</f>
        <v>50</v>
      </c>
      <c r="N106" s="65">
        <f>M106*ROUND(J106,2)</f>
        <v>0</v>
      </c>
    </row>
    <row r="107" spans="1:14" x14ac:dyDescent="0.2">
      <c r="A107" s="78" t="s">
        <v>331</v>
      </c>
      <c r="B107" s="79"/>
      <c r="C107" s="79"/>
      <c r="D107" s="79"/>
      <c r="E107" s="79"/>
      <c r="F107" s="79"/>
      <c r="G107" s="79"/>
      <c r="H107" s="79"/>
      <c r="I107" s="79"/>
      <c r="J107" s="79"/>
      <c r="K107" s="80">
        <f>SUM(K86:K106)</f>
        <v>0.49019607843137253</v>
      </c>
      <c r="L107" s="81">
        <f>SUM(L86:L106)</f>
        <v>0</v>
      </c>
      <c r="M107" s="80">
        <f>SUM(M86:M106)</f>
        <v>50</v>
      </c>
      <c r="N107" s="82">
        <f>SUM(N86:N106)</f>
        <v>0</v>
      </c>
    </row>
    <row r="108" spans="1:14" x14ac:dyDescent="0.2">
      <c r="A108" s="83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84"/>
    </row>
    <row r="109" spans="1:14" x14ac:dyDescent="0.2">
      <c r="A109" s="78" t="s">
        <v>332</v>
      </c>
      <c r="B109" s="79"/>
      <c r="C109" s="79"/>
      <c r="D109" s="79"/>
      <c r="E109" s="79"/>
      <c r="F109" s="79"/>
      <c r="G109" s="79"/>
      <c r="H109" s="79"/>
      <c r="I109" s="79"/>
      <c r="J109" s="81">
        <f>IF(urenjaar3&gt;0,SUMIF(M86:M106,"&gt;0",N86:N106)/urenjaar3,0)</f>
        <v>0</v>
      </c>
      <c r="K109" s="79"/>
      <c r="L109" s="79"/>
      <c r="M109" s="79"/>
      <c r="N109" s="84"/>
    </row>
    <row r="110" spans="1:14" x14ac:dyDescent="0.2">
      <c r="A110" s="83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84"/>
    </row>
    <row r="112" spans="1:14" x14ac:dyDescent="0.2">
      <c r="A112" s="78" t="s">
        <v>333</v>
      </c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80">
        <f>urenjaar1+urenjaar2+urenjaar3</f>
        <v>110</v>
      </c>
      <c r="N112" s="81">
        <f>prijsjaar1+prijsjaar2+prijsjaar3</f>
        <v>0</v>
      </c>
    </row>
  </sheetData>
  <sheetProtection algorithmName="SHA-512" hashValue="3Rg01LhnWRaOh6VbyjgedlbwZOBqftQ4kldQLOyARpYbrKoYdaiF02D1sLH22g5XI316qHwitEiEGCEBP/rmHw==" saltValue="NnFP/rs08svS8YiLbeYwWQ==" spinCount="100000" sheet="1" objects="1" scenarios="1" autoFilter="0"/>
  <pageMargins left="0.7" right="0.7" top="0.75" bottom="0.75" header="0.3" footer="0.3"/>
  <pageSetup scale="70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E652B-9079-4A31-969C-E0481F5B72A6}">
  <dimension ref="A1:U578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6" x14ac:dyDescent="0.2"/>
  <cols>
    <col min="1" max="1" width="8.6328125" customWidth="1"/>
    <col min="2" max="3" width="7.6328125" customWidth="1"/>
    <col min="4" max="4" width="10.6328125" customWidth="1"/>
    <col min="5" max="5" width="25.6328125" customWidth="1"/>
    <col min="6" max="6" width="11.6328125" customWidth="1"/>
    <col min="7" max="7" width="7.6328125" customWidth="1"/>
    <col min="8" max="8" width="6.6328125" customWidth="1"/>
    <col min="9" max="10" width="8.6328125" customWidth="1"/>
    <col min="11" max="12" width="10.6328125" customWidth="1"/>
    <col min="13" max="14" width="11.6328125" customWidth="1"/>
    <col min="15" max="15" width="9.6328125" customWidth="1"/>
    <col min="16" max="19" width="11.6328125" customWidth="1"/>
    <col min="20" max="20" width="12.6328125" customWidth="1"/>
    <col min="21" max="21" width="14.6328125" customWidth="1"/>
  </cols>
  <sheetData>
    <row r="1" spans="1:21" x14ac:dyDescent="0.2">
      <c r="A1" s="1" t="str">
        <f>CONCATENATE("Bijlage F.2.3: ",tabeltype," ruimten werkdag")</f>
        <v>Bijlage F.2.3: Invultabel ruimten werkdag</v>
      </c>
    </row>
    <row r="3" spans="1:21" ht="37.799999999999997" x14ac:dyDescent="0.2">
      <c r="A3" s="86" t="s">
        <v>334</v>
      </c>
      <c r="B3" s="40" t="s">
        <v>335</v>
      </c>
      <c r="C3" s="40" t="s">
        <v>336</v>
      </c>
      <c r="D3" s="40" t="s">
        <v>337</v>
      </c>
      <c r="E3" s="40" t="s">
        <v>338</v>
      </c>
      <c r="F3" s="40" t="s">
        <v>339</v>
      </c>
      <c r="G3" s="40" t="s">
        <v>237</v>
      </c>
      <c r="H3" s="40" t="s">
        <v>7</v>
      </c>
      <c r="I3" s="40" t="s">
        <v>340</v>
      </c>
      <c r="J3" s="40" t="s">
        <v>341</v>
      </c>
      <c r="K3" s="40" t="s">
        <v>239</v>
      </c>
      <c r="L3" s="40" t="s">
        <v>240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241</v>
      </c>
      <c r="R3" s="40" t="s">
        <v>342</v>
      </c>
      <c r="S3" s="40" t="s">
        <v>242</v>
      </c>
      <c r="T3" s="40" t="s">
        <v>243</v>
      </c>
      <c r="U3" s="87" t="s">
        <v>244</v>
      </c>
    </row>
    <row r="4" spans="1:21" x14ac:dyDescent="0.2">
      <c r="A4" s="88" t="s">
        <v>343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77"/>
    </row>
    <row r="5" spans="1:21" x14ac:dyDescent="0.2">
      <c r="A5" s="90" t="s">
        <v>344</v>
      </c>
      <c r="B5" s="91" t="s">
        <v>50</v>
      </c>
      <c r="C5" s="91" t="s">
        <v>345</v>
      </c>
      <c r="D5" s="91" t="s">
        <v>346</v>
      </c>
      <c r="E5" s="92" t="s">
        <v>347</v>
      </c>
      <c r="F5" s="91" t="s">
        <v>348</v>
      </c>
      <c r="G5" s="91" t="s">
        <v>291</v>
      </c>
      <c r="H5" s="91" t="s">
        <v>13</v>
      </c>
      <c r="I5" s="91" t="s">
        <v>246</v>
      </c>
      <c r="J5" s="91"/>
      <c r="K5" s="93">
        <v>270</v>
      </c>
      <c r="L5" s="93">
        <f>K5*VLOOKUP(H5,dagsoorttabel1,2,FALSE)</f>
        <v>211.76470588235293</v>
      </c>
      <c r="M5" s="94">
        <f>prodnorm86</f>
        <v>0</v>
      </c>
      <c r="N5" s="95">
        <f>dagwerk86</f>
        <v>0</v>
      </c>
      <c r="O5" s="91" t="s">
        <v>108</v>
      </c>
      <c r="P5" s="96">
        <f>uurtarief86</f>
        <v>0</v>
      </c>
      <c r="Q5" s="93" t="e">
        <f>IF(ISBLANK(M5),0,L5/ROUND(M5,4))</f>
        <v>#DIV/0!</v>
      </c>
      <c r="R5" s="93" t="e">
        <f>IF(ISBLANK(M5),0,Q5*ROUND(N5,2))</f>
        <v>#DIV/0!</v>
      </c>
      <c r="S5" s="96" t="e">
        <f>ROUND(P5,2)*Q5</f>
        <v>#DIV/0!</v>
      </c>
      <c r="T5" s="93" t="e">
        <f>Q5*dagenperjaar1</f>
        <v>#DIV/0!</v>
      </c>
      <c r="U5" s="97" t="e">
        <f>T5*ROUND(P5,2)</f>
        <v>#DIV/0!</v>
      </c>
    </row>
    <row r="6" spans="1:21" x14ac:dyDescent="0.2">
      <c r="A6" s="98" t="s">
        <v>344</v>
      </c>
      <c r="B6" s="99" t="s">
        <v>50</v>
      </c>
      <c r="C6" s="99" t="s">
        <v>345</v>
      </c>
      <c r="D6" s="99" t="s">
        <v>349</v>
      </c>
      <c r="E6" s="100" t="s">
        <v>350</v>
      </c>
      <c r="F6" s="99" t="s">
        <v>348</v>
      </c>
      <c r="G6" s="99" t="s">
        <v>291</v>
      </c>
      <c r="H6" s="99" t="s">
        <v>13</v>
      </c>
      <c r="I6" s="99" t="s">
        <v>246</v>
      </c>
      <c r="J6" s="99"/>
      <c r="K6" s="101">
        <v>33</v>
      </c>
      <c r="L6" s="101">
        <f>K6*VLOOKUP(H6,dagsoorttabel1,2,FALSE)</f>
        <v>25.882352941176471</v>
      </c>
      <c r="M6" s="102">
        <f>prodnorm86</f>
        <v>0</v>
      </c>
      <c r="N6" s="37">
        <f>dagwerk86</f>
        <v>0</v>
      </c>
      <c r="O6" s="99" t="s">
        <v>108</v>
      </c>
      <c r="P6" s="24">
        <f>uurtarief86</f>
        <v>0</v>
      </c>
      <c r="Q6" s="101" t="e">
        <f>IF(ISBLANK(M6),0,L6/ROUND(M6,4))</f>
        <v>#DIV/0!</v>
      </c>
      <c r="R6" s="101" t="e">
        <f>IF(ISBLANK(M6),0,Q6*ROUND(N6,2))</f>
        <v>#DIV/0!</v>
      </c>
      <c r="S6" s="24" t="e">
        <f>ROUND(P6,2)*Q6</f>
        <v>#DIV/0!</v>
      </c>
      <c r="T6" s="101" t="e">
        <f>Q6*dagenperjaar1</f>
        <v>#DIV/0!</v>
      </c>
      <c r="U6" s="25" t="e">
        <f>T6*ROUND(P6,2)</f>
        <v>#DIV/0!</v>
      </c>
    </row>
    <row r="7" spans="1:21" x14ac:dyDescent="0.2">
      <c r="A7" s="98" t="s">
        <v>344</v>
      </c>
      <c r="B7" s="99" t="s">
        <v>50</v>
      </c>
      <c r="C7" s="99" t="s">
        <v>345</v>
      </c>
      <c r="D7" s="99" t="s">
        <v>351</v>
      </c>
      <c r="E7" s="100" t="s">
        <v>352</v>
      </c>
      <c r="F7" s="99" t="s">
        <v>348</v>
      </c>
      <c r="G7" s="99" t="s">
        <v>291</v>
      </c>
      <c r="H7" s="99" t="s">
        <v>13</v>
      </c>
      <c r="I7" s="99" t="s">
        <v>246</v>
      </c>
      <c r="J7" s="99"/>
      <c r="K7" s="101">
        <v>75</v>
      </c>
      <c r="L7" s="101">
        <f>K7*VLOOKUP(H7,dagsoorttabel1,2,FALSE)</f>
        <v>58.823529411764703</v>
      </c>
      <c r="M7" s="102">
        <f>prodnorm86</f>
        <v>0</v>
      </c>
      <c r="N7" s="37">
        <f>dagwerk86</f>
        <v>0</v>
      </c>
      <c r="O7" s="99" t="s">
        <v>108</v>
      </c>
      <c r="P7" s="24">
        <f>uurtarief86</f>
        <v>0</v>
      </c>
      <c r="Q7" s="101" t="e">
        <f>IF(ISBLANK(M7),0,L7/ROUND(M7,4))</f>
        <v>#DIV/0!</v>
      </c>
      <c r="R7" s="101" t="e">
        <f>IF(ISBLANK(M7),0,Q7*ROUND(N7,2))</f>
        <v>#DIV/0!</v>
      </c>
      <c r="S7" s="24" t="e">
        <f>ROUND(P7,2)*Q7</f>
        <v>#DIV/0!</v>
      </c>
      <c r="T7" s="101" t="e">
        <f>Q7*dagenperjaar1</f>
        <v>#DIV/0!</v>
      </c>
      <c r="U7" s="25" t="e">
        <f>T7*ROUND(P7,2)</f>
        <v>#DIV/0!</v>
      </c>
    </row>
    <row r="8" spans="1:21" x14ac:dyDescent="0.2">
      <c r="A8" s="98" t="s">
        <v>344</v>
      </c>
      <c r="B8" s="99" t="s">
        <v>50</v>
      </c>
      <c r="C8" s="99" t="s">
        <v>345</v>
      </c>
      <c r="D8" s="99" t="s">
        <v>353</v>
      </c>
      <c r="E8" s="100" t="s">
        <v>354</v>
      </c>
      <c r="F8" s="99" t="s">
        <v>348</v>
      </c>
      <c r="G8" s="99" t="s">
        <v>283</v>
      </c>
      <c r="H8" s="99" t="s">
        <v>13</v>
      </c>
      <c r="I8" s="99" t="s">
        <v>246</v>
      </c>
      <c r="J8" s="99"/>
      <c r="K8" s="101">
        <v>27</v>
      </c>
      <c r="L8" s="101">
        <f>K8*VLOOKUP(H8,dagsoorttabel1,2,FALSE)</f>
        <v>21.176470588235293</v>
      </c>
      <c r="M8" s="102">
        <f>prodnorm80</f>
        <v>0</v>
      </c>
      <c r="N8" s="37">
        <f>dagwerk80</f>
        <v>0</v>
      </c>
      <c r="O8" s="99" t="s">
        <v>108</v>
      </c>
      <c r="P8" s="24">
        <f>uurtarief80</f>
        <v>0</v>
      </c>
      <c r="Q8" s="101" t="e">
        <f>IF(ISBLANK(M8),0,L8/ROUND(M8,4))</f>
        <v>#DIV/0!</v>
      </c>
      <c r="R8" s="101" t="e">
        <f>IF(ISBLANK(M8),0,Q8*ROUND(N8,2))</f>
        <v>#DIV/0!</v>
      </c>
      <c r="S8" s="24" t="e">
        <f>ROUND(P8,2)*Q8</f>
        <v>#DIV/0!</v>
      </c>
      <c r="T8" s="101" t="e">
        <f>Q8*dagenperjaar1</f>
        <v>#DIV/0!</v>
      </c>
      <c r="U8" s="25" t="e">
        <f>T8*ROUND(P8,2)</f>
        <v>#DIV/0!</v>
      </c>
    </row>
    <row r="9" spans="1:21" x14ac:dyDescent="0.2">
      <c r="A9" s="98" t="s">
        <v>344</v>
      </c>
      <c r="B9" s="99" t="s">
        <v>50</v>
      </c>
      <c r="C9" s="99" t="s">
        <v>345</v>
      </c>
      <c r="D9" s="99" t="s">
        <v>355</v>
      </c>
      <c r="E9" s="100" t="s">
        <v>356</v>
      </c>
      <c r="F9" s="99" t="s">
        <v>348</v>
      </c>
      <c r="G9" s="99" t="s">
        <v>283</v>
      </c>
      <c r="H9" s="99" t="s">
        <v>13</v>
      </c>
      <c r="I9" s="99" t="s">
        <v>246</v>
      </c>
      <c r="J9" s="99"/>
      <c r="K9" s="101">
        <v>27</v>
      </c>
      <c r="L9" s="101">
        <f>K9*VLOOKUP(H9,dagsoorttabel1,2,FALSE)</f>
        <v>21.176470588235293</v>
      </c>
      <c r="M9" s="102">
        <f>prodnorm80</f>
        <v>0</v>
      </c>
      <c r="N9" s="37">
        <f>dagwerk80</f>
        <v>0</v>
      </c>
      <c r="O9" s="99" t="s">
        <v>108</v>
      </c>
      <c r="P9" s="24">
        <f>uurtarief80</f>
        <v>0</v>
      </c>
      <c r="Q9" s="101" t="e">
        <f>IF(ISBLANK(M9),0,L9/ROUND(M9,4))</f>
        <v>#DIV/0!</v>
      </c>
      <c r="R9" s="101" t="e">
        <f>IF(ISBLANK(M9),0,Q9*ROUND(N9,2))</f>
        <v>#DIV/0!</v>
      </c>
      <c r="S9" s="24" t="e">
        <f>ROUND(P9,2)*Q9</f>
        <v>#DIV/0!</v>
      </c>
      <c r="T9" s="101" t="e">
        <f>Q9*dagenperjaar1</f>
        <v>#DIV/0!</v>
      </c>
      <c r="U9" s="25" t="e">
        <f>T9*ROUND(P9,2)</f>
        <v>#DIV/0!</v>
      </c>
    </row>
    <row r="10" spans="1:21" x14ac:dyDescent="0.2">
      <c r="A10" s="98" t="s">
        <v>344</v>
      </c>
      <c r="B10" s="99" t="s">
        <v>50</v>
      </c>
      <c r="C10" s="99" t="s">
        <v>345</v>
      </c>
      <c r="D10" s="99" t="s">
        <v>357</v>
      </c>
      <c r="E10" s="100" t="s">
        <v>358</v>
      </c>
      <c r="F10" s="99" t="s">
        <v>348</v>
      </c>
      <c r="G10" s="99" t="s">
        <v>283</v>
      </c>
      <c r="H10" s="99" t="s">
        <v>13</v>
      </c>
      <c r="I10" s="99" t="s">
        <v>246</v>
      </c>
      <c r="J10" s="99"/>
      <c r="K10" s="101">
        <v>27</v>
      </c>
      <c r="L10" s="101">
        <f>K10*VLOOKUP(H10,dagsoorttabel1,2,FALSE)</f>
        <v>21.176470588235293</v>
      </c>
      <c r="M10" s="102">
        <f>prodnorm80</f>
        <v>0</v>
      </c>
      <c r="N10" s="37">
        <f>dagwerk80</f>
        <v>0</v>
      </c>
      <c r="O10" s="99" t="s">
        <v>108</v>
      </c>
      <c r="P10" s="24">
        <f>uurtarief80</f>
        <v>0</v>
      </c>
      <c r="Q10" s="101" t="e">
        <f>IF(ISBLANK(M10),0,L10/ROUND(M10,4))</f>
        <v>#DIV/0!</v>
      </c>
      <c r="R10" s="101" t="e">
        <f>IF(ISBLANK(M10),0,Q10*ROUND(N10,2))</f>
        <v>#DIV/0!</v>
      </c>
      <c r="S10" s="24" t="e">
        <f>ROUND(P10,2)*Q10</f>
        <v>#DIV/0!</v>
      </c>
      <c r="T10" s="101" t="e">
        <f>Q10*dagenperjaar1</f>
        <v>#DIV/0!</v>
      </c>
      <c r="U10" s="25" t="e">
        <f>T10*ROUND(P10,2)</f>
        <v>#DIV/0!</v>
      </c>
    </row>
    <row r="11" spans="1:21" x14ac:dyDescent="0.2">
      <c r="A11" s="98" t="s">
        <v>344</v>
      </c>
      <c r="B11" s="99" t="s">
        <v>50</v>
      </c>
      <c r="C11" s="99" t="s">
        <v>345</v>
      </c>
      <c r="D11" s="99" t="s">
        <v>359</v>
      </c>
      <c r="E11" s="100" t="s">
        <v>360</v>
      </c>
      <c r="F11" s="99" t="s">
        <v>348</v>
      </c>
      <c r="G11" s="99" t="s">
        <v>283</v>
      </c>
      <c r="H11" s="99" t="s">
        <v>13</v>
      </c>
      <c r="I11" s="99" t="s">
        <v>246</v>
      </c>
      <c r="J11" s="99"/>
      <c r="K11" s="101">
        <v>27</v>
      </c>
      <c r="L11" s="101">
        <f>K11*VLOOKUP(H11,dagsoorttabel1,2,FALSE)</f>
        <v>21.176470588235293</v>
      </c>
      <c r="M11" s="102">
        <f>prodnorm80</f>
        <v>0</v>
      </c>
      <c r="N11" s="37">
        <f>dagwerk80</f>
        <v>0</v>
      </c>
      <c r="O11" s="99" t="s">
        <v>108</v>
      </c>
      <c r="P11" s="24">
        <f>uurtarief80</f>
        <v>0</v>
      </c>
      <c r="Q11" s="101" t="e">
        <f>IF(ISBLANK(M11),0,L11/ROUND(M11,4))</f>
        <v>#DIV/0!</v>
      </c>
      <c r="R11" s="101" t="e">
        <f>IF(ISBLANK(M11),0,Q11*ROUND(N11,2))</f>
        <v>#DIV/0!</v>
      </c>
      <c r="S11" s="24" t="e">
        <f>ROUND(P11,2)*Q11</f>
        <v>#DIV/0!</v>
      </c>
      <c r="T11" s="101" t="e">
        <f>Q11*dagenperjaar1</f>
        <v>#DIV/0!</v>
      </c>
      <c r="U11" s="25" t="e">
        <f>T11*ROUND(P11,2)</f>
        <v>#DIV/0!</v>
      </c>
    </row>
    <row r="12" spans="1:21" x14ac:dyDescent="0.2">
      <c r="A12" s="98" t="s">
        <v>344</v>
      </c>
      <c r="B12" s="99" t="s">
        <v>50</v>
      </c>
      <c r="C12" s="99" t="s">
        <v>345</v>
      </c>
      <c r="D12" s="99" t="s">
        <v>361</v>
      </c>
      <c r="E12" s="100" t="s">
        <v>362</v>
      </c>
      <c r="F12" s="99" t="s">
        <v>348</v>
      </c>
      <c r="G12" s="99" t="s">
        <v>283</v>
      </c>
      <c r="H12" s="99" t="s">
        <v>13</v>
      </c>
      <c r="I12" s="99" t="s">
        <v>246</v>
      </c>
      <c r="J12" s="99"/>
      <c r="K12" s="101">
        <v>27</v>
      </c>
      <c r="L12" s="101">
        <f>K12*VLOOKUP(H12,dagsoorttabel1,2,FALSE)</f>
        <v>21.176470588235293</v>
      </c>
      <c r="M12" s="102">
        <f>prodnorm80</f>
        <v>0</v>
      </c>
      <c r="N12" s="37">
        <f>dagwerk80</f>
        <v>0</v>
      </c>
      <c r="O12" s="99" t="s">
        <v>108</v>
      </c>
      <c r="P12" s="24">
        <f>uurtarief80</f>
        <v>0</v>
      </c>
      <c r="Q12" s="101" t="e">
        <f>IF(ISBLANK(M12),0,L12/ROUND(M12,4))</f>
        <v>#DIV/0!</v>
      </c>
      <c r="R12" s="101" t="e">
        <f>IF(ISBLANK(M12),0,Q12*ROUND(N12,2))</f>
        <v>#DIV/0!</v>
      </c>
      <c r="S12" s="24" t="e">
        <f>ROUND(P12,2)*Q12</f>
        <v>#DIV/0!</v>
      </c>
      <c r="T12" s="101" t="e">
        <f>Q12*dagenperjaar1</f>
        <v>#DIV/0!</v>
      </c>
      <c r="U12" s="25" t="e">
        <f>T12*ROUND(P12,2)</f>
        <v>#DIV/0!</v>
      </c>
    </row>
    <row r="13" spans="1:21" x14ac:dyDescent="0.2">
      <c r="A13" s="98" t="s">
        <v>344</v>
      </c>
      <c r="B13" s="99" t="s">
        <v>50</v>
      </c>
      <c r="C13" s="99" t="s">
        <v>345</v>
      </c>
      <c r="D13" s="99" t="s">
        <v>363</v>
      </c>
      <c r="E13" s="100" t="s">
        <v>364</v>
      </c>
      <c r="F13" s="99" t="s">
        <v>348</v>
      </c>
      <c r="G13" s="99" t="s">
        <v>283</v>
      </c>
      <c r="H13" s="99" t="s">
        <v>13</v>
      </c>
      <c r="I13" s="99" t="s">
        <v>246</v>
      </c>
      <c r="J13" s="99"/>
      <c r="K13" s="101">
        <v>27</v>
      </c>
      <c r="L13" s="101">
        <f>K13*VLOOKUP(H13,dagsoorttabel1,2,FALSE)</f>
        <v>21.176470588235293</v>
      </c>
      <c r="M13" s="102">
        <f>prodnorm80</f>
        <v>0</v>
      </c>
      <c r="N13" s="37">
        <f>dagwerk80</f>
        <v>0</v>
      </c>
      <c r="O13" s="99" t="s">
        <v>108</v>
      </c>
      <c r="P13" s="24">
        <f>uurtarief80</f>
        <v>0</v>
      </c>
      <c r="Q13" s="101" t="e">
        <f>IF(ISBLANK(M13),0,L13/ROUND(M13,4))</f>
        <v>#DIV/0!</v>
      </c>
      <c r="R13" s="101" t="e">
        <f>IF(ISBLANK(M13),0,Q13*ROUND(N13,2))</f>
        <v>#DIV/0!</v>
      </c>
      <c r="S13" s="24" t="e">
        <f>ROUND(P13,2)*Q13</f>
        <v>#DIV/0!</v>
      </c>
      <c r="T13" s="101" t="e">
        <f>Q13*dagenperjaar1</f>
        <v>#DIV/0!</v>
      </c>
      <c r="U13" s="25" t="e">
        <f>T13*ROUND(P13,2)</f>
        <v>#DIV/0!</v>
      </c>
    </row>
    <row r="14" spans="1:21" x14ac:dyDescent="0.2">
      <c r="A14" s="98" t="s">
        <v>344</v>
      </c>
      <c r="B14" s="99" t="s">
        <v>50</v>
      </c>
      <c r="C14" s="99" t="s">
        <v>345</v>
      </c>
      <c r="D14" s="99" t="s">
        <v>365</v>
      </c>
      <c r="E14" s="100" t="s">
        <v>366</v>
      </c>
      <c r="F14" s="99" t="s">
        <v>348</v>
      </c>
      <c r="G14" s="99" t="s">
        <v>287</v>
      </c>
      <c r="H14" s="99" t="s">
        <v>13</v>
      </c>
      <c r="I14" s="99" t="s">
        <v>246</v>
      </c>
      <c r="J14" s="99"/>
      <c r="K14" s="101">
        <v>108</v>
      </c>
      <c r="L14" s="101">
        <f>K14*VLOOKUP(H14,dagsoorttabel1,2,FALSE)</f>
        <v>84.705882352941174</v>
      </c>
      <c r="M14" s="102">
        <f>prodnorm83</f>
        <v>0</v>
      </c>
      <c r="N14" s="37">
        <f>dagwerk83</f>
        <v>0</v>
      </c>
      <c r="O14" s="99" t="s">
        <v>108</v>
      </c>
      <c r="P14" s="24">
        <f>uurtarief83</f>
        <v>0</v>
      </c>
      <c r="Q14" s="101" t="e">
        <f>IF(ISBLANK(M14),0,L14/ROUND(M14,4))</f>
        <v>#DIV/0!</v>
      </c>
      <c r="R14" s="101" t="e">
        <f>IF(ISBLANK(M14),0,Q14*ROUND(N14,2))</f>
        <v>#DIV/0!</v>
      </c>
      <c r="S14" s="24" t="e">
        <f>ROUND(P14,2)*Q14</f>
        <v>#DIV/0!</v>
      </c>
      <c r="T14" s="101" t="e">
        <f>Q14*dagenperjaar1</f>
        <v>#DIV/0!</v>
      </c>
      <c r="U14" s="25" t="e">
        <f>T14*ROUND(P14,2)</f>
        <v>#DIV/0!</v>
      </c>
    </row>
    <row r="15" spans="1:21" x14ac:dyDescent="0.2">
      <c r="A15" s="98" t="s">
        <v>344</v>
      </c>
      <c r="B15" s="99" t="s">
        <v>50</v>
      </c>
      <c r="C15" s="99" t="s">
        <v>345</v>
      </c>
      <c r="D15" s="99" t="s">
        <v>367</v>
      </c>
      <c r="E15" s="100" t="s">
        <v>368</v>
      </c>
      <c r="F15" s="99" t="s">
        <v>348</v>
      </c>
      <c r="G15" s="99" t="s">
        <v>287</v>
      </c>
      <c r="H15" s="99" t="s">
        <v>13</v>
      </c>
      <c r="I15" s="99" t="s">
        <v>246</v>
      </c>
      <c r="J15" s="99"/>
      <c r="K15" s="101">
        <v>15</v>
      </c>
      <c r="L15" s="101">
        <f>K15*VLOOKUP(H15,dagsoorttabel1,2,FALSE)</f>
        <v>11.76470588235294</v>
      </c>
      <c r="M15" s="102">
        <f>prodnorm83</f>
        <v>0</v>
      </c>
      <c r="N15" s="37">
        <f>dagwerk83</f>
        <v>0</v>
      </c>
      <c r="O15" s="99" t="s">
        <v>108</v>
      </c>
      <c r="P15" s="24">
        <f>uurtarief83</f>
        <v>0</v>
      </c>
      <c r="Q15" s="101" t="e">
        <f>IF(ISBLANK(M15),0,L15/ROUND(M15,4))</f>
        <v>#DIV/0!</v>
      </c>
      <c r="R15" s="101" t="e">
        <f>IF(ISBLANK(M15),0,Q15*ROUND(N15,2))</f>
        <v>#DIV/0!</v>
      </c>
      <c r="S15" s="24" t="e">
        <f>ROUND(P15,2)*Q15</f>
        <v>#DIV/0!</v>
      </c>
      <c r="T15" s="101" t="e">
        <f>Q15*dagenperjaar1</f>
        <v>#DIV/0!</v>
      </c>
      <c r="U15" s="25" t="e">
        <f>T15*ROUND(P15,2)</f>
        <v>#DIV/0!</v>
      </c>
    </row>
    <row r="16" spans="1:21" x14ac:dyDescent="0.2">
      <c r="A16" s="98" t="s">
        <v>344</v>
      </c>
      <c r="B16" s="99" t="s">
        <v>50</v>
      </c>
      <c r="C16" s="99" t="s">
        <v>345</v>
      </c>
      <c r="D16" s="99" t="s">
        <v>369</v>
      </c>
      <c r="E16" s="100" t="s">
        <v>370</v>
      </c>
      <c r="F16" s="99" t="s">
        <v>348</v>
      </c>
      <c r="G16" s="99" t="s">
        <v>287</v>
      </c>
      <c r="H16" s="99" t="s">
        <v>13</v>
      </c>
      <c r="I16" s="99" t="s">
        <v>246</v>
      </c>
      <c r="J16" s="99"/>
      <c r="K16" s="101">
        <v>25</v>
      </c>
      <c r="L16" s="101">
        <f>K16*VLOOKUP(H16,dagsoorttabel1,2,FALSE)</f>
        <v>19.607843137254903</v>
      </c>
      <c r="M16" s="102">
        <f>prodnorm83</f>
        <v>0</v>
      </c>
      <c r="N16" s="37">
        <f>dagwerk83</f>
        <v>0</v>
      </c>
      <c r="O16" s="99" t="s">
        <v>108</v>
      </c>
      <c r="P16" s="24">
        <f>uurtarief83</f>
        <v>0</v>
      </c>
      <c r="Q16" s="101" t="e">
        <f>IF(ISBLANK(M16),0,L16/ROUND(M16,4))</f>
        <v>#DIV/0!</v>
      </c>
      <c r="R16" s="101" t="e">
        <f>IF(ISBLANK(M16),0,Q16*ROUND(N16,2))</f>
        <v>#DIV/0!</v>
      </c>
      <c r="S16" s="24" t="e">
        <f>ROUND(P16,2)*Q16</f>
        <v>#DIV/0!</v>
      </c>
      <c r="T16" s="101" t="e">
        <f>Q16*dagenperjaar1</f>
        <v>#DIV/0!</v>
      </c>
      <c r="U16" s="25" t="e">
        <f>T16*ROUND(P16,2)</f>
        <v>#DIV/0!</v>
      </c>
    </row>
    <row r="17" spans="1:21" x14ac:dyDescent="0.2">
      <c r="A17" s="98" t="s">
        <v>344</v>
      </c>
      <c r="B17" s="99" t="s">
        <v>50</v>
      </c>
      <c r="C17" s="99" t="s">
        <v>345</v>
      </c>
      <c r="D17" s="99" t="s">
        <v>371</v>
      </c>
      <c r="E17" s="100" t="s">
        <v>372</v>
      </c>
      <c r="F17" s="99" t="s">
        <v>348</v>
      </c>
      <c r="G17" s="99" t="s">
        <v>291</v>
      </c>
      <c r="H17" s="99" t="s">
        <v>13</v>
      </c>
      <c r="I17" s="99" t="s">
        <v>246</v>
      </c>
      <c r="J17" s="99"/>
      <c r="K17" s="101">
        <v>46.5</v>
      </c>
      <c r="L17" s="101">
        <f>K17*VLOOKUP(H17,dagsoorttabel1,2,FALSE)</f>
        <v>36.470588235294116</v>
      </c>
      <c r="M17" s="102">
        <f>prodnorm86</f>
        <v>0</v>
      </c>
      <c r="N17" s="37">
        <f>dagwerk86</f>
        <v>0</v>
      </c>
      <c r="O17" s="99" t="s">
        <v>108</v>
      </c>
      <c r="P17" s="24">
        <f>uurtarief86</f>
        <v>0</v>
      </c>
      <c r="Q17" s="101" t="e">
        <f>IF(ISBLANK(M17),0,L17/ROUND(M17,4))</f>
        <v>#DIV/0!</v>
      </c>
      <c r="R17" s="101" t="e">
        <f>IF(ISBLANK(M17),0,Q17*ROUND(N17,2))</f>
        <v>#DIV/0!</v>
      </c>
      <c r="S17" s="24" t="e">
        <f>ROUND(P17,2)*Q17</f>
        <v>#DIV/0!</v>
      </c>
      <c r="T17" s="101" t="e">
        <f>Q17*dagenperjaar1</f>
        <v>#DIV/0!</v>
      </c>
      <c r="U17" s="25" t="e">
        <f>T17*ROUND(P17,2)</f>
        <v>#DIV/0!</v>
      </c>
    </row>
    <row r="18" spans="1:21" x14ac:dyDescent="0.2">
      <c r="A18" s="98" t="s">
        <v>344</v>
      </c>
      <c r="B18" s="99" t="s">
        <v>50</v>
      </c>
      <c r="C18" s="99" t="s">
        <v>345</v>
      </c>
      <c r="D18" s="99" t="s">
        <v>373</v>
      </c>
      <c r="E18" s="100" t="s">
        <v>374</v>
      </c>
      <c r="F18" s="99" t="s">
        <v>348</v>
      </c>
      <c r="G18" s="99" t="s">
        <v>291</v>
      </c>
      <c r="H18" s="99" t="s">
        <v>13</v>
      </c>
      <c r="I18" s="99" t="s">
        <v>246</v>
      </c>
      <c r="J18" s="99"/>
      <c r="K18" s="101">
        <v>75</v>
      </c>
      <c r="L18" s="101">
        <f>K18*VLOOKUP(H18,dagsoorttabel1,2,FALSE)</f>
        <v>58.823529411764703</v>
      </c>
      <c r="M18" s="102">
        <f>prodnorm86</f>
        <v>0</v>
      </c>
      <c r="N18" s="37">
        <f>dagwerk86</f>
        <v>0</v>
      </c>
      <c r="O18" s="99" t="s">
        <v>108</v>
      </c>
      <c r="P18" s="24">
        <f>uurtarief86</f>
        <v>0</v>
      </c>
      <c r="Q18" s="101" t="e">
        <f>IF(ISBLANK(M18),0,L18/ROUND(M18,4))</f>
        <v>#DIV/0!</v>
      </c>
      <c r="R18" s="101" t="e">
        <f>IF(ISBLANK(M18),0,Q18*ROUND(N18,2))</f>
        <v>#DIV/0!</v>
      </c>
      <c r="S18" s="24" t="e">
        <f>ROUND(P18,2)*Q18</f>
        <v>#DIV/0!</v>
      </c>
      <c r="T18" s="101" t="e">
        <f>Q18*dagenperjaar1</f>
        <v>#DIV/0!</v>
      </c>
      <c r="U18" s="25" t="e">
        <f>T18*ROUND(P18,2)</f>
        <v>#DIV/0!</v>
      </c>
    </row>
    <row r="19" spans="1:21" x14ac:dyDescent="0.2">
      <c r="A19" s="98" t="s">
        <v>344</v>
      </c>
      <c r="B19" s="99" t="s">
        <v>50</v>
      </c>
      <c r="C19" s="99" t="s">
        <v>345</v>
      </c>
      <c r="D19" s="99" t="s">
        <v>375</v>
      </c>
      <c r="E19" s="100" t="s">
        <v>376</v>
      </c>
      <c r="F19" s="99" t="s">
        <v>348</v>
      </c>
      <c r="G19" s="99" t="s">
        <v>277</v>
      </c>
      <c r="H19" s="99" t="s">
        <v>13</v>
      </c>
      <c r="I19" s="99" t="s">
        <v>246</v>
      </c>
      <c r="J19" s="99"/>
      <c r="K19" s="101">
        <v>27.5</v>
      </c>
      <c r="L19" s="101">
        <f>K19*VLOOKUP(H19,dagsoorttabel1,2,FALSE)</f>
        <v>21.56862745098039</v>
      </c>
      <c r="M19" s="102">
        <f>prodnorm73</f>
        <v>0</v>
      </c>
      <c r="N19" s="37">
        <f>dagwerk73</f>
        <v>0</v>
      </c>
      <c r="O19" s="99" t="s">
        <v>108</v>
      </c>
      <c r="P19" s="24">
        <f>uurtarief73</f>
        <v>0</v>
      </c>
      <c r="Q19" s="101" t="e">
        <f>IF(ISBLANK(M19),0,L19/ROUND(M19,4))</f>
        <v>#DIV/0!</v>
      </c>
      <c r="R19" s="101" t="e">
        <f>IF(ISBLANK(M19),0,Q19*ROUND(N19,2))</f>
        <v>#DIV/0!</v>
      </c>
      <c r="S19" s="24" t="e">
        <f>ROUND(P19,2)*Q19</f>
        <v>#DIV/0!</v>
      </c>
      <c r="T19" s="101" t="e">
        <f>Q19*dagenperjaar1</f>
        <v>#DIV/0!</v>
      </c>
      <c r="U19" s="25" t="e">
        <f>T19*ROUND(P19,2)</f>
        <v>#DIV/0!</v>
      </c>
    </row>
    <row r="20" spans="1:21" x14ac:dyDescent="0.2">
      <c r="A20" s="98" t="s">
        <v>344</v>
      </c>
      <c r="B20" s="99" t="s">
        <v>50</v>
      </c>
      <c r="C20" s="99" t="s">
        <v>345</v>
      </c>
      <c r="D20" s="99" t="s">
        <v>377</v>
      </c>
      <c r="E20" s="100" t="s">
        <v>378</v>
      </c>
      <c r="F20" s="99" t="s">
        <v>348</v>
      </c>
      <c r="G20" s="99" t="s">
        <v>277</v>
      </c>
      <c r="H20" s="99" t="s">
        <v>13</v>
      </c>
      <c r="I20" s="99" t="s">
        <v>246</v>
      </c>
      <c r="J20" s="99"/>
      <c r="K20" s="101">
        <v>24</v>
      </c>
      <c r="L20" s="101">
        <f>K20*VLOOKUP(H20,dagsoorttabel1,2,FALSE)</f>
        <v>18.823529411764707</v>
      </c>
      <c r="M20" s="102">
        <f>prodnorm73</f>
        <v>0</v>
      </c>
      <c r="N20" s="37">
        <f>dagwerk73</f>
        <v>0</v>
      </c>
      <c r="O20" s="99" t="s">
        <v>108</v>
      </c>
      <c r="P20" s="24">
        <f>uurtarief73</f>
        <v>0</v>
      </c>
      <c r="Q20" s="101" t="e">
        <f>IF(ISBLANK(M20),0,L20/ROUND(M20,4))</f>
        <v>#DIV/0!</v>
      </c>
      <c r="R20" s="101" t="e">
        <f>IF(ISBLANK(M20),0,Q20*ROUND(N20,2))</f>
        <v>#DIV/0!</v>
      </c>
      <c r="S20" s="24" t="e">
        <f>ROUND(P20,2)*Q20</f>
        <v>#DIV/0!</v>
      </c>
      <c r="T20" s="101" t="e">
        <f>Q20*dagenperjaar1</f>
        <v>#DIV/0!</v>
      </c>
      <c r="U20" s="25" t="e">
        <f>T20*ROUND(P20,2)</f>
        <v>#DIV/0!</v>
      </c>
    </row>
    <row r="21" spans="1:21" x14ac:dyDescent="0.2">
      <c r="A21" s="98" t="s">
        <v>344</v>
      </c>
      <c r="B21" s="99" t="s">
        <v>50</v>
      </c>
      <c r="C21" s="99" t="s">
        <v>345</v>
      </c>
      <c r="D21" s="99" t="s">
        <v>379</v>
      </c>
      <c r="E21" s="100" t="s">
        <v>380</v>
      </c>
      <c r="F21" s="99" t="s">
        <v>348</v>
      </c>
      <c r="G21" s="99" t="s">
        <v>287</v>
      </c>
      <c r="H21" s="99" t="s">
        <v>13</v>
      </c>
      <c r="I21" s="99" t="s">
        <v>246</v>
      </c>
      <c r="J21" s="99"/>
      <c r="K21" s="101">
        <v>2</v>
      </c>
      <c r="L21" s="101">
        <f>K21*VLOOKUP(H21,dagsoorttabel1,2,FALSE)</f>
        <v>1.5686274509803921</v>
      </c>
      <c r="M21" s="102">
        <f>prodnorm83</f>
        <v>0</v>
      </c>
      <c r="N21" s="37">
        <f>dagwerk83</f>
        <v>0</v>
      </c>
      <c r="O21" s="99" t="s">
        <v>108</v>
      </c>
      <c r="P21" s="24">
        <f>uurtarief83</f>
        <v>0</v>
      </c>
      <c r="Q21" s="101" t="e">
        <f>IF(ISBLANK(M21),0,L21/ROUND(M21,4))</f>
        <v>#DIV/0!</v>
      </c>
      <c r="R21" s="101" t="e">
        <f>IF(ISBLANK(M21),0,Q21*ROUND(N21,2))</f>
        <v>#DIV/0!</v>
      </c>
      <c r="S21" s="24" t="e">
        <f>ROUND(P21,2)*Q21</f>
        <v>#DIV/0!</v>
      </c>
      <c r="T21" s="101" t="e">
        <f>Q21*dagenperjaar1</f>
        <v>#DIV/0!</v>
      </c>
      <c r="U21" s="25" t="e">
        <f>T21*ROUND(P21,2)</f>
        <v>#DIV/0!</v>
      </c>
    </row>
    <row r="22" spans="1:21" x14ac:dyDescent="0.2">
      <c r="A22" s="98" t="s">
        <v>344</v>
      </c>
      <c r="B22" s="99" t="s">
        <v>50</v>
      </c>
      <c r="C22" s="99" t="s">
        <v>345</v>
      </c>
      <c r="D22" s="99" t="s">
        <v>379</v>
      </c>
      <c r="E22" s="100" t="s">
        <v>380</v>
      </c>
      <c r="F22" s="99" t="s">
        <v>348</v>
      </c>
      <c r="G22" s="99" t="s">
        <v>287</v>
      </c>
      <c r="H22" s="99" t="s">
        <v>13</v>
      </c>
      <c r="I22" s="99" t="s">
        <v>246</v>
      </c>
      <c r="J22" s="99"/>
      <c r="K22" s="101">
        <v>2</v>
      </c>
      <c r="L22" s="101">
        <f>K22*VLOOKUP(H22,dagsoorttabel1,2,FALSE)</f>
        <v>1.5686274509803921</v>
      </c>
      <c r="M22" s="102">
        <f>prodnorm83</f>
        <v>0</v>
      </c>
      <c r="N22" s="37">
        <f>dagwerk83</f>
        <v>0</v>
      </c>
      <c r="O22" s="99" t="s">
        <v>108</v>
      </c>
      <c r="P22" s="24">
        <f>uurtarief83</f>
        <v>0</v>
      </c>
      <c r="Q22" s="101" t="e">
        <f>IF(ISBLANK(M22),0,L22/ROUND(M22,4))</f>
        <v>#DIV/0!</v>
      </c>
      <c r="R22" s="101" t="e">
        <f>IF(ISBLANK(M22),0,Q22*ROUND(N22,2))</f>
        <v>#DIV/0!</v>
      </c>
      <c r="S22" s="24" t="e">
        <f>ROUND(P22,2)*Q22</f>
        <v>#DIV/0!</v>
      </c>
      <c r="T22" s="101" t="e">
        <f>Q22*dagenperjaar1</f>
        <v>#DIV/0!</v>
      </c>
      <c r="U22" s="25" t="e">
        <f>T22*ROUND(P22,2)</f>
        <v>#DIV/0!</v>
      </c>
    </row>
    <row r="23" spans="1:21" x14ac:dyDescent="0.2">
      <c r="A23" s="98" t="s">
        <v>344</v>
      </c>
      <c r="B23" s="99" t="s">
        <v>50</v>
      </c>
      <c r="C23" s="99" t="s">
        <v>345</v>
      </c>
      <c r="D23" s="99" t="s">
        <v>381</v>
      </c>
      <c r="E23" s="100" t="s">
        <v>380</v>
      </c>
      <c r="F23" s="99" t="s">
        <v>348</v>
      </c>
      <c r="G23" s="99" t="s">
        <v>287</v>
      </c>
      <c r="H23" s="99" t="s">
        <v>13</v>
      </c>
      <c r="I23" s="99" t="s">
        <v>246</v>
      </c>
      <c r="J23" s="99"/>
      <c r="K23" s="101">
        <v>2</v>
      </c>
      <c r="L23" s="101">
        <f>K23*VLOOKUP(H23,dagsoorttabel1,2,FALSE)</f>
        <v>1.5686274509803921</v>
      </c>
      <c r="M23" s="102">
        <f>prodnorm83</f>
        <v>0</v>
      </c>
      <c r="N23" s="37">
        <f>dagwerk83</f>
        <v>0</v>
      </c>
      <c r="O23" s="99" t="s">
        <v>108</v>
      </c>
      <c r="P23" s="24">
        <f>uurtarief83</f>
        <v>0</v>
      </c>
      <c r="Q23" s="101" t="e">
        <f>IF(ISBLANK(M23),0,L23/ROUND(M23,4))</f>
        <v>#DIV/0!</v>
      </c>
      <c r="R23" s="101" t="e">
        <f>IF(ISBLANK(M23),0,Q23*ROUND(N23,2))</f>
        <v>#DIV/0!</v>
      </c>
      <c r="S23" s="24" t="e">
        <f>ROUND(P23,2)*Q23</f>
        <v>#DIV/0!</v>
      </c>
      <c r="T23" s="101" t="e">
        <f>Q23*dagenperjaar1</f>
        <v>#DIV/0!</v>
      </c>
      <c r="U23" s="25" t="e">
        <f>T23*ROUND(P23,2)</f>
        <v>#DIV/0!</v>
      </c>
    </row>
    <row r="24" spans="1:21" x14ac:dyDescent="0.2">
      <c r="A24" s="98" t="s">
        <v>344</v>
      </c>
      <c r="B24" s="99" t="s">
        <v>50</v>
      </c>
      <c r="C24" s="99" t="s">
        <v>345</v>
      </c>
      <c r="D24" s="99" t="s">
        <v>382</v>
      </c>
      <c r="E24" s="100" t="s">
        <v>380</v>
      </c>
      <c r="F24" s="99" t="s">
        <v>348</v>
      </c>
      <c r="G24" s="99" t="s">
        <v>287</v>
      </c>
      <c r="H24" s="99" t="s">
        <v>13</v>
      </c>
      <c r="I24" s="99" t="s">
        <v>246</v>
      </c>
      <c r="J24" s="99"/>
      <c r="K24" s="101">
        <v>2</v>
      </c>
      <c r="L24" s="101">
        <f>K24*VLOOKUP(H24,dagsoorttabel1,2,FALSE)</f>
        <v>1.5686274509803921</v>
      </c>
      <c r="M24" s="102">
        <f>prodnorm83</f>
        <v>0</v>
      </c>
      <c r="N24" s="37">
        <f>dagwerk83</f>
        <v>0</v>
      </c>
      <c r="O24" s="99" t="s">
        <v>108</v>
      </c>
      <c r="P24" s="24">
        <f>uurtarief83</f>
        <v>0</v>
      </c>
      <c r="Q24" s="101" t="e">
        <f>IF(ISBLANK(M24),0,L24/ROUND(M24,4))</f>
        <v>#DIV/0!</v>
      </c>
      <c r="R24" s="101" t="e">
        <f>IF(ISBLANK(M24),0,Q24*ROUND(N24,2))</f>
        <v>#DIV/0!</v>
      </c>
      <c r="S24" s="24" t="e">
        <f>ROUND(P24,2)*Q24</f>
        <v>#DIV/0!</v>
      </c>
      <c r="T24" s="101" t="e">
        <f>Q24*dagenperjaar1</f>
        <v>#DIV/0!</v>
      </c>
      <c r="U24" s="25" t="e">
        <f>T24*ROUND(P24,2)</f>
        <v>#DIV/0!</v>
      </c>
    </row>
    <row r="25" spans="1:21" x14ac:dyDescent="0.2">
      <c r="A25" s="98" t="s">
        <v>344</v>
      </c>
      <c r="B25" s="99" t="s">
        <v>50</v>
      </c>
      <c r="C25" s="99" t="s">
        <v>345</v>
      </c>
      <c r="D25" s="99" t="s">
        <v>383</v>
      </c>
      <c r="E25" s="100" t="s">
        <v>380</v>
      </c>
      <c r="F25" s="99" t="s">
        <v>348</v>
      </c>
      <c r="G25" s="99" t="s">
        <v>287</v>
      </c>
      <c r="H25" s="99" t="s">
        <v>13</v>
      </c>
      <c r="I25" s="99" t="s">
        <v>246</v>
      </c>
      <c r="J25" s="99"/>
      <c r="K25" s="101">
        <v>2</v>
      </c>
      <c r="L25" s="101">
        <f>K25*VLOOKUP(H25,dagsoorttabel1,2,FALSE)</f>
        <v>1.5686274509803921</v>
      </c>
      <c r="M25" s="102">
        <f>prodnorm83</f>
        <v>0</v>
      </c>
      <c r="N25" s="37">
        <f>dagwerk83</f>
        <v>0</v>
      </c>
      <c r="O25" s="99" t="s">
        <v>108</v>
      </c>
      <c r="P25" s="24">
        <f>uurtarief83</f>
        <v>0</v>
      </c>
      <c r="Q25" s="101" t="e">
        <f>IF(ISBLANK(M25),0,L25/ROUND(M25,4))</f>
        <v>#DIV/0!</v>
      </c>
      <c r="R25" s="101" t="e">
        <f>IF(ISBLANK(M25),0,Q25*ROUND(N25,2))</f>
        <v>#DIV/0!</v>
      </c>
      <c r="S25" s="24" t="e">
        <f>ROUND(P25,2)*Q25</f>
        <v>#DIV/0!</v>
      </c>
      <c r="T25" s="101" t="e">
        <f>Q25*dagenperjaar1</f>
        <v>#DIV/0!</v>
      </c>
      <c r="U25" s="25" t="e">
        <f>T25*ROUND(P25,2)</f>
        <v>#DIV/0!</v>
      </c>
    </row>
    <row r="26" spans="1:21" x14ac:dyDescent="0.2">
      <c r="A26" s="98" t="s">
        <v>344</v>
      </c>
      <c r="B26" s="99" t="s">
        <v>50</v>
      </c>
      <c r="C26" s="99" t="s">
        <v>345</v>
      </c>
      <c r="D26" s="99" t="s">
        <v>384</v>
      </c>
      <c r="E26" s="100" t="s">
        <v>380</v>
      </c>
      <c r="F26" s="99" t="s">
        <v>348</v>
      </c>
      <c r="G26" s="99" t="s">
        <v>287</v>
      </c>
      <c r="H26" s="99" t="s">
        <v>13</v>
      </c>
      <c r="I26" s="99" t="s">
        <v>246</v>
      </c>
      <c r="J26" s="99"/>
      <c r="K26" s="101">
        <v>2</v>
      </c>
      <c r="L26" s="101">
        <f>K26*VLOOKUP(H26,dagsoorttabel1,2,FALSE)</f>
        <v>1.5686274509803921</v>
      </c>
      <c r="M26" s="102">
        <f>prodnorm83</f>
        <v>0</v>
      </c>
      <c r="N26" s="37">
        <f>dagwerk83</f>
        <v>0</v>
      </c>
      <c r="O26" s="99" t="s">
        <v>108</v>
      </c>
      <c r="P26" s="24">
        <f>uurtarief83</f>
        <v>0</v>
      </c>
      <c r="Q26" s="101" t="e">
        <f>IF(ISBLANK(M26),0,L26/ROUND(M26,4))</f>
        <v>#DIV/0!</v>
      </c>
      <c r="R26" s="101" t="e">
        <f>IF(ISBLANK(M26),0,Q26*ROUND(N26,2))</f>
        <v>#DIV/0!</v>
      </c>
      <c r="S26" s="24" t="e">
        <f>ROUND(P26,2)*Q26</f>
        <v>#DIV/0!</v>
      </c>
      <c r="T26" s="101" t="e">
        <f>Q26*dagenperjaar1</f>
        <v>#DIV/0!</v>
      </c>
      <c r="U26" s="25" t="e">
        <f>T26*ROUND(P26,2)</f>
        <v>#DIV/0!</v>
      </c>
    </row>
    <row r="27" spans="1:21" x14ac:dyDescent="0.2">
      <c r="A27" s="98" t="s">
        <v>344</v>
      </c>
      <c r="B27" s="99" t="s">
        <v>50</v>
      </c>
      <c r="C27" s="99" t="s">
        <v>345</v>
      </c>
      <c r="D27" s="99" t="s">
        <v>385</v>
      </c>
      <c r="E27" s="100" t="s">
        <v>380</v>
      </c>
      <c r="F27" s="99" t="s">
        <v>348</v>
      </c>
      <c r="G27" s="99" t="s">
        <v>287</v>
      </c>
      <c r="H27" s="99" t="s">
        <v>13</v>
      </c>
      <c r="I27" s="99" t="s">
        <v>246</v>
      </c>
      <c r="J27" s="99"/>
      <c r="K27" s="101">
        <v>2</v>
      </c>
      <c r="L27" s="101">
        <f>K27*VLOOKUP(H27,dagsoorttabel1,2,FALSE)</f>
        <v>1.5686274509803921</v>
      </c>
      <c r="M27" s="102">
        <f>prodnorm83</f>
        <v>0</v>
      </c>
      <c r="N27" s="37">
        <f>dagwerk83</f>
        <v>0</v>
      </c>
      <c r="O27" s="99" t="s">
        <v>108</v>
      </c>
      <c r="P27" s="24">
        <f>uurtarief83</f>
        <v>0</v>
      </c>
      <c r="Q27" s="101" t="e">
        <f>IF(ISBLANK(M27),0,L27/ROUND(M27,4))</f>
        <v>#DIV/0!</v>
      </c>
      <c r="R27" s="101" t="e">
        <f>IF(ISBLANK(M27),0,Q27*ROUND(N27,2))</f>
        <v>#DIV/0!</v>
      </c>
      <c r="S27" s="24" t="e">
        <f>ROUND(P27,2)*Q27</f>
        <v>#DIV/0!</v>
      </c>
      <c r="T27" s="101" t="e">
        <f>Q27*dagenperjaar1</f>
        <v>#DIV/0!</v>
      </c>
      <c r="U27" s="25" t="e">
        <f>T27*ROUND(P27,2)</f>
        <v>#DIV/0!</v>
      </c>
    </row>
    <row r="28" spans="1:21" x14ac:dyDescent="0.2">
      <c r="A28" s="98" t="s">
        <v>344</v>
      </c>
      <c r="B28" s="99" t="s">
        <v>50</v>
      </c>
      <c r="C28" s="99" t="s">
        <v>345</v>
      </c>
      <c r="D28" s="99" t="s">
        <v>386</v>
      </c>
      <c r="E28" s="100" t="s">
        <v>380</v>
      </c>
      <c r="F28" s="99" t="s">
        <v>348</v>
      </c>
      <c r="G28" s="99" t="s">
        <v>287</v>
      </c>
      <c r="H28" s="99" t="s">
        <v>13</v>
      </c>
      <c r="I28" s="99" t="s">
        <v>246</v>
      </c>
      <c r="J28" s="99"/>
      <c r="K28" s="101">
        <v>2</v>
      </c>
      <c r="L28" s="101">
        <f>K28*VLOOKUP(H28,dagsoorttabel1,2,FALSE)</f>
        <v>1.5686274509803921</v>
      </c>
      <c r="M28" s="102">
        <f>prodnorm83</f>
        <v>0</v>
      </c>
      <c r="N28" s="37">
        <f>dagwerk83</f>
        <v>0</v>
      </c>
      <c r="O28" s="99" t="s">
        <v>108</v>
      </c>
      <c r="P28" s="24">
        <f>uurtarief83</f>
        <v>0</v>
      </c>
      <c r="Q28" s="101" t="e">
        <f>IF(ISBLANK(M28),0,L28/ROUND(M28,4))</f>
        <v>#DIV/0!</v>
      </c>
      <c r="R28" s="101" t="e">
        <f>IF(ISBLANK(M28),0,Q28*ROUND(N28,2))</f>
        <v>#DIV/0!</v>
      </c>
      <c r="S28" s="24" t="e">
        <f>ROUND(P28,2)*Q28</f>
        <v>#DIV/0!</v>
      </c>
      <c r="T28" s="101" t="e">
        <f>Q28*dagenperjaar1</f>
        <v>#DIV/0!</v>
      </c>
      <c r="U28" s="25" t="e">
        <f>T28*ROUND(P28,2)</f>
        <v>#DIV/0!</v>
      </c>
    </row>
    <row r="29" spans="1:21" x14ac:dyDescent="0.2">
      <c r="A29" s="98" t="s">
        <v>344</v>
      </c>
      <c r="B29" s="99" t="s">
        <v>50</v>
      </c>
      <c r="C29" s="99" t="s">
        <v>345</v>
      </c>
      <c r="D29" s="99" t="s">
        <v>387</v>
      </c>
      <c r="E29" s="100" t="s">
        <v>380</v>
      </c>
      <c r="F29" s="99" t="s">
        <v>348</v>
      </c>
      <c r="G29" s="99" t="s">
        <v>287</v>
      </c>
      <c r="H29" s="99" t="s">
        <v>13</v>
      </c>
      <c r="I29" s="99" t="s">
        <v>246</v>
      </c>
      <c r="J29" s="99"/>
      <c r="K29" s="101">
        <v>2</v>
      </c>
      <c r="L29" s="101">
        <f>K29*VLOOKUP(H29,dagsoorttabel1,2,FALSE)</f>
        <v>1.5686274509803921</v>
      </c>
      <c r="M29" s="102">
        <f>prodnorm83</f>
        <v>0</v>
      </c>
      <c r="N29" s="37">
        <f>dagwerk83</f>
        <v>0</v>
      </c>
      <c r="O29" s="99" t="s">
        <v>108</v>
      </c>
      <c r="P29" s="24">
        <f>uurtarief83</f>
        <v>0</v>
      </c>
      <c r="Q29" s="101" t="e">
        <f>IF(ISBLANK(M29),0,L29/ROUND(M29,4))</f>
        <v>#DIV/0!</v>
      </c>
      <c r="R29" s="101" t="e">
        <f>IF(ISBLANK(M29),0,Q29*ROUND(N29,2))</f>
        <v>#DIV/0!</v>
      </c>
      <c r="S29" s="24" t="e">
        <f>ROUND(P29,2)*Q29</f>
        <v>#DIV/0!</v>
      </c>
      <c r="T29" s="101" t="e">
        <f>Q29*dagenperjaar1</f>
        <v>#DIV/0!</v>
      </c>
      <c r="U29" s="25" t="e">
        <f>T29*ROUND(P29,2)</f>
        <v>#DIV/0!</v>
      </c>
    </row>
    <row r="30" spans="1:21" x14ac:dyDescent="0.2">
      <c r="A30" s="98" t="s">
        <v>344</v>
      </c>
      <c r="B30" s="99" t="s">
        <v>50</v>
      </c>
      <c r="C30" s="99" t="s">
        <v>345</v>
      </c>
      <c r="D30" s="99" t="s">
        <v>388</v>
      </c>
      <c r="E30" s="100" t="s">
        <v>380</v>
      </c>
      <c r="F30" s="99" t="s">
        <v>348</v>
      </c>
      <c r="G30" s="99" t="s">
        <v>287</v>
      </c>
      <c r="H30" s="99" t="s">
        <v>13</v>
      </c>
      <c r="I30" s="99" t="s">
        <v>246</v>
      </c>
      <c r="J30" s="99"/>
      <c r="K30" s="101">
        <v>2</v>
      </c>
      <c r="L30" s="101">
        <f>K30*VLOOKUP(H30,dagsoorttabel1,2,FALSE)</f>
        <v>1.5686274509803921</v>
      </c>
      <c r="M30" s="102">
        <f>prodnorm83</f>
        <v>0</v>
      </c>
      <c r="N30" s="37">
        <f>dagwerk83</f>
        <v>0</v>
      </c>
      <c r="O30" s="99" t="s">
        <v>108</v>
      </c>
      <c r="P30" s="24">
        <f>uurtarief83</f>
        <v>0</v>
      </c>
      <c r="Q30" s="101" t="e">
        <f>IF(ISBLANK(M30),0,L30/ROUND(M30,4))</f>
        <v>#DIV/0!</v>
      </c>
      <c r="R30" s="101" t="e">
        <f>IF(ISBLANK(M30),0,Q30*ROUND(N30,2))</f>
        <v>#DIV/0!</v>
      </c>
      <c r="S30" s="24" t="e">
        <f>ROUND(P30,2)*Q30</f>
        <v>#DIV/0!</v>
      </c>
      <c r="T30" s="101" t="e">
        <f>Q30*dagenperjaar1</f>
        <v>#DIV/0!</v>
      </c>
      <c r="U30" s="25" t="e">
        <f>T30*ROUND(P30,2)</f>
        <v>#DIV/0!</v>
      </c>
    </row>
    <row r="31" spans="1:21" x14ac:dyDescent="0.2">
      <c r="A31" s="98" t="s">
        <v>344</v>
      </c>
      <c r="B31" s="99" t="s">
        <v>50</v>
      </c>
      <c r="C31" s="99" t="s">
        <v>345</v>
      </c>
      <c r="D31" s="99" t="s">
        <v>389</v>
      </c>
      <c r="E31" s="100" t="s">
        <v>380</v>
      </c>
      <c r="F31" s="99" t="s">
        <v>348</v>
      </c>
      <c r="G31" s="99" t="s">
        <v>287</v>
      </c>
      <c r="H31" s="99" t="s">
        <v>13</v>
      </c>
      <c r="I31" s="99" t="s">
        <v>246</v>
      </c>
      <c r="J31" s="99"/>
      <c r="K31" s="101">
        <v>2</v>
      </c>
      <c r="L31" s="101">
        <f>K31*VLOOKUP(H31,dagsoorttabel1,2,FALSE)</f>
        <v>1.5686274509803921</v>
      </c>
      <c r="M31" s="102">
        <f>prodnorm83</f>
        <v>0</v>
      </c>
      <c r="N31" s="37">
        <f>dagwerk83</f>
        <v>0</v>
      </c>
      <c r="O31" s="99" t="s">
        <v>108</v>
      </c>
      <c r="P31" s="24">
        <f>uurtarief83</f>
        <v>0</v>
      </c>
      <c r="Q31" s="101" t="e">
        <f>IF(ISBLANK(M31),0,L31/ROUND(M31,4))</f>
        <v>#DIV/0!</v>
      </c>
      <c r="R31" s="101" t="e">
        <f>IF(ISBLANK(M31),0,Q31*ROUND(N31,2))</f>
        <v>#DIV/0!</v>
      </c>
      <c r="S31" s="24" t="e">
        <f>ROUND(P31,2)*Q31</f>
        <v>#DIV/0!</v>
      </c>
      <c r="T31" s="101" t="e">
        <f>Q31*dagenperjaar1</f>
        <v>#DIV/0!</v>
      </c>
      <c r="U31" s="25" t="e">
        <f>T31*ROUND(P31,2)</f>
        <v>#DIV/0!</v>
      </c>
    </row>
    <row r="32" spans="1:21" x14ac:dyDescent="0.2">
      <c r="A32" s="98" t="s">
        <v>344</v>
      </c>
      <c r="B32" s="99" t="s">
        <v>50</v>
      </c>
      <c r="C32" s="99" t="s">
        <v>345</v>
      </c>
      <c r="D32" s="99" t="s">
        <v>390</v>
      </c>
      <c r="E32" s="100" t="s">
        <v>391</v>
      </c>
      <c r="F32" s="99" t="s">
        <v>348</v>
      </c>
      <c r="G32" s="99" t="s">
        <v>277</v>
      </c>
      <c r="H32" s="99" t="s">
        <v>13</v>
      </c>
      <c r="I32" s="99" t="s">
        <v>246</v>
      </c>
      <c r="J32" s="99"/>
      <c r="K32" s="101">
        <v>94</v>
      </c>
      <c r="L32" s="101">
        <f>K32*VLOOKUP(H32,dagsoorttabel1,2,FALSE)</f>
        <v>73.725490196078425</v>
      </c>
      <c r="M32" s="102">
        <f>prodnorm73</f>
        <v>0</v>
      </c>
      <c r="N32" s="37">
        <f>dagwerk73</f>
        <v>0</v>
      </c>
      <c r="O32" s="99" t="s">
        <v>108</v>
      </c>
      <c r="P32" s="24">
        <f>uurtarief73</f>
        <v>0</v>
      </c>
      <c r="Q32" s="101" t="e">
        <f>IF(ISBLANK(M32),0,L32/ROUND(M32,4))</f>
        <v>#DIV/0!</v>
      </c>
      <c r="R32" s="101" t="e">
        <f>IF(ISBLANK(M32),0,Q32*ROUND(N32,2))</f>
        <v>#DIV/0!</v>
      </c>
      <c r="S32" s="24" t="e">
        <f>ROUND(P32,2)*Q32</f>
        <v>#DIV/0!</v>
      </c>
      <c r="T32" s="101" t="e">
        <f>Q32*dagenperjaar1</f>
        <v>#DIV/0!</v>
      </c>
      <c r="U32" s="25" t="e">
        <f>T32*ROUND(P32,2)</f>
        <v>#DIV/0!</v>
      </c>
    </row>
    <row r="33" spans="1:21" x14ac:dyDescent="0.2">
      <c r="A33" s="98" t="s">
        <v>344</v>
      </c>
      <c r="B33" s="99" t="s">
        <v>50</v>
      </c>
      <c r="C33" s="99" t="s">
        <v>345</v>
      </c>
      <c r="D33" s="99" t="s">
        <v>392</v>
      </c>
      <c r="E33" s="100" t="s">
        <v>393</v>
      </c>
      <c r="F33" s="99" t="s">
        <v>394</v>
      </c>
      <c r="G33" s="99" t="s">
        <v>268</v>
      </c>
      <c r="H33" s="99" t="s">
        <v>13</v>
      </c>
      <c r="I33" s="99" t="s">
        <v>246</v>
      </c>
      <c r="J33" s="99"/>
      <c r="K33" s="101">
        <v>16</v>
      </c>
      <c r="L33" s="101">
        <f>K33*VLOOKUP(H33,dagsoorttabel1,2,FALSE)</f>
        <v>12.549019607843137</v>
      </c>
      <c r="M33" s="102">
        <f>prodnorm61</f>
        <v>0</v>
      </c>
      <c r="N33" s="37">
        <f>dagwerk61</f>
        <v>0</v>
      </c>
      <c r="O33" s="99" t="s">
        <v>108</v>
      </c>
      <c r="P33" s="24">
        <f>uurtarief61</f>
        <v>0</v>
      </c>
      <c r="Q33" s="101" t="e">
        <f>IF(ISBLANK(M33),0,L33/ROUND(M33,4))</f>
        <v>#DIV/0!</v>
      </c>
      <c r="R33" s="101" t="e">
        <f>IF(ISBLANK(M33),0,Q33*ROUND(N33,2))</f>
        <v>#DIV/0!</v>
      </c>
      <c r="S33" s="24" t="e">
        <f>ROUND(P33,2)*Q33</f>
        <v>#DIV/0!</v>
      </c>
      <c r="T33" s="101" t="e">
        <f>Q33*dagenperjaar1</f>
        <v>#DIV/0!</v>
      </c>
      <c r="U33" s="25" t="e">
        <f>T33*ROUND(P33,2)</f>
        <v>#DIV/0!</v>
      </c>
    </row>
    <row r="34" spans="1:21" x14ac:dyDescent="0.2">
      <c r="A34" s="98" t="s">
        <v>344</v>
      </c>
      <c r="B34" s="99" t="s">
        <v>50</v>
      </c>
      <c r="C34" s="99" t="s">
        <v>345</v>
      </c>
      <c r="D34" s="99" t="s">
        <v>395</v>
      </c>
      <c r="E34" s="100" t="s">
        <v>396</v>
      </c>
      <c r="F34" s="99" t="s">
        <v>397</v>
      </c>
      <c r="G34" s="99" t="s">
        <v>248</v>
      </c>
      <c r="H34" s="99" t="s">
        <v>13</v>
      </c>
      <c r="I34" s="99" t="s">
        <v>246</v>
      </c>
      <c r="J34" s="99"/>
      <c r="K34" s="101">
        <v>14</v>
      </c>
      <c r="L34" s="101">
        <f>K34*VLOOKUP(H34,dagsoorttabel1,2,FALSE)</f>
        <v>10.980392156862745</v>
      </c>
      <c r="M34" s="102">
        <f>prodnorm35</f>
        <v>0</v>
      </c>
      <c r="N34" s="37">
        <f>dagwerk35</f>
        <v>0</v>
      </c>
      <c r="O34" s="99" t="s">
        <v>108</v>
      </c>
      <c r="P34" s="24">
        <f>uurtarief35</f>
        <v>0</v>
      </c>
      <c r="Q34" s="101" t="e">
        <f>IF(ISBLANK(M34),0,L34/ROUND(M34,4))</f>
        <v>#DIV/0!</v>
      </c>
      <c r="R34" s="101" t="e">
        <f>IF(ISBLANK(M34),0,Q34*ROUND(N34,2))</f>
        <v>#DIV/0!</v>
      </c>
      <c r="S34" s="24" t="e">
        <f>ROUND(P34,2)*Q34</f>
        <v>#DIV/0!</v>
      </c>
      <c r="T34" s="101" t="e">
        <f>Q34*dagenperjaar1</f>
        <v>#DIV/0!</v>
      </c>
      <c r="U34" s="25" t="e">
        <f>T34*ROUND(P34,2)</f>
        <v>#DIV/0!</v>
      </c>
    </row>
    <row r="35" spans="1:21" x14ac:dyDescent="0.2">
      <c r="A35" s="98" t="s">
        <v>344</v>
      </c>
      <c r="B35" s="99" t="s">
        <v>50</v>
      </c>
      <c r="C35" s="99" t="s">
        <v>345</v>
      </c>
      <c r="D35" s="99" t="s">
        <v>398</v>
      </c>
      <c r="E35" s="100" t="s">
        <v>380</v>
      </c>
      <c r="F35" s="99" t="s">
        <v>348</v>
      </c>
      <c r="G35" s="99" t="s">
        <v>287</v>
      </c>
      <c r="H35" s="99" t="s">
        <v>13</v>
      </c>
      <c r="I35" s="99" t="s">
        <v>246</v>
      </c>
      <c r="J35" s="99"/>
      <c r="K35" s="101">
        <v>2</v>
      </c>
      <c r="L35" s="101">
        <f>K35*VLOOKUP(H35,dagsoorttabel1,2,FALSE)</f>
        <v>1.5686274509803921</v>
      </c>
      <c r="M35" s="102">
        <f>prodnorm83</f>
        <v>0</v>
      </c>
      <c r="N35" s="37">
        <f>dagwerk83</f>
        <v>0</v>
      </c>
      <c r="O35" s="99" t="s">
        <v>108</v>
      </c>
      <c r="P35" s="24">
        <f>uurtarief83</f>
        <v>0</v>
      </c>
      <c r="Q35" s="101" t="e">
        <f>IF(ISBLANK(M35),0,L35/ROUND(M35,4))</f>
        <v>#DIV/0!</v>
      </c>
      <c r="R35" s="101" t="e">
        <f>IF(ISBLANK(M35),0,Q35*ROUND(N35,2))</f>
        <v>#DIV/0!</v>
      </c>
      <c r="S35" s="24" t="e">
        <f>ROUND(P35,2)*Q35</f>
        <v>#DIV/0!</v>
      </c>
      <c r="T35" s="101" t="e">
        <f>Q35*dagenperjaar1</f>
        <v>#DIV/0!</v>
      </c>
      <c r="U35" s="25" t="e">
        <f>T35*ROUND(P35,2)</f>
        <v>#DIV/0!</v>
      </c>
    </row>
    <row r="36" spans="1:21" x14ac:dyDescent="0.2">
      <c r="A36" s="98" t="s">
        <v>344</v>
      </c>
      <c r="B36" s="99" t="s">
        <v>50</v>
      </c>
      <c r="C36" s="99" t="s">
        <v>345</v>
      </c>
      <c r="D36" s="99" t="s">
        <v>399</v>
      </c>
      <c r="E36" s="100" t="s">
        <v>380</v>
      </c>
      <c r="F36" s="99" t="s">
        <v>348</v>
      </c>
      <c r="G36" s="99" t="s">
        <v>287</v>
      </c>
      <c r="H36" s="99" t="s">
        <v>13</v>
      </c>
      <c r="I36" s="99" t="s">
        <v>246</v>
      </c>
      <c r="J36" s="99"/>
      <c r="K36" s="101">
        <v>2</v>
      </c>
      <c r="L36" s="101">
        <f>K36*VLOOKUP(H36,dagsoorttabel1,2,FALSE)</f>
        <v>1.5686274509803921</v>
      </c>
      <c r="M36" s="102">
        <f>prodnorm83</f>
        <v>0</v>
      </c>
      <c r="N36" s="37">
        <f>dagwerk83</f>
        <v>0</v>
      </c>
      <c r="O36" s="99" t="s">
        <v>108</v>
      </c>
      <c r="P36" s="24">
        <f>uurtarief83</f>
        <v>0</v>
      </c>
      <c r="Q36" s="101" t="e">
        <f>IF(ISBLANK(M36),0,L36/ROUND(M36,4))</f>
        <v>#DIV/0!</v>
      </c>
      <c r="R36" s="101" t="e">
        <f>IF(ISBLANK(M36),0,Q36*ROUND(N36,2))</f>
        <v>#DIV/0!</v>
      </c>
      <c r="S36" s="24" t="e">
        <f>ROUND(P36,2)*Q36</f>
        <v>#DIV/0!</v>
      </c>
      <c r="T36" s="101" t="e">
        <f>Q36*dagenperjaar1</f>
        <v>#DIV/0!</v>
      </c>
      <c r="U36" s="25" t="e">
        <f>T36*ROUND(P36,2)</f>
        <v>#DIV/0!</v>
      </c>
    </row>
    <row r="37" spans="1:21" x14ac:dyDescent="0.2">
      <c r="A37" s="98" t="s">
        <v>344</v>
      </c>
      <c r="B37" s="99" t="s">
        <v>50</v>
      </c>
      <c r="C37" s="99" t="s">
        <v>345</v>
      </c>
      <c r="D37" s="99" t="s">
        <v>400</v>
      </c>
      <c r="E37" s="100" t="s">
        <v>380</v>
      </c>
      <c r="F37" s="99" t="s">
        <v>348</v>
      </c>
      <c r="G37" s="99" t="s">
        <v>287</v>
      </c>
      <c r="H37" s="99" t="s">
        <v>13</v>
      </c>
      <c r="I37" s="99" t="s">
        <v>246</v>
      </c>
      <c r="J37" s="99"/>
      <c r="K37" s="101">
        <v>2</v>
      </c>
      <c r="L37" s="101">
        <f>K37*VLOOKUP(H37,dagsoorttabel1,2,FALSE)</f>
        <v>1.5686274509803921</v>
      </c>
      <c r="M37" s="102">
        <f>prodnorm83</f>
        <v>0</v>
      </c>
      <c r="N37" s="37">
        <f>dagwerk83</f>
        <v>0</v>
      </c>
      <c r="O37" s="99" t="s">
        <v>108</v>
      </c>
      <c r="P37" s="24">
        <f>uurtarief83</f>
        <v>0</v>
      </c>
      <c r="Q37" s="101" t="e">
        <f>IF(ISBLANK(M37),0,L37/ROUND(M37,4))</f>
        <v>#DIV/0!</v>
      </c>
      <c r="R37" s="101" t="e">
        <f>IF(ISBLANK(M37),0,Q37*ROUND(N37,2))</f>
        <v>#DIV/0!</v>
      </c>
      <c r="S37" s="24" t="e">
        <f>ROUND(P37,2)*Q37</f>
        <v>#DIV/0!</v>
      </c>
      <c r="T37" s="101" t="e">
        <f>Q37*dagenperjaar1</f>
        <v>#DIV/0!</v>
      </c>
      <c r="U37" s="25" t="e">
        <f>T37*ROUND(P37,2)</f>
        <v>#DIV/0!</v>
      </c>
    </row>
    <row r="38" spans="1:21" x14ac:dyDescent="0.2">
      <c r="A38" s="98" t="s">
        <v>344</v>
      </c>
      <c r="B38" s="99" t="s">
        <v>50</v>
      </c>
      <c r="C38" s="99" t="s">
        <v>345</v>
      </c>
      <c r="D38" s="99" t="s">
        <v>401</v>
      </c>
      <c r="E38" s="100" t="s">
        <v>380</v>
      </c>
      <c r="F38" s="99" t="s">
        <v>348</v>
      </c>
      <c r="G38" s="99" t="s">
        <v>287</v>
      </c>
      <c r="H38" s="99" t="s">
        <v>13</v>
      </c>
      <c r="I38" s="99" t="s">
        <v>246</v>
      </c>
      <c r="J38" s="99"/>
      <c r="K38" s="101">
        <v>2</v>
      </c>
      <c r="L38" s="101">
        <f>K38*VLOOKUP(H38,dagsoorttabel1,2,FALSE)</f>
        <v>1.5686274509803921</v>
      </c>
      <c r="M38" s="102">
        <f>prodnorm83</f>
        <v>0</v>
      </c>
      <c r="N38" s="37">
        <f>dagwerk83</f>
        <v>0</v>
      </c>
      <c r="O38" s="99" t="s">
        <v>108</v>
      </c>
      <c r="P38" s="24">
        <f>uurtarief83</f>
        <v>0</v>
      </c>
      <c r="Q38" s="101" t="e">
        <f>IF(ISBLANK(M38),0,L38/ROUND(M38,4))</f>
        <v>#DIV/0!</v>
      </c>
      <c r="R38" s="101" t="e">
        <f>IF(ISBLANK(M38),0,Q38*ROUND(N38,2))</f>
        <v>#DIV/0!</v>
      </c>
      <c r="S38" s="24" t="e">
        <f>ROUND(P38,2)*Q38</f>
        <v>#DIV/0!</v>
      </c>
      <c r="T38" s="101" t="e">
        <f>Q38*dagenperjaar1</f>
        <v>#DIV/0!</v>
      </c>
      <c r="U38" s="25" t="e">
        <f>T38*ROUND(P38,2)</f>
        <v>#DIV/0!</v>
      </c>
    </row>
    <row r="39" spans="1:21" x14ac:dyDescent="0.2">
      <c r="A39" s="103" t="s">
        <v>344</v>
      </c>
      <c r="B39" s="104" t="s">
        <v>50</v>
      </c>
      <c r="C39" s="104" t="s">
        <v>345</v>
      </c>
      <c r="D39" s="104" t="s">
        <v>402</v>
      </c>
      <c r="E39" s="105" t="s">
        <v>380</v>
      </c>
      <c r="F39" s="104" t="s">
        <v>348</v>
      </c>
      <c r="G39" s="104" t="s">
        <v>287</v>
      </c>
      <c r="H39" s="104" t="s">
        <v>13</v>
      </c>
      <c r="I39" s="104" t="s">
        <v>246</v>
      </c>
      <c r="J39" s="104"/>
      <c r="K39" s="106">
        <v>2</v>
      </c>
      <c r="L39" s="106">
        <f>K39*VLOOKUP(H39,dagsoorttabel1,2,FALSE)</f>
        <v>1.5686274509803921</v>
      </c>
      <c r="M39" s="107">
        <f>prodnorm83</f>
        <v>0</v>
      </c>
      <c r="N39" s="108">
        <f>dagwerk83</f>
        <v>0</v>
      </c>
      <c r="O39" s="104" t="s">
        <v>108</v>
      </c>
      <c r="P39" s="34">
        <f>uurtarief83</f>
        <v>0</v>
      </c>
      <c r="Q39" s="106" t="e">
        <f>IF(ISBLANK(M39),0,L39/ROUND(M39,4))</f>
        <v>#DIV/0!</v>
      </c>
      <c r="R39" s="106" t="e">
        <f>IF(ISBLANK(M39),0,Q39*ROUND(N39,2))</f>
        <v>#DIV/0!</v>
      </c>
      <c r="S39" s="34" t="e">
        <f>ROUND(P39,2)*Q39</f>
        <v>#DIV/0!</v>
      </c>
      <c r="T39" s="106" t="e">
        <f>Q39*dagenperjaar1</f>
        <v>#DIV/0!</v>
      </c>
      <c r="U39" s="35" t="e">
        <f>T39*ROUND(P39,2)</f>
        <v>#DIV/0!</v>
      </c>
    </row>
    <row r="40" spans="1:21" x14ac:dyDescent="0.2">
      <c r="A40" s="109" t="s">
        <v>403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81" t="e">
        <f>IF(_xlfn.SINGLE(object1_urenjaar1)&gt;0,_xlfn.SINGLE(object1_prijsjaar1)/_xlfn.SINGLE(object1_urenjaar1),0)</f>
        <v>#DIV/0!</v>
      </c>
      <c r="Q40" s="80" t="e">
        <f>SUM(Q5:Q39)</f>
        <v>#DIV/0!</v>
      </c>
      <c r="R40" s="80" t="e">
        <f>SUM(R5:R39)</f>
        <v>#DIV/0!</v>
      </c>
      <c r="S40" s="81" t="e">
        <f>SUM(S5:S39)</f>
        <v>#DIV/0!</v>
      </c>
      <c r="T40" s="80" t="e">
        <f>SUM(T5:T39)</f>
        <v>#DIV/0!</v>
      </c>
      <c r="U40" s="82" t="e">
        <f>SUM(U5:U39)</f>
        <v>#DIV/0!</v>
      </c>
    </row>
    <row r="41" spans="1:21" x14ac:dyDescent="0.2">
      <c r="A41" s="88" t="s">
        <v>404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77"/>
    </row>
    <row r="42" spans="1:21" x14ac:dyDescent="0.2">
      <c r="A42" s="90" t="s">
        <v>405</v>
      </c>
      <c r="B42" s="91" t="s">
        <v>50</v>
      </c>
      <c r="C42" s="91" t="s">
        <v>345</v>
      </c>
      <c r="D42" s="91" t="s">
        <v>50</v>
      </c>
      <c r="E42" s="92" t="s">
        <v>406</v>
      </c>
      <c r="F42" s="91" t="s">
        <v>50</v>
      </c>
      <c r="G42" s="91" t="s">
        <v>329</v>
      </c>
      <c r="H42" s="91" t="s">
        <v>10</v>
      </c>
      <c r="I42" s="91" t="s">
        <v>294</v>
      </c>
      <c r="J42" s="91"/>
      <c r="K42" s="93">
        <v>0</v>
      </c>
      <c r="L42" s="93">
        <f>K42*VLOOKUP(H42,dagsoorttabel1,2,FALSE)</f>
        <v>0</v>
      </c>
      <c r="M42" s="94"/>
      <c r="N42" s="110"/>
      <c r="O42" s="91" t="s">
        <v>296</v>
      </c>
      <c r="P42" s="96"/>
      <c r="Q42" s="93">
        <f>L42</f>
        <v>0</v>
      </c>
      <c r="R42" s="111"/>
      <c r="S42" s="96">
        <f>ROUND(P42,2)*Q42</f>
        <v>0</v>
      </c>
      <c r="T42" s="93">
        <f>Q42*dagenperjaar1</f>
        <v>0</v>
      </c>
      <c r="U42" s="97">
        <f>T42*ROUND(P42,2)</f>
        <v>0</v>
      </c>
    </row>
    <row r="43" spans="1:21" x14ac:dyDescent="0.2">
      <c r="A43" s="98" t="s">
        <v>405</v>
      </c>
      <c r="B43" s="99" t="s">
        <v>50</v>
      </c>
      <c r="C43" s="99" t="s">
        <v>345</v>
      </c>
      <c r="D43" s="99" t="s">
        <v>346</v>
      </c>
      <c r="E43" s="100" t="s">
        <v>407</v>
      </c>
      <c r="F43" s="99" t="s">
        <v>348</v>
      </c>
      <c r="G43" s="99" t="s">
        <v>283</v>
      </c>
      <c r="H43" s="99" t="s">
        <v>10</v>
      </c>
      <c r="I43" s="99" t="s">
        <v>246</v>
      </c>
      <c r="J43" s="99"/>
      <c r="K43" s="101">
        <v>46</v>
      </c>
      <c r="L43" s="101">
        <f>K43*VLOOKUP(H43,dagsoorttabel1,2,FALSE)</f>
        <v>46</v>
      </c>
      <c r="M43" s="102">
        <f>prodnorm81</f>
        <v>0</v>
      </c>
      <c r="N43" s="37">
        <f>dagwerk81</f>
        <v>0</v>
      </c>
      <c r="O43" s="99" t="s">
        <v>108</v>
      </c>
      <c r="P43" s="24">
        <f>uurtarief81</f>
        <v>0</v>
      </c>
      <c r="Q43" s="101" t="e">
        <f>IF(ISBLANK(M43),0,L43/ROUND(M43,4))</f>
        <v>#DIV/0!</v>
      </c>
      <c r="R43" s="101" t="e">
        <f>IF(ISBLANK(M43),0,Q43*ROUND(N43,2))</f>
        <v>#DIV/0!</v>
      </c>
      <c r="S43" s="24" t="e">
        <f>ROUND(P43,2)*Q43</f>
        <v>#DIV/0!</v>
      </c>
      <c r="T43" s="101" t="e">
        <f>Q43*dagenperjaar1</f>
        <v>#DIV/0!</v>
      </c>
      <c r="U43" s="25" t="e">
        <f>T43*ROUND(P43,2)</f>
        <v>#DIV/0!</v>
      </c>
    </row>
    <row r="44" spans="1:21" x14ac:dyDescent="0.2">
      <c r="A44" s="98" t="s">
        <v>405</v>
      </c>
      <c r="B44" s="99" t="s">
        <v>50</v>
      </c>
      <c r="C44" s="99" t="s">
        <v>345</v>
      </c>
      <c r="D44" s="99" t="s">
        <v>346</v>
      </c>
      <c r="E44" s="100" t="s">
        <v>407</v>
      </c>
      <c r="F44" s="99" t="s">
        <v>348</v>
      </c>
      <c r="G44" s="99" t="s">
        <v>285</v>
      </c>
      <c r="H44" s="99" t="s">
        <v>10</v>
      </c>
      <c r="I44" s="99" t="s">
        <v>246</v>
      </c>
      <c r="J44" s="99"/>
      <c r="K44" s="101">
        <v>46</v>
      </c>
      <c r="L44" s="101">
        <f>K44*VLOOKUP(H44,dagsoorttabel1,2,FALSE)</f>
        <v>46</v>
      </c>
      <c r="M44" s="102">
        <f>prodnorm82</f>
        <v>0</v>
      </c>
      <c r="N44" s="37">
        <f>dagwerk82</f>
        <v>0</v>
      </c>
      <c r="O44" s="99" t="s">
        <v>108</v>
      </c>
      <c r="P44" s="24">
        <f>uurtarief82</f>
        <v>0</v>
      </c>
      <c r="Q44" s="101" t="e">
        <f>IF(ISBLANK(M44),0,L44/ROUND(M44,4))</f>
        <v>#DIV/0!</v>
      </c>
      <c r="R44" s="101" t="e">
        <f>IF(ISBLANK(M44),0,Q44*ROUND(N44,2))</f>
        <v>#DIV/0!</v>
      </c>
      <c r="S44" s="24" t="e">
        <f>ROUND(P44,2)*Q44</f>
        <v>#DIV/0!</v>
      </c>
      <c r="T44" s="101" t="e">
        <f>Q44*dagenperjaar1</f>
        <v>#DIV/0!</v>
      </c>
      <c r="U44" s="25" t="e">
        <f>T44*ROUND(P44,2)</f>
        <v>#DIV/0!</v>
      </c>
    </row>
    <row r="45" spans="1:21" x14ac:dyDescent="0.2">
      <c r="A45" s="98" t="s">
        <v>405</v>
      </c>
      <c r="B45" s="99" t="s">
        <v>50</v>
      </c>
      <c r="C45" s="99" t="s">
        <v>345</v>
      </c>
      <c r="D45" s="99" t="s">
        <v>349</v>
      </c>
      <c r="E45" s="100" t="s">
        <v>408</v>
      </c>
      <c r="F45" s="99" t="s">
        <v>348</v>
      </c>
      <c r="G45" s="99" t="s">
        <v>287</v>
      </c>
      <c r="H45" s="99" t="s">
        <v>10</v>
      </c>
      <c r="I45" s="99" t="s">
        <v>246</v>
      </c>
      <c r="J45" s="99"/>
      <c r="K45" s="101">
        <v>7.2</v>
      </c>
      <c r="L45" s="101">
        <f>K45*VLOOKUP(H45,dagsoorttabel1,2,FALSE)</f>
        <v>7.2</v>
      </c>
      <c r="M45" s="102">
        <f>prodnorm84</f>
        <v>0</v>
      </c>
      <c r="N45" s="37">
        <f>dagwerk84</f>
        <v>0</v>
      </c>
      <c r="O45" s="99" t="s">
        <v>108</v>
      </c>
      <c r="P45" s="24">
        <f>uurtarief84</f>
        <v>0</v>
      </c>
      <c r="Q45" s="101" t="e">
        <f>IF(ISBLANK(M45),0,L45/ROUND(M45,4))</f>
        <v>#DIV/0!</v>
      </c>
      <c r="R45" s="101" t="e">
        <f>IF(ISBLANK(M45),0,Q45*ROUND(N45,2))</f>
        <v>#DIV/0!</v>
      </c>
      <c r="S45" s="24" t="e">
        <f>ROUND(P45,2)*Q45</f>
        <v>#DIV/0!</v>
      </c>
      <c r="T45" s="101" t="e">
        <f>Q45*dagenperjaar1</f>
        <v>#DIV/0!</v>
      </c>
      <c r="U45" s="25" t="e">
        <f>T45*ROUND(P45,2)</f>
        <v>#DIV/0!</v>
      </c>
    </row>
    <row r="46" spans="1:21" x14ac:dyDescent="0.2">
      <c r="A46" s="98" t="s">
        <v>405</v>
      </c>
      <c r="B46" s="99" t="s">
        <v>50</v>
      </c>
      <c r="C46" s="99" t="s">
        <v>345</v>
      </c>
      <c r="D46" s="99" t="s">
        <v>349</v>
      </c>
      <c r="E46" s="100" t="s">
        <v>408</v>
      </c>
      <c r="F46" s="99" t="s">
        <v>348</v>
      </c>
      <c r="G46" s="99" t="s">
        <v>289</v>
      </c>
      <c r="H46" s="99" t="s">
        <v>10</v>
      </c>
      <c r="I46" s="99" t="s">
        <v>246</v>
      </c>
      <c r="J46" s="99"/>
      <c r="K46" s="101">
        <v>7.2</v>
      </c>
      <c r="L46" s="101">
        <f>K46*VLOOKUP(H46,dagsoorttabel1,2,FALSE)</f>
        <v>7.2</v>
      </c>
      <c r="M46" s="102">
        <f>prodnorm85</f>
        <v>0</v>
      </c>
      <c r="N46" s="37">
        <f>dagwerk85</f>
        <v>0</v>
      </c>
      <c r="O46" s="99" t="s">
        <v>108</v>
      </c>
      <c r="P46" s="24">
        <f>uurtarief85</f>
        <v>0</v>
      </c>
      <c r="Q46" s="101" t="e">
        <f>IF(ISBLANK(M46),0,L46/ROUND(M46,4))</f>
        <v>#DIV/0!</v>
      </c>
      <c r="R46" s="101" t="e">
        <f>IF(ISBLANK(M46),0,Q46*ROUND(N46,2))</f>
        <v>#DIV/0!</v>
      </c>
      <c r="S46" s="24" t="e">
        <f>ROUND(P46,2)*Q46</f>
        <v>#DIV/0!</v>
      </c>
      <c r="T46" s="101" t="e">
        <f>Q46*dagenperjaar1</f>
        <v>#DIV/0!</v>
      </c>
      <c r="U46" s="25" t="e">
        <f>T46*ROUND(P46,2)</f>
        <v>#DIV/0!</v>
      </c>
    </row>
    <row r="47" spans="1:21" x14ac:dyDescent="0.2">
      <c r="A47" s="98" t="s">
        <v>405</v>
      </c>
      <c r="B47" s="99" t="s">
        <v>50</v>
      </c>
      <c r="C47" s="99" t="s">
        <v>345</v>
      </c>
      <c r="D47" s="99" t="s">
        <v>351</v>
      </c>
      <c r="E47" s="100" t="s">
        <v>408</v>
      </c>
      <c r="F47" s="99" t="s">
        <v>348</v>
      </c>
      <c r="G47" s="99" t="s">
        <v>287</v>
      </c>
      <c r="H47" s="99" t="s">
        <v>10</v>
      </c>
      <c r="I47" s="99" t="s">
        <v>246</v>
      </c>
      <c r="J47" s="99"/>
      <c r="K47" s="101">
        <v>7.2</v>
      </c>
      <c r="L47" s="101">
        <f>K47*VLOOKUP(H47,dagsoorttabel1,2,FALSE)</f>
        <v>7.2</v>
      </c>
      <c r="M47" s="102">
        <f>prodnorm84</f>
        <v>0</v>
      </c>
      <c r="N47" s="37">
        <f>dagwerk84</f>
        <v>0</v>
      </c>
      <c r="O47" s="99" t="s">
        <v>108</v>
      </c>
      <c r="P47" s="24">
        <f>uurtarief84</f>
        <v>0</v>
      </c>
      <c r="Q47" s="101" t="e">
        <f>IF(ISBLANK(M47),0,L47/ROUND(M47,4))</f>
        <v>#DIV/0!</v>
      </c>
      <c r="R47" s="101" t="e">
        <f>IF(ISBLANK(M47),0,Q47*ROUND(N47,2))</f>
        <v>#DIV/0!</v>
      </c>
      <c r="S47" s="24" t="e">
        <f>ROUND(P47,2)*Q47</f>
        <v>#DIV/0!</v>
      </c>
      <c r="T47" s="101" t="e">
        <f>Q47*dagenperjaar1</f>
        <v>#DIV/0!</v>
      </c>
      <c r="U47" s="25" t="e">
        <f>T47*ROUND(P47,2)</f>
        <v>#DIV/0!</v>
      </c>
    </row>
    <row r="48" spans="1:21" x14ac:dyDescent="0.2">
      <c r="A48" s="98" t="s">
        <v>405</v>
      </c>
      <c r="B48" s="99" t="s">
        <v>50</v>
      </c>
      <c r="C48" s="99" t="s">
        <v>345</v>
      </c>
      <c r="D48" s="99" t="s">
        <v>351</v>
      </c>
      <c r="E48" s="100" t="s">
        <v>408</v>
      </c>
      <c r="F48" s="99" t="s">
        <v>348</v>
      </c>
      <c r="G48" s="99" t="s">
        <v>289</v>
      </c>
      <c r="H48" s="99" t="s">
        <v>10</v>
      </c>
      <c r="I48" s="99" t="s">
        <v>246</v>
      </c>
      <c r="J48" s="99"/>
      <c r="K48" s="101">
        <v>7.2</v>
      </c>
      <c r="L48" s="101">
        <f>K48*VLOOKUP(H48,dagsoorttabel1,2,FALSE)</f>
        <v>7.2</v>
      </c>
      <c r="M48" s="102">
        <f>prodnorm85</f>
        <v>0</v>
      </c>
      <c r="N48" s="37">
        <f>dagwerk85</f>
        <v>0</v>
      </c>
      <c r="O48" s="99" t="s">
        <v>108</v>
      </c>
      <c r="P48" s="24">
        <f>uurtarief85</f>
        <v>0</v>
      </c>
      <c r="Q48" s="101" t="e">
        <f>IF(ISBLANK(M48),0,L48/ROUND(M48,4))</f>
        <v>#DIV/0!</v>
      </c>
      <c r="R48" s="101" t="e">
        <f>IF(ISBLANK(M48),0,Q48*ROUND(N48,2))</f>
        <v>#DIV/0!</v>
      </c>
      <c r="S48" s="24" t="e">
        <f>ROUND(P48,2)*Q48</f>
        <v>#DIV/0!</v>
      </c>
      <c r="T48" s="101" t="e">
        <f>Q48*dagenperjaar1</f>
        <v>#DIV/0!</v>
      </c>
      <c r="U48" s="25" t="e">
        <f>T48*ROUND(P48,2)</f>
        <v>#DIV/0!</v>
      </c>
    </row>
    <row r="49" spans="1:21" x14ac:dyDescent="0.2">
      <c r="A49" s="98" t="s">
        <v>405</v>
      </c>
      <c r="B49" s="99" t="s">
        <v>50</v>
      </c>
      <c r="C49" s="99" t="s">
        <v>345</v>
      </c>
      <c r="D49" s="99" t="s">
        <v>353</v>
      </c>
      <c r="E49" s="100" t="s">
        <v>407</v>
      </c>
      <c r="F49" s="99" t="s">
        <v>348</v>
      </c>
      <c r="G49" s="99" t="s">
        <v>283</v>
      </c>
      <c r="H49" s="99" t="s">
        <v>10</v>
      </c>
      <c r="I49" s="99" t="s">
        <v>246</v>
      </c>
      <c r="J49" s="99"/>
      <c r="K49" s="101">
        <v>48</v>
      </c>
      <c r="L49" s="101">
        <f>K49*VLOOKUP(H49,dagsoorttabel1,2,FALSE)</f>
        <v>48</v>
      </c>
      <c r="M49" s="102">
        <f>prodnorm81</f>
        <v>0</v>
      </c>
      <c r="N49" s="37">
        <f>dagwerk81</f>
        <v>0</v>
      </c>
      <c r="O49" s="99" t="s">
        <v>108</v>
      </c>
      <c r="P49" s="24">
        <f>uurtarief81</f>
        <v>0</v>
      </c>
      <c r="Q49" s="101" t="e">
        <f>IF(ISBLANK(M49),0,L49/ROUND(M49,4))</f>
        <v>#DIV/0!</v>
      </c>
      <c r="R49" s="101" t="e">
        <f>IF(ISBLANK(M49),0,Q49*ROUND(N49,2))</f>
        <v>#DIV/0!</v>
      </c>
      <c r="S49" s="24" t="e">
        <f>ROUND(P49,2)*Q49</f>
        <v>#DIV/0!</v>
      </c>
      <c r="T49" s="101" t="e">
        <f>Q49*dagenperjaar1</f>
        <v>#DIV/0!</v>
      </c>
      <c r="U49" s="25" t="e">
        <f>T49*ROUND(P49,2)</f>
        <v>#DIV/0!</v>
      </c>
    </row>
    <row r="50" spans="1:21" x14ac:dyDescent="0.2">
      <c r="A50" s="98" t="s">
        <v>405</v>
      </c>
      <c r="B50" s="99" t="s">
        <v>50</v>
      </c>
      <c r="C50" s="99" t="s">
        <v>345</v>
      </c>
      <c r="D50" s="99" t="s">
        <v>353</v>
      </c>
      <c r="E50" s="100" t="s">
        <v>407</v>
      </c>
      <c r="F50" s="99" t="s">
        <v>348</v>
      </c>
      <c r="G50" s="99" t="s">
        <v>285</v>
      </c>
      <c r="H50" s="99" t="s">
        <v>10</v>
      </c>
      <c r="I50" s="99" t="s">
        <v>246</v>
      </c>
      <c r="J50" s="99"/>
      <c r="K50" s="101">
        <v>48</v>
      </c>
      <c r="L50" s="101">
        <f>K50*VLOOKUP(H50,dagsoorttabel1,2,FALSE)</f>
        <v>48</v>
      </c>
      <c r="M50" s="102">
        <f>prodnorm82</f>
        <v>0</v>
      </c>
      <c r="N50" s="37">
        <f>dagwerk82</f>
        <v>0</v>
      </c>
      <c r="O50" s="99" t="s">
        <v>108</v>
      </c>
      <c r="P50" s="24">
        <f>uurtarief82</f>
        <v>0</v>
      </c>
      <c r="Q50" s="101" t="e">
        <f>IF(ISBLANK(M50),0,L50/ROUND(M50,4))</f>
        <v>#DIV/0!</v>
      </c>
      <c r="R50" s="101" t="e">
        <f>IF(ISBLANK(M50),0,Q50*ROUND(N50,2))</f>
        <v>#DIV/0!</v>
      </c>
      <c r="S50" s="24" t="e">
        <f>ROUND(P50,2)*Q50</f>
        <v>#DIV/0!</v>
      </c>
      <c r="T50" s="101" t="e">
        <f>Q50*dagenperjaar1</f>
        <v>#DIV/0!</v>
      </c>
      <c r="U50" s="25" t="e">
        <f>T50*ROUND(P50,2)</f>
        <v>#DIV/0!</v>
      </c>
    </row>
    <row r="51" spans="1:21" x14ac:dyDescent="0.2">
      <c r="A51" s="98" t="s">
        <v>405</v>
      </c>
      <c r="B51" s="99" t="s">
        <v>50</v>
      </c>
      <c r="C51" s="99" t="s">
        <v>345</v>
      </c>
      <c r="D51" s="99" t="s">
        <v>355</v>
      </c>
      <c r="E51" s="100" t="s">
        <v>366</v>
      </c>
      <c r="F51" s="99" t="s">
        <v>348</v>
      </c>
      <c r="G51" s="99" t="s">
        <v>283</v>
      </c>
      <c r="H51" s="99" t="s">
        <v>10</v>
      </c>
      <c r="I51" s="99" t="s">
        <v>246</v>
      </c>
      <c r="J51" s="99"/>
      <c r="K51" s="101">
        <v>96</v>
      </c>
      <c r="L51" s="101">
        <f>K51*VLOOKUP(H51,dagsoorttabel1,2,FALSE)</f>
        <v>96</v>
      </c>
      <c r="M51" s="102">
        <f>prodnorm81</f>
        <v>0</v>
      </c>
      <c r="N51" s="37">
        <f>dagwerk81</f>
        <v>0</v>
      </c>
      <c r="O51" s="99" t="s">
        <v>108</v>
      </c>
      <c r="P51" s="24">
        <f>uurtarief81</f>
        <v>0</v>
      </c>
      <c r="Q51" s="101" t="e">
        <f>IF(ISBLANK(M51),0,L51/ROUND(M51,4))</f>
        <v>#DIV/0!</v>
      </c>
      <c r="R51" s="101" t="e">
        <f>IF(ISBLANK(M51),0,Q51*ROUND(N51,2))</f>
        <v>#DIV/0!</v>
      </c>
      <c r="S51" s="24" t="e">
        <f>ROUND(P51,2)*Q51</f>
        <v>#DIV/0!</v>
      </c>
      <c r="T51" s="101" t="e">
        <f>Q51*dagenperjaar1</f>
        <v>#DIV/0!</v>
      </c>
      <c r="U51" s="25" t="e">
        <f>T51*ROUND(P51,2)</f>
        <v>#DIV/0!</v>
      </c>
    </row>
    <row r="52" spans="1:21" x14ac:dyDescent="0.2">
      <c r="A52" s="98" t="s">
        <v>405</v>
      </c>
      <c r="B52" s="99" t="s">
        <v>50</v>
      </c>
      <c r="C52" s="99" t="s">
        <v>345</v>
      </c>
      <c r="D52" s="99" t="s">
        <v>355</v>
      </c>
      <c r="E52" s="100" t="s">
        <v>366</v>
      </c>
      <c r="F52" s="99" t="s">
        <v>348</v>
      </c>
      <c r="G52" s="99" t="s">
        <v>285</v>
      </c>
      <c r="H52" s="99" t="s">
        <v>10</v>
      </c>
      <c r="I52" s="99" t="s">
        <v>246</v>
      </c>
      <c r="J52" s="99"/>
      <c r="K52" s="101">
        <v>96</v>
      </c>
      <c r="L52" s="101">
        <f>K52*VLOOKUP(H52,dagsoorttabel1,2,FALSE)</f>
        <v>96</v>
      </c>
      <c r="M52" s="102">
        <f>prodnorm82</f>
        <v>0</v>
      </c>
      <c r="N52" s="37">
        <f>dagwerk82</f>
        <v>0</v>
      </c>
      <c r="O52" s="99" t="s">
        <v>108</v>
      </c>
      <c r="P52" s="24">
        <f>uurtarief82</f>
        <v>0</v>
      </c>
      <c r="Q52" s="101" t="e">
        <f>IF(ISBLANK(M52),0,L52/ROUND(M52,4))</f>
        <v>#DIV/0!</v>
      </c>
      <c r="R52" s="101" t="e">
        <f>IF(ISBLANK(M52),0,Q52*ROUND(N52,2))</f>
        <v>#DIV/0!</v>
      </c>
      <c r="S52" s="24" t="e">
        <f>ROUND(P52,2)*Q52</f>
        <v>#DIV/0!</v>
      </c>
      <c r="T52" s="101" t="e">
        <f>Q52*dagenperjaar1</f>
        <v>#DIV/0!</v>
      </c>
      <c r="U52" s="25" t="e">
        <f>T52*ROUND(P52,2)</f>
        <v>#DIV/0!</v>
      </c>
    </row>
    <row r="53" spans="1:21" x14ac:dyDescent="0.2">
      <c r="A53" s="98" t="s">
        <v>405</v>
      </c>
      <c r="B53" s="99" t="s">
        <v>50</v>
      </c>
      <c r="C53" s="99" t="s">
        <v>345</v>
      </c>
      <c r="D53" s="99" t="s">
        <v>357</v>
      </c>
      <c r="E53" s="100" t="s">
        <v>354</v>
      </c>
      <c r="F53" s="99" t="s">
        <v>348</v>
      </c>
      <c r="G53" s="99" t="s">
        <v>283</v>
      </c>
      <c r="H53" s="99" t="s">
        <v>10</v>
      </c>
      <c r="I53" s="99" t="s">
        <v>246</v>
      </c>
      <c r="J53" s="99"/>
      <c r="K53" s="101">
        <v>21</v>
      </c>
      <c r="L53" s="101">
        <f>K53*VLOOKUP(H53,dagsoorttabel1,2,FALSE)</f>
        <v>21</v>
      </c>
      <c r="M53" s="102">
        <f>prodnorm81</f>
        <v>0</v>
      </c>
      <c r="N53" s="37">
        <f>dagwerk81</f>
        <v>0</v>
      </c>
      <c r="O53" s="99" t="s">
        <v>108</v>
      </c>
      <c r="P53" s="24">
        <f>uurtarief81</f>
        <v>0</v>
      </c>
      <c r="Q53" s="101" t="e">
        <f>IF(ISBLANK(M53),0,L53/ROUND(M53,4))</f>
        <v>#DIV/0!</v>
      </c>
      <c r="R53" s="101" t="e">
        <f>IF(ISBLANK(M53),0,Q53*ROUND(N53,2))</f>
        <v>#DIV/0!</v>
      </c>
      <c r="S53" s="24" t="e">
        <f>ROUND(P53,2)*Q53</f>
        <v>#DIV/0!</v>
      </c>
      <c r="T53" s="101" t="e">
        <f>Q53*dagenperjaar1</f>
        <v>#DIV/0!</v>
      </c>
      <c r="U53" s="25" t="e">
        <f>T53*ROUND(P53,2)</f>
        <v>#DIV/0!</v>
      </c>
    </row>
    <row r="54" spans="1:21" x14ac:dyDescent="0.2">
      <c r="A54" s="98" t="s">
        <v>405</v>
      </c>
      <c r="B54" s="99" t="s">
        <v>50</v>
      </c>
      <c r="C54" s="99" t="s">
        <v>345</v>
      </c>
      <c r="D54" s="99" t="s">
        <v>359</v>
      </c>
      <c r="E54" s="100" t="s">
        <v>356</v>
      </c>
      <c r="F54" s="99" t="s">
        <v>348</v>
      </c>
      <c r="G54" s="99" t="s">
        <v>283</v>
      </c>
      <c r="H54" s="99" t="s">
        <v>10</v>
      </c>
      <c r="I54" s="99" t="s">
        <v>246</v>
      </c>
      <c r="J54" s="99"/>
      <c r="K54" s="101">
        <v>21</v>
      </c>
      <c r="L54" s="101">
        <f>K54*VLOOKUP(H54,dagsoorttabel1,2,FALSE)</f>
        <v>21</v>
      </c>
      <c r="M54" s="102">
        <f>prodnorm81</f>
        <v>0</v>
      </c>
      <c r="N54" s="37">
        <f>dagwerk81</f>
        <v>0</v>
      </c>
      <c r="O54" s="99" t="s">
        <v>108</v>
      </c>
      <c r="P54" s="24">
        <f>uurtarief81</f>
        <v>0</v>
      </c>
      <c r="Q54" s="101" t="e">
        <f>IF(ISBLANK(M54),0,L54/ROUND(M54,4))</f>
        <v>#DIV/0!</v>
      </c>
      <c r="R54" s="101" t="e">
        <f>IF(ISBLANK(M54),0,Q54*ROUND(N54,2))</f>
        <v>#DIV/0!</v>
      </c>
      <c r="S54" s="24" t="e">
        <f>ROUND(P54,2)*Q54</f>
        <v>#DIV/0!</v>
      </c>
      <c r="T54" s="101" t="e">
        <f>Q54*dagenperjaar1</f>
        <v>#DIV/0!</v>
      </c>
      <c r="U54" s="25" t="e">
        <f>T54*ROUND(P54,2)</f>
        <v>#DIV/0!</v>
      </c>
    </row>
    <row r="55" spans="1:21" x14ac:dyDescent="0.2">
      <c r="A55" s="98" t="s">
        <v>405</v>
      </c>
      <c r="B55" s="99" t="s">
        <v>50</v>
      </c>
      <c r="C55" s="99" t="s">
        <v>345</v>
      </c>
      <c r="D55" s="99" t="s">
        <v>361</v>
      </c>
      <c r="E55" s="100" t="s">
        <v>358</v>
      </c>
      <c r="F55" s="99" t="s">
        <v>348</v>
      </c>
      <c r="G55" s="99" t="s">
        <v>283</v>
      </c>
      <c r="H55" s="99" t="s">
        <v>10</v>
      </c>
      <c r="I55" s="99" t="s">
        <v>246</v>
      </c>
      <c r="J55" s="99"/>
      <c r="K55" s="101">
        <v>21</v>
      </c>
      <c r="L55" s="101">
        <f>K55*VLOOKUP(H55,dagsoorttabel1,2,FALSE)</f>
        <v>21</v>
      </c>
      <c r="M55" s="102">
        <f>prodnorm81</f>
        <v>0</v>
      </c>
      <c r="N55" s="37">
        <f>dagwerk81</f>
        <v>0</v>
      </c>
      <c r="O55" s="99" t="s">
        <v>108</v>
      </c>
      <c r="P55" s="24">
        <f>uurtarief81</f>
        <v>0</v>
      </c>
      <c r="Q55" s="101" t="e">
        <f>IF(ISBLANK(M55),0,L55/ROUND(M55,4))</f>
        <v>#DIV/0!</v>
      </c>
      <c r="R55" s="101" t="e">
        <f>IF(ISBLANK(M55),0,Q55*ROUND(N55,2))</f>
        <v>#DIV/0!</v>
      </c>
      <c r="S55" s="24" t="e">
        <f>ROUND(P55,2)*Q55</f>
        <v>#DIV/0!</v>
      </c>
      <c r="T55" s="101" t="e">
        <f>Q55*dagenperjaar1</f>
        <v>#DIV/0!</v>
      </c>
      <c r="U55" s="25" t="e">
        <f>T55*ROUND(P55,2)</f>
        <v>#DIV/0!</v>
      </c>
    </row>
    <row r="56" spans="1:21" x14ac:dyDescent="0.2">
      <c r="A56" s="98" t="s">
        <v>405</v>
      </c>
      <c r="B56" s="99" t="s">
        <v>50</v>
      </c>
      <c r="C56" s="99" t="s">
        <v>345</v>
      </c>
      <c r="D56" s="99" t="s">
        <v>363</v>
      </c>
      <c r="E56" s="100" t="s">
        <v>360</v>
      </c>
      <c r="F56" s="99" t="s">
        <v>348</v>
      </c>
      <c r="G56" s="99" t="s">
        <v>283</v>
      </c>
      <c r="H56" s="99" t="s">
        <v>10</v>
      </c>
      <c r="I56" s="99" t="s">
        <v>246</v>
      </c>
      <c r="J56" s="99"/>
      <c r="K56" s="101">
        <v>21</v>
      </c>
      <c r="L56" s="101">
        <f>K56*VLOOKUP(H56,dagsoorttabel1,2,FALSE)</f>
        <v>21</v>
      </c>
      <c r="M56" s="102">
        <f>prodnorm81</f>
        <v>0</v>
      </c>
      <c r="N56" s="37">
        <f>dagwerk81</f>
        <v>0</v>
      </c>
      <c r="O56" s="99" t="s">
        <v>108</v>
      </c>
      <c r="P56" s="24">
        <f>uurtarief81</f>
        <v>0</v>
      </c>
      <c r="Q56" s="101" t="e">
        <f>IF(ISBLANK(M56),0,L56/ROUND(M56,4))</f>
        <v>#DIV/0!</v>
      </c>
      <c r="R56" s="101" t="e">
        <f>IF(ISBLANK(M56),0,Q56*ROUND(N56,2))</f>
        <v>#DIV/0!</v>
      </c>
      <c r="S56" s="24" t="e">
        <f>ROUND(P56,2)*Q56</f>
        <v>#DIV/0!</v>
      </c>
      <c r="T56" s="101" t="e">
        <f>Q56*dagenperjaar1</f>
        <v>#DIV/0!</v>
      </c>
      <c r="U56" s="25" t="e">
        <f>T56*ROUND(P56,2)</f>
        <v>#DIV/0!</v>
      </c>
    </row>
    <row r="57" spans="1:21" x14ac:dyDescent="0.2">
      <c r="A57" s="98" t="s">
        <v>405</v>
      </c>
      <c r="B57" s="99" t="s">
        <v>50</v>
      </c>
      <c r="C57" s="99" t="s">
        <v>345</v>
      </c>
      <c r="D57" s="99" t="s">
        <v>365</v>
      </c>
      <c r="E57" s="100" t="s">
        <v>409</v>
      </c>
      <c r="F57" s="99" t="s">
        <v>348</v>
      </c>
      <c r="G57" s="99" t="s">
        <v>277</v>
      </c>
      <c r="H57" s="99" t="s">
        <v>10</v>
      </c>
      <c r="I57" s="99" t="s">
        <v>246</v>
      </c>
      <c r="J57" s="99"/>
      <c r="K57" s="101">
        <v>15</v>
      </c>
      <c r="L57" s="101">
        <f>K57*VLOOKUP(H57,dagsoorttabel1,2,FALSE)</f>
        <v>15</v>
      </c>
      <c r="M57" s="102">
        <f>prodnorm75</f>
        <v>0</v>
      </c>
      <c r="N57" s="37">
        <f>dagwerk75</f>
        <v>0</v>
      </c>
      <c r="O57" s="99" t="s">
        <v>108</v>
      </c>
      <c r="P57" s="24">
        <f>uurtarief75</f>
        <v>0</v>
      </c>
      <c r="Q57" s="101" t="e">
        <f>IF(ISBLANK(M57),0,L57/ROUND(M57,4))</f>
        <v>#DIV/0!</v>
      </c>
      <c r="R57" s="101" t="e">
        <f>IF(ISBLANK(M57),0,Q57*ROUND(N57,2))</f>
        <v>#DIV/0!</v>
      </c>
      <c r="S57" s="24" t="e">
        <f>ROUND(P57,2)*Q57</f>
        <v>#DIV/0!</v>
      </c>
      <c r="T57" s="101" t="e">
        <f>Q57*dagenperjaar1</f>
        <v>#DIV/0!</v>
      </c>
      <c r="U57" s="25" t="e">
        <f>T57*ROUND(P57,2)</f>
        <v>#DIV/0!</v>
      </c>
    </row>
    <row r="58" spans="1:21" x14ac:dyDescent="0.2">
      <c r="A58" s="98" t="s">
        <v>405</v>
      </c>
      <c r="B58" s="99" t="s">
        <v>50</v>
      </c>
      <c r="C58" s="99" t="s">
        <v>345</v>
      </c>
      <c r="D58" s="99" t="s">
        <v>367</v>
      </c>
      <c r="E58" s="100" t="s">
        <v>410</v>
      </c>
      <c r="F58" s="99" t="s">
        <v>348</v>
      </c>
      <c r="G58" s="99" t="s">
        <v>281</v>
      </c>
      <c r="H58" s="99" t="s">
        <v>10</v>
      </c>
      <c r="I58" s="99" t="s">
        <v>246</v>
      </c>
      <c r="J58" s="99"/>
      <c r="K58" s="101">
        <v>50</v>
      </c>
      <c r="L58" s="101">
        <f>K58*VLOOKUP(H58,dagsoorttabel1,2,FALSE)</f>
        <v>50</v>
      </c>
      <c r="M58" s="102">
        <f>prodnorm79</f>
        <v>0</v>
      </c>
      <c r="N58" s="37">
        <f>dagwerk79</f>
        <v>0</v>
      </c>
      <c r="O58" s="99" t="s">
        <v>108</v>
      </c>
      <c r="P58" s="24">
        <f>uurtarief79</f>
        <v>0</v>
      </c>
      <c r="Q58" s="101" t="e">
        <f>IF(ISBLANK(M58),0,L58/ROUND(M58,4))</f>
        <v>#DIV/0!</v>
      </c>
      <c r="R58" s="101" t="e">
        <f>IF(ISBLANK(M58),0,Q58*ROUND(N58,2))</f>
        <v>#DIV/0!</v>
      </c>
      <c r="S58" s="24" t="e">
        <f>ROUND(P58,2)*Q58</f>
        <v>#DIV/0!</v>
      </c>
      <c r="T58" s="101" t="e">
        <f>Q58*dagenperjaar1</f>
        <v>#DIV/0!</v>
      </c>
      <c r="U58" s="25" t="e">
        <f>T58*ROUND(P58,2)</f>
        <v>#DIV/0!</v>
      </c>
    </row>
    <row r="59" spans="1:21" x14ac:dyDescent="0.2">
      <c r="A59" s="98" t="s">
        <v>405</v>
      </c>
      <c r="B59" s="99" t="s">
        <v>50</v>
      </c>
      <c r="C59" s="99" t="s">
        <v>345</v>
      </c>
      <c r="D59" s="99" t="s">
        <v>373</v>
      </c>
      <c r="E59" s="100" t="s">
        <v>411</v>
      </c>
      <c r="F59" s="99" t="s">
        <v>348</v>
      </c>
      <c r="G59" s="99" t="s">
        <v>291</v>
      </c>
      <c r="H59" s="99" t="s">
        <v>10</v>
      </c>
      <c r="I59" s="99" t="s">
        <v>246</v>
      </c>
      <c r="J59" s="99"/>
      <c r="K59" s="101">
        <v>81.25</v>
      </c>
      <c r="L59" s="101">
        <f>K59*VLOOKUP(H59,dagsoorttabel1,2,FALSE)</f>
        <v>81.25</v>
      </c>
      <c r="M59" s="102">
        <f>prodnorm87</f>
        <v>0</v>
      </c>
      <c r="N59" s="37">
        <f>dagwerk87</f>
        <v>0</v>
      </c>
      <c r="O59" s="99" t="s">
        <v>108</v>
      </c>
      <c r="P59" s="24">
        <f>uurtarief87</f>
        <v>0</v>
      </c>
      <c r="Q59" s="101" t="e">
        <f>IF(ISBLANK(M59),0,L59/ROUND(M59,4))</f>
        <v>#DIV/0!</v>
      </c>
      <c r="R59" s="101" t="e">
        <f>IF(ISBLANK(M59),0,Q59*ROUND(N59,2))</f>
        <v>#DIV/0!</v>
      </c>
      <c r="S59" s="24" t="e">
        <f>ROUND(P59,2)*Q59</f>
        <v>#DIV/0!</v>
      </c>
      <c r="T59" s="101" t="e">
        <f>Q59*dagenperjaar1</f>
        <v>#DIV/0!</v>
      </c>
      <c r="U59" s="25" t="e">
        <f>T59*ROUND(P59,2)</f>
        <v>#DIV/0!</v>
      </c>
    </row>
    <row r="60" spans="1:21" x14ac:dyDescent="0.2">
      <c r="A60" s="98" t="s">
        <v>405</v>
      </c>
      <c r="B60" s="99" t="s">
        <v>50</v>
      </c>
      <c r="C60" s="99" t="s">
        <v>345</v>
      </c>
      <c r="D60" s="99" t="s">
        <v>375</v>
      </c>
      <c r="E60" s="100" t="s">
        <v>412</v>
      </c>
      <c r="F60" s="99" t="s">
        <v>413</v>
      </c>
      <c r="G60" s="99" t="s">
        <v>253</v>
      </c>
      <c r="H60" s="99" t="s">
        <v>10</v>
      </c>
      <c r="I60" s="99" t="s">
        <v>246</v>
      </c>
      <c r="J60" s="99"/>
      <c r="K60" s="101">
        <v>10.5</v>
      </c>
      <c r="L60" s="101">
        <f>K60*VLOOKUP(H60,dagsoorttabel1,2,FALSE)</f>
        <v>10.5</v>
      </c>
      <c r="M60" s="102">
        <f>prodnorm44</f>
        <v>0</v>
      </c>
      <c r="N60" s="37">
        <f>dagwerk44</f>
        <v>0</v>
      </c>
      <c r="O60" s="99" t="s">
        <v>108</v>
      </c>
      <c r="P60" s="24">
        <f>uurtarief44</f>
        <v>0</v>
      </c>
      <c r="Q60" s="101" t="e">
        <f>IF(ISBLANK(M60),0,L60/ROUND(M60,4))</f>
        <v>#DIV/0!</v>
      </c>
      <c r="R60" s="101" t="e">
        <f>IF(ISBLANK(M60),0,Q60*ROUND(N60,2))</f>
        <v>#DIV/0!</v>
      </c>
      <c r="S60" s="24" t="e">
        <f>ROUND(P60,2)*Q60</f>
        <v>#DIV/0!</v>
      </c>
      <c r="T60" s="101" t="e">
        <f>Q60*dagenperjaar1</f>
        <v>#DIV/0!</v>
      </c>
      <c r="U60" s="25" t="e">
        <f>T60*ROUND(P60,2)</f>
        <v>#DIV/0!</v>
      </c>
    </row>
    <row r="61" spans="1:21" x14ac:dyDescent="0.2">
      <c r="A61" s="98" t="s">
        <v>405</v>
      </c>
      <c r="B61" s="99" t="s">
        <v>50</v>
      </c>
      <c r="C61" s="99" t="s">
        <v>345</v>
      </c>
      <c r="D61" s="99" t="s">
        <v>377</v>
      </c>
      <c r="E61" s="100" t="s">
        <v>391</v>
      </c>
      <c r="F61" s="99" t="s">
        <v>348</v>
      </c>
      <c r="G61" s="99" t="s">
        <v>277</v>
      </c>
      <c r="H61" s="99" t="s">
        <v>10</v>
      </c>
      <c r="I61" s="99" t="s">
        <v>246</v>
      </c>
      <c r="J61" s="99"/>
      <c r="K61" s="101">
        <v>157.5</v>
      </c>
      <c r="L61" s="101">
        <f>K61*VLOOKUP(H61,dagsoorttabel1,2,FALSE)</f>
        <v>157.5</v>
      </c>
      <c r="M61" s="102">
        <f>prodnorm75</f>
        <v>0</v>
      </c>
      <c r="N61" s="37">
        <f>dagwerk75</f>
        <v>0</v>
      </c>
      <c r="O61" s="99" t="s">
        <v>108</v>
      </c>
      <c r="P61" s="24">
        <f>uurtarief75</f>
        <v>0</v>
      </c>
      <c r="Q61" s="101" t="e">
        <f>IF(ISBLANK(M61),0,L61/ROUND(M61,4))</f>
        <v>#DIV/0!</v>
      </c>
      <c r="R61" s="101" t="e">
        <f>IF(ISBLANK(M61),0,Q61*ROUND(N61,2))</f>
        <v>#DIV/0!</v>
      </c>
      <c r="S61" s="24" t="e">
        <f>ROUND(P61,2)*Q61</f>
        <v>#DIV/0!</v>
      </c>
      <c r="T61" s="101" t="e">
        <f>Q61*dagenperjaar1</f>
        <v>#DIV/0!</v>
      </c>
      <c r="U61" s="25" t="e">
        <f>T61*ROUND(P61,2)</f>
        <v>#DIV/0!</v>
      </c>
    </row>
    <row r="62" spans="1:21" x14ac:dyDescent="0.2">
      <c r="A62" s="98" t="s">
        <v>405</v>
      </c>
      <c r="B62" s="99" t="s">
        <v>50</v>
      </c>
      <c r="C62" s="99" t="s">
        <v>345</v>
      </c>
      <c r="D62" s="99" t="s">
        <v>379</v>
      </c>
      <c r="E62" s="100" t="s">
        <v>414</v>
      </c>
      <c r="F62" s="99" t="s">
        <v>348</v>
      </c>
      <c r="G62" s="99" t="s">
        <v>277</v>
      </c>
      <c r="H62" s="99" t="s">
        <v>28</v>
      </c>
      <c r="I62" s="99" t="s">
        <v>246</v>
      </c>
      <c r="J62" s="99"/>
      <c r="K62" s="101">
        <v>30</v>
      </c>
      <c r="L62" s="101">
        <f>K62*VLOOKUP(H62,dagsoorttabel1,2,FALSE)</f>
        <v>0.23529411764705882</v>
      </c>
      <c r="M62" s="102">
        <f>prodnorm76</f>
        <v>0</v>
      </c>
      <c r="N62" s="37">
        <f>dagwerk76</f>
        <v>0</v>
      </c>
      <c r="O62" s="99" t="s">
        <v>108</v>
      </c>
      <c r="P62" s="24">
        <f>uurtarief76</f>
        <v>0</v>
      </c>
      <c r="Q62" s="101" t="e">
        <f>IF(ISBLANK(M62),0,L62/ROUND(M62,4))</f>
        <v>#DIV/0!</v>
      </c>
      <c r="R62" s="101" t="e">
        <f>IF(ISBLANK(M62),0,Q62*ROUND(N62,2))</f>
        <v>#DIV/0!</v>
      </c>
      <c r="S62" s="24" t="e">
        <f>ROUND(P62,2)*Q62</f>
        <v>#DIV/0!</v>
      </c>
      <c r="T62" s="101" t="e">
        <f>Q62*dagenperjaar1</f>
        <v>#DIV/0!</v>
      </c>
      <c r="U62" s="25" t="e">
        <f>T62*ROUND(P62,2)</f>
        <v>#DIV/0!</v>
      </c>
    </row>
    <row r="63" spans="1:21" x14ac:dyDescent="0.2">
      <c r="A63" s="103" t="s">
        <v>405</v>
      </c>
      <c r="B63" s="104" t="s">
        <v>50</v>
      </c>
      <c r="C63" s="104" t="s">
        <v>345</v>
      </c>
      <c r="D63" s="104" t="s">
        <v>381</v>
      </c>
      <c r="E63" s="105" t="s">
        <v>415</v>
      </c>
      <c r="F63" s="104" t="s">
        <v>348</v>
      </c>
      <c r="G63" s="104" t="s">
        <v>277</v>
      </c>
      <c r="H63" s="104" t="s">
        <v>10</v>
      </c>
      <c r="I63" s="104" t="s">
        <v>246</v>
      </c>
      <c r="J63" s="104"/>
      <c r="K63" s="106">
        <v>7.5</v>
      </c>
      <c r="L63" s="106">
        <f>K63*VLOOKUP(H63,dagsoorttabel1,2,FALSE)</f>
        <v>7.5</v>
      </c>
      <c r="M63" s="107">
        <f>prodnorm75</f>
        <v>0</v>
      </c>
      <c r="N63" s="108">
        <f>dagwerk75</f>
        <v>0</v>
      </c>
      <c r="O63" s="104" t="s">
        <v>108</v>
      </c>
      <c r="P63" s="34">
        <f>uurtarief75</f>
        <v>0</v>
      </c>
      <c r="Q63" s="106" t="e">
        <f>IF(ISBLANK(M63),0,L63/ROUND(M63,4))</f>
        <v>#DIV/0!</v>
      </c>
      <c r="R63" s="106" t="e">
        <f>IF(ISBLANK(M63),0,Q63*ROUND(N63,2))</f>
        <v>#DIV/0!</v>
      </c>
      <c r="S63" s="34" t="e">
        <f>ROUND(P63,2)*Q63</f>
        <v>#DIV/0!</v>
      </c>
      <c r="T63" s="106" t="e">
        <f>Q63*dagenperjaar1</f>
        <v>#DIV/0!</v>
      </c>
      <c r="U63" s="35" t="e">
        <f>T63*ROUND(P63,2)</f>
        <v>#DIV/0!</v>
      </c>
    </row>
    <row r="64" spans="1:21" x14ac:dyDescent="0.2">
      <c r="A64" s="109" t="s">
        <v>403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81" t="e">
        <f>IF(_xlfn.SINGLE(object2_urenjaar1)&gt;0,_xlfn.SINGLE(object2_prijsjaar1)/_xlfn.SINGLE(object2_urenjaar1),0)</f>
        <v>#DIV/0!</v>
      </c>
      <c r="Q64" s="80" t="e">
        <f>SUM(Q42:Q63)</f>
        <v>#DIV/0!</v>
      </c>
      <c r="R64" s="80" t="e">
        <f>SUM(R42:R63)</f>
        <v>#DIV/0!</v>
      </c>
      <c r="S64" s="81" t="e">
        <f>SUM(S42:S63)</f>
        <v>#DIV/0!</v>
      </c>
      <c r="T64" s="80" t="e">
        <f>SUM(T42:T63)</f>
        <v>#DIV/0!</v>
      </c>
      <c r="U64" s="82" t="e">
        <f>SUM(U42:U63)</f>
        <v>#DIV/0!</v>
      </c>
    </row>
    <row r="65" spans="1:21" x14ac:dyDescent="0.2">
      <c r="A65" s="88" t="s">
        <v>416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77"/>
    </row>
    <row r="66" spans="1:21" x14ac:dyDescent="0.2">
      <c r="A66" s="90" t="s">
        <v>417</v>
      </c>
      <c r="B66" s="91" t="s">
        <v>50</v>
      </c>
      <c r="C66" s="91" t="s">
        <v>345</v>
      </c>
      <c r="D66" s="91" t="s">
        <v>346</v>
      </c>
      <c r="E66" s="92" t="s">
        <v>418</v>
      </c>
      <c r="F66" s="91" t="s">
        <v>348</v>
      </c>
      <c r="G66" s="91" t="s">
        <v>253</v>
      </c>
      <c r="H66" s="91" t="s">
        <v>13</v>
      </c>
      <c r="I66" s="91" t="s">
        <v>246</v>
      </c>
      <c r="J66" s="91"/>
      <c r="K66" s="93">
        <v>34</v>
      </c>
      <c r="L66" s="93">
        <f>K66*VLOOKUP(H66,dagsoorttabel1,2,FALSE)</f>
        <v>26.666666666666668</v>
      </c>
      <c r="M66" s="94">
        <f>prodnorm42</f>
        <v>0</v>
      </c>
      <c r="N66" s="95">
        <f>dagwerk42</f>
        <v>0</v>
      </c>
      <c r="O66" s="91" t="s">
        <v>108</v>
      </c>
      <c r="P66" s="96">
        <f>uurtarief42</f>
        <v>0</v>
      </c>
      <c r="Q66" s="93" t="e">
        <f>IF(ISBLANK(M66),0,L66/ROUND(M66,4))</f>
        <v>#DIV/0!</v>
      </c>
      <c r="R66" s="93" t="e">
        <f>IF(ISBLANK(M66),0,Q66*ROUND(N66,2))</f>
        <v>#DIV/0!</v>
      </c>
      <c r="S66" s="96" t="e">
        <f>ROUND(P66,2)*Q66</f>
        <v>#DIV/0!</v>
      </c>
      <c r="T66" s="93" t="e">
        <f>Q66*dagenperjaar1</f>
        <v>#DIV/0!</v>
      </c>
      <c r="U66" s="97" t="e">
        <f>T66*ROUND(P66,2)</f>
        <v>#DIV/0!</v>
      </c>
    </row>
    <row r="67" spans="1:21" x14ac:dyDescent="0.2">
      <c r="A67" s="98" t="s">
        <v>417</v>
      </c>
      <c r="B67" s="99" t="s">
        <v>50</v>
      </c>
      <c r="C67" s="99" t="s">
        <v>345</v>
      </c>
      <c r="D67" s="99" t="s">
        <v>349</v>
      </c>
      <c r="E67" s="100" t="s">
        <v>419</v>
      </c>
      <c r="F67" s="99" t="s">
        <v>348</v>
      </c>
      <c r="G67" s="99" t="s">
        <v>277</v>
      </c>
      <c r="H67" s="99" t="s">
        <v>13</v>
      </c>
      <c r="I67" s="99" t="s">
        <v>246</v>
      </c>
      <c r="J67" s="99"/>
      <c r="K67" s="101">
        <v>181</v>
      </c>
      <c r="L67" s="101">
        <f>K67*VLOOKUP(H67,dagsoorttabel1,2,FALSE)</f>
        <v>141.9607843137255</v>
      </c>
      <c r="M67" s="102">
        <f>prodnorm73</f>
        <v>0</v>
      </c>
      <c r="N67" s="37">
        <f>dagwerk73</f>
        <v>0</v>
      </c>
      <c r="O67" s="99" t="s">
        <v>108</v>
      </c>
      <c r="P67" s="24">
        <f>uurtarief73</f>
        <v>0</v>
      </c>
      <c r="Q67" s="101" t="e">
        <f>IF(ISBLANK(M67),0,L67/ROUND(M67,4))</f>
        <v>#DIV/0!</v>
      </c>
      <c r="R67" s="101" t="e">
        <f>IF(ISBLANK(M67),0,Q67*ROUND(N67,2))</f>
        <v>#DIV/0!</v>
      </c>
      <c r="S67" s="24" t="e">
        <f>ROUND(P67,2)*Q67</f>
        <v>#DIV/0!</v>
      </c>
      <c r="T67" s="101" t="e">
        <f>Q67*dagenperjaar1</f>
        <v>#DIV/0!</v>
      </c>
      <c r="U67" s="25" t="e">
        <f>T67*ROUND(P67,2)</f>
        <v>#DIV/0!</v>
      </c>
    </row>
    <row r="68" spans="1:21" x14ac:dyDescent="0.2">
      <c r="A68" s="98" t="s">
        <v>417</v>
      </c>
      <c r="B68" s="99" t="s">
        <v>50</v>
      </c>
      <c r="C68" s="99" t="s">
        <v>345</v>
      </c>
      <c r="D68" s="99" t="s">
        <v>351</v>
      </c>
      <c r="E68" s="100" t="s">
        <v>420</v>
      </c>
      <c r="F68" s="99" t="s">
        <v>348</v>
      </c>
      <c r="G68" s="99" t="s">
        <v>270</v>
      </c>
      <c r="H68" s="99" t="s">
        <v>13</v>
      </c>
      <c r="I68" s="99" t="s">
        <v>246</v>
      </c>
      <c r="J68" s="99"/>
      <c r="K68" s="101">
        <v>9</v>
      </c>
      <c r="L68" s="101">
        <f>K68*VLOOKUP(H68,dagsoorttabel1,2,FALSE)</f>
        <v>7.0588235294117645</v>
      </c>
      <c r="M68" s="102">
        <f>prodnorm64</f>
        <v>0</v>
      </c>
      <c r="N68" s="37">
        <f>dagwerk64</f>
        <v>0</v>
      </c>
      <c r="O68" s="99" t="s">
        <v>108</v>
      </c>
      <c r="P68" s="24">
        <f>uurtarief64</f>
        <v>0</v>
      </c>
      <c r="Q68" s="101" t="e">
        <f>IF(ISBLANK(M68),0,L68/ROUND(M68,4))</f>
        <v>#DIV/0!</v>
      </c>
      <c r="R68" s="101" t="e">
        <f>IF(ISBLANK(M68),0,Q68*ROUND(N68,2))</f>
        <v>#DIV/0!</v>
      </c>
      <c r="S68" s="24" t="e">
        <f>ROUND(P68,2)*Q68</f>
        <v>#DIV/0!</v>
      </c>
      <c r="T68" s="101" t="e">
        <f>Q68*dagenperjaar1</f>
        <v>#DIV/0!</v>
      </c>
      <c r="U68" s="25" t="e">
        <f>T68*ROUND(P68,2)</f>
        <v>#DIV/0!</v>
      </c>
    </row>
    <row r="69" spans="1:21" x14ac:dyDescent="0.2">
      <c r="A69" s="98" t="s">
        <v>417</v>
      </c>
      <c r="B69" s="99" t="s">
        <v>50</v>
      </c>
      <c r="C69" s="99" t="s">
        <v>345</v>
      </c>
      <c r="D69" s="99" t="s">
        <v>353</v>
      </c>
      <c r="E69" s="100" t="s">
        <v>420</v>
      </c>
      <c r="F69" s="99" t="s">
        <v>348</v>
      </c>
      <c r="G69" s="99" t="s">
        <v>270</v>
      </c>
      <c r="H69" s="99" t="s">
        <v>13</v>
      </c>
      <c r="I69" s="99" t="s">
        <v>246</v>
      </c>
      <c r="J69" s="99"/>
      <c r="K69" s="101">
        <v>5</v>
      </c>
      <c r="L69" s="101">
        <f>K69*VLOOKUP(H69,dagsoorttabel1,2,FALSE)</f>
        <v>3.9215686274509802</v>
      </c>
      <c r="M69" s="102">
        <f>prodnorm64</f>
        <v>0</v>
      </c>
      <c r="N69" s="37">
        <f>dagwerk64</f>
        <v>0</v>
      </c>
      <c r="O69" s="99" t="s">
        <v>108</v>
      </c>
      <c r="P69" s="24">
        <f>uurtarief64</f>
        <v>0</v>
      </c>
      <c r="Q69" s="101" t="e">
        <f>IF(ISBLANK(M69),0,L69/ROUND(M69,4))</f>
        <v>#DIV/0!</v>
      </c>
      <c r="R69" s="101" t="e">
        <f>IF(ISBLANK(M69),0,Q69*ROUND(N69,2))</f>
        <v>#DIV/0!</v>
      </c>
      <c r="S69" s="24" t="e">
        <f>ROUND(P69,2)*Q69</f>
        <v>#DIV/0!</v>
      </c>
      <c r="T69" s="101" t="e">
        <f>Q69*dagenperjaar1</f>
        <v>#DIV/0!</v>
      </c>
      <c r="U69" s="25" t="e">
        <f>T69*ROUND(P69,2)</f>
        <v>#DIV/0!</v>
      </c>
    </row>
    <row r="70" spans="1:21" x14ac:dyDescent="0.2">
      <c r="A70" s="98" t="s">
        <v>417</v>
      </c>
      <c r="B70" s="99" t="s">
        <v>50</v>
      </c>
      <c r="C70" s="99" t="s">
        <v>345</v>
      </c>
      <c r="D70" s="99" t="s">
        <v>355</v>
      </c>
      <c r="E70" s="100" t="s">
        <v>420</v>
      </c>
      <c r="F70" s="99" t="s">
        <v>348</v>
      </c>
      <c r="G70" s="99" t="s">
        <v>270</v>
      </c>
      <c r="H70" s="99" t="s">
        <v>13</v>
      </c>
      <c r="I70" s="99" t="s">
        <v>246</v>
      </c>
      <c r="J70" s="99"/>
      <c r="K70" s="101">
        <v>11</v>
      </c>
      <c r="L70" s="101">
        <f>K70*VLOOKUP(H70,dagsoorttabel1,2,FALSE)</f>
        <v>8.6274509803921564</v>
      </c>
      <c r="M70" s="102">
        <f>prodnorm64</f>
        <v>0</v>
      </c>
      <c r="N70" s="37">
        <f>dagwerk64</f>
        <v>0</v>
      </c>
      <c r="O70" s="99" t="s">
        <v>108</v>
      </c>
      <c r="P70" s="24">
        <f>uurtarief64</f>
        <v>0</v>
      </c>
      <c r="Q70" s="101" t="e">
        <f>IF(ISBLANK(M70),0,L70/ROUND(M70,4))</f>
        <v>#DIV/0!</v>
      </c>
      <c r="R70" s="101" t="e">
        <f>IF(ISBLANK(M70),0,Q70*ROUND(N70,2))</f>
        <v>#DIV/0!</v>
      </c>
      <c r="S70" s="24" t="e">
        <f>ROUND(P70,2)*Q70</f>
        <v>#DIV/0!</v>
      </c>
      <c r="T70" s="101" t="e">
        <f>Q70*dagenperjaar1</f>
        <v>#DIV/0!</v>
      </c>
      <c r="U70" s="25" t="e">
        <f>T70*ROUND(P70,2)</f>
        <v>#DIV/0!</v>
      </c>
    </row>
    <row r="71" spans="1:21" x14ac:dyDescent="0.2">
      <c r="A71" s="98" t="s">
        <v>417</v>
      </c>
      <c r="B71" s="99" t="s">
        <v>50</v>
      </c>
      <c r="C71" s="99" t="s">
        <v>345</v>
      </c>
      <c r="D71" s="99" t="s">
        <v>357</v>
      </c>
      <c r="E71" s="100" t="s">
        <v>421</v>
      </c>
      <c r="F71" s="99" t="s">
        <v>348</v>
      </c>
      <c r="G71" s="99" t="s">
        <v>277</v>
      </c>
      <c r="H71" s="99" t="s">
        <v>13</v>
      </c>
      <c r="I71" s="99" t="s">
        <v>246</v>
      </c>
      <c r="J71" s="99"/>
      <c r="K71" s="101">
        <v>60</v>
      </c>
      <c r="L71" s="101">
        <f>K71*VLOOKUP(H71,dagsoorttabel1,2,FALSE)</f>
        <v>47.058823529411761</v>
      </c>
      <c r="M71" s="102">
        <f>prodnorm73</f>
        <v>0</v>
      </c>
      <c r="N71" s="37">
        <f>dagwerk73</f>
        <v>0</v>
      </c>
      <c r="O71" s="99" t="s">
        <v>108</v>
      </c>
      <c r="P71" s="24">
        <f>uurtarief73</f>
        <v>0</v>
      </c>
      <c r="Q71" s="101" t="e">
        <f>IF(ISBLANK(M71),0,L71/ROUND(M71,4))</f>
        <v>#DIV/0!</v>
      </c>
      <c r="R71" s="101" t="e">
        <f>IF(ISBLANK(M71),0,Q71*ROUND(N71,2))</f>
        <v>#DIV/0!</v>
      </c>
      <c r="S71" s="24" t="e">
        <f>ROUND(P71,2)*Q71</f>
        <v>#DIV/0!</v>
      </c>
      <c r="T71" s="101" t="e">
        <f>Q71*dagenperjaar1</f>
        <v>#DIV/0!</v>
      </c>
      <c r="U71" s="25" t="e">
        <f>T71*ROUND(P71,2)</f>
        <v>#DIV/0!</v>
      </c>
    </row>
    <row r="72" spans="1:21" x14ac:dyDescent="0.2">
      <c r="A72" s="98" t="s">
        <v>417</v>
      </c>
      <c r="B72" s="99" t="s">
        <v>50</v>
      </c>
      <c r="C72" s="99" t="s">
        <v>345</v>
      </c>
      <c r="D72" s="99" t="s">
        <v>359</v>
      </c>
      <c r="E72" s="100" t="s">
        <v>422</v>
      </c>
      <c r="F72" s="99" t="s">
        <v>423</v>
      </c>
      <c r="G72" s="99" t="s">
        <v>248</v>
      </c>
      <c r="H72" s="99" t="s">
        <v>13</v>
      </c>
      <c r="I72" s="99" t="s">
        <v>246</v>
      </c>
      <c r="J72" s="99"/>
      <c r="K72" s="101">
        <v>14</v>
      </c>
      <c r="L72" s="101">
        <f>K72*VLOOKUP(H72,dagsoorttabel1,2,FALSE)</f>
        <v>10.980392156862745</v>
      </c>
      <c r="M72" s="102">
        <f>prodnorm35</f>
        <v>0</v>
      </c>
      <c r="N72" s="37">
        <f>dagwerk35</f>
        <v>0</v>
      </c>
      <c r="O72" s="99" t="s">
        <v>108</v>
      </c>
      <c r="P72" s="24">
        <f>uurtarief35</f>
        <v>0</v>
      </c>
      <c r="Q72" s="101" t="e">
        <f>IF(ISBLANK(M72),0,L72/ROUND(M72,4))</f>
        <v>#DIV/0!</v>
      </c>
      <c r="R72" s="101" t="e">
        <f>IF(ISBLANK(M72),0,Q72*ROUND(N72,2))</f>
        <v>#DIV/0!</v>
      </c>
      <c r="S72" s="24" t="e">
        <f>ROUND(P72,2)*Q72</f>
        <v>#DIV/0!</v>
      </c>
      <c r="T72" s="101" t="e">
        <f>Q72*dagenperjaar1</f>
        <v>#DIV/0!</v>
      </c>
      <c r="U72" s="25" t="e">
        <f>T72*ROUND(P72,2)</f>
        <v>#DIV/0!</v>
      </c>
    </row>
    <row r="73" spans="1:21" x14ac:dyDescent="0.2">
      <c r="A73" s="98" t="s">
        <v>417</v>
      </c>
      <c r="B73" s="99" t="s">
        <v>50</v>
      </c>
      <c r="C73" s="99" t="s">
        <v>345</v>
      </c>
      <c r="D73" s="99" t="s">
        <v>361</v>
      </c>
      <c r="E73" s="100" t="s">
        <v>424</v>
      </c>
      <c r="F73" s="99" t="s">
        <v>423</v>
      </c>
      <c r="G73" s="99" t="s">
        <v>268</v>
      </c>
      <c r="H73" s="99" t="s">
        <v>13</v>
      </c>
      <c r="I73" s="99" t="s">
        <v>246</v>
      </c>
      <c r="J73" s="99"/>
      <c r="K73" s="101">
        <v>16</v>
      </c>
      <c r="L73" s="101">
        <f>K73*VLOOKUP(H73,dagsoorttabel1,2,FALSE)</f>
        <v>12.549019607843137</v>
      </c>
      <c r="M73" s="102">
        <f>prodnorm61</f>
        <v>0</v>
      </c>
      <c r="N73" s="37">
        <f>dagwerk61</f>
        <v>0</v>
      </c>
      <c r="O73" s="99" t="s">
        <v>108</v>
      </c>
      <c r="P73" s="24">
        <f>uurtarief61</f>
        <v>0</v>
      </c>
      <c r="Q73" s="101" t="e">
        <f>IF(ISBLANK(M73),0,L73/ROUND(M73,4))</f>
        <v>#DIV/0!</v>
      </c>
      <c r="R73" s="101" t="e">
        <f>IF(ISBLANK(M73),0,Q73*ROUND(N73,2))</f>
        <v>#DIV/0!</v>
      </c>
      <c r="S73" s="24" t="e">
        <f>ROUND(P73,2)*Q73</f>
        <v>#DIV/0!</v>
      </c>
      <c r="T73" s="101" t="e">
        <f>Q73*dagenperjaar1</f>
        <v>#DIV/0!</v>
      </c>
      <c r="U73" s="25" t="e">
        <f>T73*ROUND(P73,2)</f>
        <v>#DIV/0!</v>
      </c>
    </row>
    <row r="74" spans="1:21" x14ac:dyDescent="0.2">
      <c r="A74" s="98" t="s">
        <v>417</v>
      </c>
      <c r="B74" s="99" t="s">
        <v>50</v>
      </c>
      <c r="C74" s="99" t="s">
        <v>345</v>
      </c>
      <c r="D74" s="99" t="s">
        <v>363</v>
      </c>
      <c r="E74" s="100" t="s">
        <v>425</v>
      </c>
      <c r="F74" s="99" t="s">
        <v>423</v>
      </c>
      <c r="G74" s="99" t="s">
        <v>277</v>
      </c>
      <c r="H74" s="99" t="s">
        <v>13</v>
      </c>
      <c r="I74" s="99" t="s">
        <v>246</v>
      </c>
      <c r="J74" s="99"/>
      <c r="K74" s="101">
        <v>6.5</v>
      </c>
      <c r="L74" s="101">
        <f>K74*VLOOKUP(H74,dagsoorttabel1,2,FALSE)</f>
        <v>5.0980392156862742</v>
      </c>
      <c r="M74" s="102">
        <f>prodnorm73</f>
        <v>0</v>
      </c>
      <c r="N74" s="37">
        <f>dagwerk73</f>
        <v>0</v>
      </c>
      <c r="O74" s="99" t="s">
        <v>108</v>
      </c>
      <c r="P74" s="24">
        <f>uurtarief73</f>
        <v>0</v>
      </c>
      <c r="Q74" s="101" t="e">
        <f>IF(ISBLANK(M74),0,L74/ROUND(M74,4))</f>
        <v>#DIV/0!</v>
      </c>
      <c r="R74" s="101" t="e">
        <f>IF(ISBLANK(M74),0,Q74*ROUND(N74,2))</f>
        <v>#DIV/0!</v>
      </c>
      <c r="S74" s="24" t="e">
        <f>ROUND(P74,2)*Q74</f>
        <v>#DIV/0!</v>
      </c>
      <c r="T74" s="101" t="e">
        <f>Q74*dagenperjaar1</f>
        <v>#DIV/0!</v>
      </c>
      <c r="U74" s="25" t="e">
        <f>T74*ROUND(P74,2)</f>
        <v>#DIV/0!</v>
      </c>
    </row>
    <row r="75" spans="1:21" x14ac:dyDescent="0.2">
      <c r="A75" s="98" t="s">
        <v>417</v>
      </c>
      <c r="B75" s="99" t="s">
        <v>50</v>
      </c>
      <c r="C75" s="99" t="s">
        <v>345</v>
      </c>
      <c r="D75" s="99" t="s">
        <v>365</v>
      </c>
      <c r="E75" s="100" t="s">
        <v>420</v>
      </c>
      <c r="F75" s="99" t="s">
        <v>348</v>
      </c>
      <c r="G75" s="99" t="s">
        <v>270</v>
      </c>
      <c r="H75" s="99" t="s">
        <v>13</v>
      </c>
      <c r="I75" s="99" t="s">
        <v>246</v>
      </c>
      <c r="J75" s="99"/>
      <c r="K75" s="101">
        <v>1</v>
      </c>
      <c r="L75" s="101">
        <f>K75*VLOOKUP(H75,dagsoorttabel1,2,FALSE)</f>
        <v>0.78431372549019607</v>
      </c>
      <c r="M75" s="102">
        <f>prodnorm64</f>
        <v>0</v>
      </c>
      <c r="N75" s="37">
        <f>dagwerk64</f>
        <v>0</v>
      </c>
      <c r="O75" s="99" t="s">
        <v>108</v>
      </c>
      <c r="P75" s="24">
        <f>uurtarief64</f>
        <v>0</v>
      </c>
      <c r="Q75" s="101" t="e">
        <f>IF(ISBLANK(M75),0,L75/ROUND(M75,4))</f>
        <v>#DIV/0!</v>
      </c>
      <c r="R75" s="101" t="e">
        <f>IF(ISBLANK(M75),0,Q75*ROUND(N75,2))</f>
        <v>#DIV/0!</v>
      </c>
      <c r="S75" s="24" t="e">
        <f>ROUND(P75,2)*Q75</f>
        <v>#DIV/0!</v>
      </c>
      <c r="T75" s="101" t="e">
        <f>Q75*dagenperjaar1</f>
        <v>#DIV/0!</v>
      </c>
      <c r="U75" s="25" t="e">
        <f>T75*ROUND(P75,2)</f>
        <v>#DIV/0!</v>
      </c>
    </row>
    <row r="76" spans="1:21" x14ac:dyDescent="0.2">
      <c r="A76" s="98" t="s">
        <v>417</v>
      </c>
      <c r="B76" s="99" t="s">
        <v>50</v>
      </c>
      <c r="C76" s="99" t="s">
        <v>345</v>
      </c>
      <c r="D76" s="99" t="s">
        <v>367</v>
      </c>
      <c r="E76" s="100" t="s">
        <v>426</v>
      </c>
      <c r="F76" s="99" t="s">
        <v>348</v>
      </c>
      <c r="G76" s="99" t="s">
        <v>262</v>
      </c>
      <c r="H76" s="99" t="s">
        <v>13</v>
      </c>
      <c r="I76" s="99" t="s">
        <v>246</v>
      </c>
      <c r="J76" s="99"/>
      <c r="K76" s="101">
        <v>10</v>
      </c>
      <c r="L76" s="101">
        <f>K76*VLOOKUP(H76,dagsoorttabel1,2,FALSE)</f>
        <v>7.8431372549019605</v>
      </c>
      <c r="M76" s="102">
        <f>prodnorm57</f>
        <v>0</v>
      </c>
      <c r="N76" s="37">
        <f>dagwerk57</f>
        <v>0</v>
      </c>
      <c r="O76" s="99" t="s">
        <v>108</v>
      </c>
      <c r="P76" s="24">
        <f>uurtarief57</f>
        <v>0</v>
      </c>
      <c r="Q76" s="101" t="e">
        <f>IF(ISBLANK(M76),0,L76/ROUND(M76,4))</f>
        <v>#DIV/0!</v>
      </c>
      <c r="R76" s="101" t="e">
        <f>IF(ISBLANK(M76),0,Q76*ROUND(N76,2))</f>
        <v>#DIV/0!</v>
      </c>
      <c r="S76" s="24" t="e">
        <f>ROUND(P76,2)*Q76</f>
        <v>#DIV/0!</v>
      </c>
      <c r="T76" s="101" t="e">
        <f>Q76*dagenperjaar1</f>
        <v>#DIV/0!</v>
      </c>
      <c r="U76" s="25" t="e">
        <f>T76*ROUND(P76,2)</f>
        <v>#DIV/0!</v>
      </c>
    </row>
    <row r="77" spans="1:21" x14ac:dyDescent="0.2">
      <c r="A77" s="98" t="s">
        <v>417</v>
      </c>
      <c r="B77" s="99" t="s">
        <v>50</v>
      </c>
      <c r="C77" s="99" t="s">
        <v>345</v>
      </c>
      <c r="D77" s="99" t="s">
        <v>369</v>
      </c>
      <c r="E77" s="100" t="s">
        <v>427</v>
      </c>
      <c r="F77" s="99" t="s">
        <v>348</v>
      </c>
      <c r="G77" s="99" t="s">
        <v>251</v>
      </c>
      <c r="H77" s="99" t="s">
        <v>13</v>
      </c>
      <c r="I77" s="99" t="s">
        <v>246</v>
      </c>
      <c r="J77" s="99"/>
      <c r="K77" s="101">
        <v>4.5</v>
      </c>
      <c r="L77" s="101">
        <f>K77*VLOOKUP(H77,dagsoorttabel1,2,FALSE)</f>
        <v>3.5294117647058822</v>
      </c>
      <c r="M77" s="102">
        <f>prodnorm39</f>
        <v>0</v>
      </c>
      <c r="N77" s="37">
        <f>dagwerk39</f>
        <v>0</v>
      </c>
      <c r="O77" s="99" t="s">
        <v>108</v>
      </c>
      <c r="P77" s="24">
        <f>uurtarief39</f>
        <v>0</v>
      </c>
      <c r="Q77" s="101" t="e">
        <f>IF(ISBLANK(M77),0,L77/ROUND(M77,4))</f>
        <v>#DIV/0!</v>
      </c>
      <c r="R77" s="101" t="e">
        <f>IF(ISBLANK(M77),0,Q77*ROUND(N77,2))</f>
        <v>#DIV/0!</v>
      </c>
      <c r="S77" s="24" t="e">
        <f>ROUND(P77,2)*Q77</f>
        <v>#DIV/0!</v>
      </c>
      <c r="T77" s="101" t="e">
        <f>Q77*dagenperjaar1</f>
        <v>#DIV/0!</v>
      </c>
      <c r="U77" s="25" t="e">
        <f>T77*ROUND(P77,2)</f>
        <v>#DIV/0!</v>
      </c>
    </row>
    <row r="78" spans="1:21" x14ac:dyDescent="0.2">
      <c r="A78" s="98" t="s">
        <v>417</v>
      </c>
      <c r="B78" s="99" t="s">
        <v>50</v>
      </c>
      <c r="C78" s="99" t="s">
        <v>345</v>
      </c>
      <c r="D78" s="99" t="s">
        <v>371</v>
      </c>
      <c r="E78" s="100" t="s">
        <v>420</v>
      </c>
      <c r="F78" s="99" t="s">
        <v>348</v>
      </c>
      <c r="G78" s="99" t="s">
        <v>270</v>
      </c>
      <c r="H78" s="99" t="s">
        <v>13</v>
      </c>
      <c r="I78" s="99" t="s">
        <v>246</v>
      </c>
      <c r="J78" s="99"/>
      <c r="K78" s="101">
        <v>1</v>
      </c>
      <c r="L78" s="101">
        <f>K78*VLOOKUP(H78,dagsoorttabel1,2,FALSE)</f>
        <v>0.78431372549019607</v>
      </c>
      <c r="M78" s="102">
        <f>prodnorm64</f>
        <v>0</v>
      </c>
      <c r="N78" s="37">
        <f>dagwerk64</f>
        <v>0</v>
      </c>
      <c r="O78" s="99" t="s">
        <v>108</v>
      </c>
      <c r="P78" s="24">
        <f>uurtarief64</f>
        <v>0</v>
      </c>
      <c r="Q78" s="101" t="e">
        <f>IF(ISBLANK(M78),0,L78/ROUND(M78,4))</f>
        <v>#DIV/0!</v>
      </c>
      <c r="R78" s="101" t="e">
        <f>IF(ISBLANK(M78),0,Q78*ROUND(N78,2))</f>
        <v>#DIV/0!</v>
      </c>
      <c r="S78" s="24" t="e">
        <f>ROUND(P78,2)*Q78</f>
        <v>#DIV/0!</v>
      </c>
      <c r="T78" s="101" t="e">
        <f>Q78*dagenperjaar1</f>
        <v>#DIV/0!</v>
      </c>
      <c r="U78" s="25" t="e">
        <f>T78*ROUND(P78,2)</f>
        <v>#DIV/0!</v>
      </c>
    </row>
    <row r="79" spans="1:21" x14ac:dyDescent="0.2">
      <c r="A79" s="98" t="s">
        <v>417</v>
      </c>
      <c r="B79" s="99" t="s">
        <v>50</v>
      </c>
      <c r="C79" s="99" t="s">
        <v>345</v>
      </c>
      <c r="D79" s="99" t="s">
        <v>373</v>
      </c>
      <c r="E79" s="100" t="s">
        <v>420</v>
      </c>
      <c r="F79" s="99" t="s">
        <v>348</v>
      </c>
      <c r="G79" s="99" t="s">
        <v>270</v>
      </c>
      <c r="H79" s="99" t="s">
        <v>13</v>
      </c>
      <c r="I79" s="99" t="s">
        <v>246</v>
      </c>
      <c r="J79" s="99"/>
      <c r="K79" s="101">
        <v>1</v>
      </c>
      <c r="L79" s="101">
        <f>K79*VLOOKUP(H79,dagsoorttabel1,2,FALSE)</f>
        <v>0.78431372549019607</v>
      </c>
      <c r="M79" s="102">
        <f>prodnorm64</f>
        <v>0</v>
      </c>
      <c r="N79" s="37">
        <f>dagwerk64</f>
        <v>0</v>
      </c>
      <c r="O79" s="99" t="s">
        <v>108</v>
      </c>
      <c r="P79" s="24">
        <f>uurtarief64</f>
        <v>0</v>
      </c>
      <c r="Q79" s="101" t="e">
        <f>IF(ISBLANK(M79),0,L79/ROUND(M79,4))</f>
        <v>#DIV/0!</v>
      </c>
      <c r="R79" s="101" t="e">
        <f>IF(ISBLANK(M79),0,Q79*ROUND(N79,2))</f>
        <v>#DIV/0!</v>
      </c>
      <c r="S79" s="24" t="e">
        <f>ROUND(P79,2)*Q79</f>
        <v>#DIV/0!</v>
      </c>
      <c r="T79" s="101" t="e">
        <f>Q79*dagenperjaar1</f>
        <v>#DIV/0!</v>
      </c>
      <c r="U79" s="25" t="e">
        <f>T79*ROUND(P79,2)</f>
        <v>#DIV/0!</v>
      </c>
    </row>
    <row r="80" spans="1:21" x14ac:dyDescent="0.2">
      <c r="A80" s="98" t="s">
        <v>417</v>
      </c>
      <c r="B80" s="99" t="s">
        <v>50</v>
      </c>
      <c r="C80" s="99" t="s">
        <v>345</v>
      </c>
      <c r="D80" s="99" t="s">
        <v>375</v>
      </c>
      <c r="E80" s="100" t="s">
        <v>426</v>
      </c>
      <c r="F80" s="99" t="s">
        <v>348</v>
      </c>
      <c r="G80" s="99" t="s">
        <v>262</v>
      </c>
      <c r="H80" s="99" t="s">
        <v>13</v>
      </c>
      <c r="I80" s="99" t="s">
        <v>246</v>
      </c>
      <c r="J80" s="99"/>
      <c r="K80" s="101">
        <v>10</v>
      </c>
      <c r="L80" s="101">
        <f>K80*VLOOKUP(H80,dagsoorttabel1,2,FALSE)</f>
        <v>7.8431372549019605</v>
      </c>
      <c r="M80" s="102">
        <f>prodnorm57</f>
        <v>0</v>
      </c>
      <c r="N80" s="37">
        <f>dagwerk57</f>
        <v>0</v>
      </c>
      <c r="O80" s="99" t="s">
        <v>108</v>
      </c>
      <c r="P80" s="24">
        <f>uurtarief57</f>
        <v>0</v>
      </c>
      <c r="Q80" s="101" t="e">
        <f>IF(ISBLANK(M80),0,L80/ROUND(M80,4))</f>
        <v>#DIV/0!</v>
      </c>
      <c r="R80" s="101" t="e">
        <f>IF(ISBLANK(M80),0,Q80*ROUND(N80,2))</f>
        <v>#DIV/0!</v>
      </c>
      <c r="S80" s="24" t="e">
        <f>ROUND(P80,2)*Q80</f>
        <v>#DIV/0!</v>
      </c>
      <c r="T80" s="101" t="e">
        <f>Q80*dagenperjaar1</f>
        <v>#DIV/0!</v>
      </c>
      <c r="U80" s="25" t="e">
        <f>T80*ROUND(P80,2)</f>
        <v>#DIV/0!</v>
      </c>
    </row>
    <row r="81" spans="1:21" x14ac:dyDescent="0.2">
      <c r="A81" s="98" t="s">
        <v>417</v>
      </c>
      <c r="B81" s="99" t="s">
        <v>50</v>
      </c>
      <c r="C81" s="99" t="s">
        <v>345</v>
      </c>
      <c r="D81" s="99" t="s">
        <v>377</v>
      </c>
      <c r="E81" s="100" t="s">
        <v>427</v>
      </c>
      <c r="F81" s="99" t="s">
        <v>348</v>
      </c>
      <c r="G81" s="99" t="s">
        <v>251</v>
      </c>
      <c r="H81" s="99" t="s">
        <v>13</v>
      </c>
      <c r="I81" s="99" t="s">
        <v>246</v>
      </c>
      <c r="J81" s="99"/>
      <c r="K81" s="101">
        <v>4.5</v>
      </c>
      <c r="L81" s="101">
        <f>K81*VLOOKUP(H81,dagsoorttabel1,2,FALSE)</f>
        <v>3.5294117647058822</v>
      </c>
      <c r="M81" s="102">
        <f>prodnorm39</f>
        <v>0</v>
      </c>
      <c r="N81" s="37">
        <f>dagwerk39</f>
        <v>0</v>
      </c>
      <c r="O81" s="99" t="s">
        <v>108</v>
      </c>
      <c r="P81" s="24">
        <f>uurtarief39</f>
        <v>0</v>
      </c>
      <c r="Q81" s="101" t="e">
        <f>IF(ISBLANK(M81),0,L81/ROUND(M81,4))</f>
        <v>#DIV/0!</v>
      </c>
      <c r="R81" s="101" t="e">
        <f>IF(ISBLANK(M81),0,Q81*ROUND(N81,2))</f>
        <v>#DIV/0!</v>
      </c>
      <c r="S81" s="24" t="e">
        <f>ROUND(P81,2)*Q81</f>
        <v>#DIV/0!</v>
      </c>
      <c r="T81" s="101" t="e">
        <f>Q81*dagenperjaar1</f>
        <v>#DIV/0!</v>
      </c>
      <c r="U81" s="25" t="e">
        <f>T81*ROUND(P81,2)</f>
        <v>#DIV/0!</v>
      </c>
    </row>
    <row r="82" spans="1:21" x14ac:dyDescent="0.2">
      <c r="A82" s="98" t="s">
        <v>417</v>
      </c>
      <c r="B82" s="99" t="s">
        <v>50</v>
      </c>
      <c r="C82" s="99" t="s">
        <v>345</v>
      </c>
      <c r="D82" s="99" t="s">
        <v>379</v>
      </c>
      <c r="E82" s="100" t="s">
        <v>428</v>
      </c>
      <c r="F82" s="99" t="s">
        <v>348</v>
      </c>
      <c r="G82" s="99" t="s">
        <v>264</v>
      </c>
      <c r="H82" s="99" t="s">
        <v>13</v>
      </c>
      <c r="I82" s="99" t="s">
        <v>246</v>
      </c>
      <c r="J82" s="99"/>
      <c r="K82" s="101">
        <v>56</v>
      </c>
      <c r="L82" s="101">
        <f>K82*VLOOKUP(H82,dagsoorttabel1,2,FALSE)</f>
        <v>43.921568627450981</v>
      </c>
      <c r="M82" s="102">
        <f>prodnorm59</f>
        <v>0</v>
      </c>
      <c r="N82" s="37">
        <f>dagwerk59</f>
        <v>0</v>
      </c>
      <c r="O82" s="99" t="s">
        <v>108</v>
      </c>
      <c r="P82" s="24">
        <f>uurtarief59</f>
        <v>0</v>
      </c>
      <c r="Q82" s="101" t="e">
        <f>IF(ISBLANK(M82),0,L82/ROUND(M82,4))</f>
        <v>#DIV/0!</v>
      </c>
      <c r="R82" s="101" t="e">
        <f>IF(ISBLANK(M82),0,Q82*ROUND(N82,2))</f>
        <v>#DIV/0!</v>
      </c>
      <c r="S82" s="24" t="e">
        <f>ROUND(P82,2)*Q82</f>
        <v>#DIV/0!</v>
      </c>
      <c r="T82" s="101" t="e">
        <f>Q82*dagenperjaar1</f>
        <v>#DIV/0!</v>
      </c>
      <c r="U82" s="25" t="e">
        <f>T82*ROUND(P82,2)</f>
        <v>#DIV/0!</v>
      </c>
    </row>
    <row r="83" spans="1:21" x14ac:dyDescent="0.2">
      <c r="A83" s="98" t="s">
        <v>417</v>
      </c>
      <c r="B83" s="99" t="s">
        <v>50</v>
      </c>
      <c r="C83" s="99" t="s">
        <v>345</v>
      </c>
      <c r="D83" s="99" t="s">
        <v>381</v>
      </c>
      <c r="E83" s="100" t="s">
        <v>428</v>
      </c>
      <c r="F83" s="99" t="s">
        <v>348</v>
      </c>
      <c r="G83" s="99" t="s">
        <v>264</v>
      </c>
      <c r="H83" s="99" t="s">
        <v>13</v>
      </c>
      <c r="I83" s="99" t="s">
        <v>246</v>
      </c>
      <c r="J83" s="99"/>
      <c r="K83" s="101">
        <v>56</v>
      </c>
      <c r="L83" s="101">
        <f>K83*VLOOKUP(H83,dagsoorttabel1,2,FALSE)</f>
        <v>43.921568627450981</v>
      </c>
      <c r="M83" s="102">
        <f>prodnorm59</f>
        <v>0</v>
      </c>
      <c r="N83" s="37">
        <f>dagwerk59</f>
        <v>0</v>
      </c>
      <c r="O83" s="99" t="s">
        <v>108</v>
      </c>
      <c r="P83" s="24">
        <f>uurtarief59</f>
        <v>0</v>
      </c>
      <c r="Q83" s="101" t="e">
        <f>IF(ISBLANK(M83),0,L83/ROUND(M83,4))</f>
        <v>#DIV/0!</v>
      </c>
      <c r="R83" s="101" t="e">
        <f>IF(ISBLANK(M83),0,Q83*ROUND(N83,2))</f>
        <v>#DIV/0!</v>
      </c>
      <c r="S83" s="24" t="e">
        <f>ROUND(P83,2)*Q83</f>
        <v>#DIV/0!</v>
      </c>
      <c r="T83" s="101" t="e">
        <f>Q83*dagenperjaar1</f>
        <v>#DIV/0!</v>
      </c>
      <c r="U83" s="25" t="e">
        <f>T83*ROUND(P83,2)</f>
        <v>#DIV/0!</v>
      </c>
    </row>
    <row r="84" spans="1:21" x14ac:dyDescent="0.2">
      <c r="A84" s="98" t="s">
        <v>417</v>
      </c>
      <c r="B84" s="99" t="s">
        <v>50</v>
      </c>
      <c r="C84" s="99" t="s">
        <v>345</v>
      </c>
      <c r="D84" s="99" t="s">
        <v>382</v>
      </c>
      <c r="E84" s="100" t="s">
        <v>429</v>
      </c>
      <c r="F84" s="99" t="s">
        <v>348</v>
      </c>
      <c r="G84" s="99" t="s">
        <v>277</v>
      </c>
      <c r="H84" s="99" t="s">
        <v>13</v>
      </c>
      <c r="I84" s="99" t="s">
        <v>246</v>
      </c>
      <c r="J84" s="99"/>
      <c r="K84" s="101">
        <v>20</v>
      </c>
      <c r="L84" s="101">
        <f>K84*VLOOKUP(H84,dagsoorttabel1,2,FALSE)</f>
        <v>15.686274509803921</v>
      </c>
      <c r="M84" s="102">
        <f>prodnorm73</f>
        <v>0</v>
      </c>
      <c r="N84" s="37">
        <f>dagwerk73</f>
        <v>0</v>
      </c>
      <c r="O84" s="99" t="s">
        <v>108</v>
      </c>
      <c r="P84" s="24">
        <f>uurtarief73</f>
        <v>0</v>
      </c>
      <c r="Q84" s="101" t="e">
        <f>IF(ISBLANK(M84),0,L84/ROUND(M84,4))</f>
        <v>#DIV/0!</v>
      </c>
      <c r="R84" s="101" t="e">
        <f>IF(ISBLANK(M84),0,Q84*ROUND(N84,2))</f>
        <v>#DIV/0!</v>
      </c>
      <c r="S84" s="24" t="e">
        <f>ROUND(P84,2)*Q84</f>
        <v>#DIV/0!</v>
      </c>
      <c r="T84" s="101" t="e">
        <f>Q84*dagenperjaar1</f>
        <v>#DIV/0!</v>
      </c>
      <c r="U84" s="25" t="e">
        <f>T84*ROUND(P84,2)</f>
        <v>#DIV/0!</v>
      </c>
    </row>
    <row r="85" spans="1:21" x14ac:dyDescent="0.2">
      <c r="A85" s="98" t="s">
        <v>417</v>
      </c>
      <c r="B85" s="99" t="s">
        <v>50</v>
      </c>
      <c r="C85" s="99" t="s">
        <v>345</v>
      </c>
      <c r="D85" s="99" t="s">
        <v>383</v>
      </c>
      <c r="E85" s="100" t="s">
        <v>430</v>
      </c>
      <c r="F85" s="99" t="s">
        <v>431</v>
      </c>
      <c r="G85" s="99" t="s">
        <v>273</v>
      </c>
      <c r="H85" s="99" t="s">
        <v>13</v>
      </c>
      <c r="I85" s="99" t="s">
        <v>246</v>
      </c>
      <c r="J85" s="99"/>
      <c r="K85" s="101">
        <v>17</v>
      </c>
      <c r="L85" s="101">
        <f>K85*VLOOKUP(H85,dagsoorttabel1,2,FALSE)</f>
        <v>13.333333333333334</v>
      </c>
      <c r="M85" s="102">
        <f>prodnorm68</f>
        <v>0</v>
      </c>
      <c r="N85" s="37">
        <f>dagwerk68</f>
        <v>0</v>
      </c>
      <c r="O85" s="99" t="s">
        <v>108</v>
      </c>
      <c r="P85" s="24">
        <f>uurtarief68</f>
        <v>0</v>
      </c>
      <c r="Q85" s="101" t="e">
        <f>IF(ISBLANK(M85),0,L85/ROUND(M85,4))</f>
        <v>#DIV/0!</v>
      </c>
      <c r="R85" s="101" t="e">
        <f>IF(ISBLANK(M85),0,Q85*ROUND(N85,2))</f>
        <v>#DIV/0!</v>
      </c>
      <c r="S85" s="24" t="e">
        <f>ROUND(P85,2)*Q85</f>
        <v>#DIV/0!</v>
      </c>
      <c r="T85" s="101" t="e">
        <f>Q85*dagenperjaar1</f>
        <v>#DIV/0!</v>
      </c>
      <c r="U85" s="25" t="e">
        <f>T85*ROUND(P85,2)</f>
        <v>#DIV/0!</v>
      </c>
    </row>
    <row r="86" spans="1:21" x14ac:dyDescent="0.2">
      <c r="A86" s="98" t="s">
        <v>417</v>
      </c>
      <c r="B86" s="99" t="s">
        <v>50</v>
      </c>
      <c r="C86" s="99" t="s">
        <v>345</v>
      </c>
      <c r="D86" s="99" t="s">
        <v>384</v>
      </c>
      <c r="E86" s="100" t="s">
        <v>426</v>
      </c>
      <c r="F86" s="99" t="s">
        <v>348</v>
      </c>
      <c r="G86" s="99" t="s">
        <v>262</v>
      </c>
      <c r="H86" s="99" t="s">
        <v>13</v>
      </c>
      <c r="I86" s="99" t="s">
        <v>246</v>
      </c>
      <c r="J86" s="99"/>
      <c r="K86" s="101">
        <v>24.5</v>
      </c>
      <c r="L86" s="101">
        <f>K86*VLOOKUP(H86,dagsoorttabel1,2,FALSE)</f>
        <v>19.215686274509803</v>
      </c>
      <c r="M86" s="102">
        <f>prodnorm57</f>
        <v>0</v>
      </c>
      <c r="N86" s="37">
        <f>dagwerk57</f>
        <v>0</v>
      </c>
      <c r="O86" s="99" t="s">
        <v>108</v>
      </c>
      <c r="P86" s="24">
        <f>uurtarief57</f>
        <v>0</v>
      </c>
      <c r="Q86" s="101" t="e">
        <f>IF(ISBLANK(M86),0,L86/ROUND(M86,4))</f>
        <v>#DIV/0!</v>
      </c>
      <c r="R86" s="101" t="e">
        <f>IF(ISBLANK(M86),0,Q86*ROUND(N86,2))</f>
        <v>#DIV/0!</v>
      </c>
      <c r="S86" s="24" t="e">
        <f>ROUND(P86,2)*Q86</f>
        <v>#DIV/0!</v>
      </c>
      <c r="T86" s="101" t="e">
        <f>Q86*dagenperjaar1</f>
        <v>#DIV/0!</v>
      </c>
      <c r="U86" s="25" t="e">
        <f>T86*ROUND(P86,2)</f>
        <v>#DIV/0!</v>
      </c>
    </row>
    <row r="87" spans="1:21" x14ac:dyDescent="0.2">
      <c r="A87" s="98" t="s">
        <v>417</v>
      </c>
      <c r="B87" s="99" t="s">
        <v>50</v>
      </c>
      <c r="C87" s="99" t="s">
        <v>345</v>
      </c>
      <c r="D87" s="99" t="s">
        <v>385</v>
      </c>
      <c r="E87" s="100" t="s">
        <v>427</v>
      </c>
      <c r="F87" s="99" t="s">
        <v>348</v>
      </c>
      <c r="G87" s="99" t="s">
        <v>251</v>
      </c>
      <c r="H87" s="99" t="s">
        <v>13</v>
      </c>
      <c r="I87" s="99" t="s">
        <v>246</v>
      </c>
      <c r="J87" s="99"/>
      <c r="K87" s="101">
        <v>9</v>
      </c>
      <c r="L87" s="101">
        <f>K87*VLOOKUP(H87,dagsoorttabel1,2,FALSE)</f>
        <v>7.0588235294117645</v>
      </c>
      <c r="M87" s="102">
        <f>prodnorm39</f>
        <v>0</v>
      </c>
      <c r="N87" s="37">
        <f>dagwerk39</f>
        <v>0</v>
      </c>
      <c r="O87" s="99" t="s">
        <v>108</v>
      </c>
      <c r="P87" s="24">
        <f>uurtarief39</f>
        <v>0</v>
      </c>
      <c r="Q87" s="101" t="e">
        <f>IF(ISBLANK(M87),0,L87/ROUND(M87,4))</f>
        <v>#DIV/0!</v>
      </c>
      <c r="R87" s="101" t="e">
        <f>IF(ISBLANK(M87),0,Q87*ROUND(N87,2))</f>
        <v>#DIV/0!</v>
      </c>
      <c r="S87" s="24" t="e">
        <f>ROUND(P87,2)*Q87</f>
        <v>#DIV/0!</v>
      </c>
      <c r="T87" s="101" t="e">
        <f>Q87*dagenperjaar1</f>
        <v>#DIV/0!</v>
      </c>
      <c r="U87" s="25" t="e">
        <f>T87*ROUND(P87,2)</f>
        <v>#DIV/0!</v>
      </c>
    </row>
    <row r="88" spans="1:21" x14ac:dyDescent="0.2">
      <c r="A88" s="98" t="s">
        <v>417</v>
      </c>
      <c r="B88" s="99" t="s">
        <v>50</v>
      </c>
      <c r="C88" s="99" t="s">
        <v>345</v>
      </c>
      <c r="D88" s="99" t="s">
        <v>386</v>
      </c>
      <c r="E88" s="100" t="s">
        <v>426</v>
      </c>
      <c r="F88" s="99" t="s">
        <v>348</v>
      </c>
      <c r="G88" s="99" t="s">
        <v>262</v>
      </c>
      <c r="H88" s="99" t="s">
        <v>13</v>
      </c>
      <c r="I88" s="99" t="s">
        <v>246</v>
      </c>
      <c r="J88" s="99"/>
      <c r="K88" s="101">
        <v>14.5</v>
      </c>
      <c r="L88" s="101">
        <f>K88*VLOOKUP(H88,dagsoorttabel1,2,FALSE)</f>
        <v>11.372549019607844</v>
      </c>
      <c r="M88" s="102">
        <f>prodnorm57</f>
        <v>0</v>
      </c>
      <c r="N88" s="37">
        <f>dagwerk57</f>
        <v>0</v>
      </c>
      <c r="O88" s="99" t="s">
        <v>108</v>
      </c>
      <c r="P88" s="24">
        <f>uurtarief57</f>
        <v>0</v>
      </c>
      <c r="Q88" s="101" t="e">
        <f>IF(ISBLANK(M88),0,L88/ROUND(M88,4))</f>
        <v>#DIV/0!</v>
      </c>
      <c r="R88" s="101" t="e">
        <f>IF(ISBLANK(M88),0,Q88*ROUND(N88,2))</f>
        <v>#DIV/0!</v>
      </c>
      <c r="S88" s="24" t="e">
        <f>ROUND(P88,2)*Q88</f>
        <v>#DIV/0!</v>
      </c>
      <c r="T88" s="101" t="e">
        <f>Q88*dagenperjaar1</f>
        <v>#DIV/0!</v>
      </c>
      <c r="U88" s="25" t="e">
        <f>T88*ROUND(P88,2)</f>
        <v>#DIV/0!</v>
      </c>
    </row>
    <row r="89" spans="1:21" x14ac:dyDescent="0.2">
      <c r="A89" s="98" t="s">
        <v>417</v>
      </c>
      <c r="B89" s="99" t="s">
        <v>50</v>
      </c>
      <c r="C89" s="99" t="s">
        <v>345</v>
      </c>
      <c r="D89" s="99" t="s">
        <v>387</v>
      </c>
      <c r="E89" s="100" t="s">
        <v>427</v>
      </c>
      <c r="F89" s="99" t="s">
        <v>348</v>
      </c>
      <c r="G89" s="99" t="s">
        <v>251</v>
      </c>
      <c r="H89" s="99" t="s">
        <v>13</v>
      </c>
      <c r="I89" s="99" t="s">
        <v>246</v>
      </c>
      <c r="J89" s="99"/>
      <c r="K89" s="101">
        <v>9</v>
      </c>
      <c r="L89" s="101">
        <f>K89*VLOOKUP(H89,dagsoorttabel1,2,FALSE)</f>
        <v>7.0588235294117645</v>
      </c>
      <c r="M89" s="102">
        <f>prodnorm39</f>
        <v>0</v>
      </c>
      <c r="N89" s="37">
        <f>dagwerk39</f>
        <v>0</v>
      </c>
      <c r="O89" s="99" t="s">
        <v>108</v>
      </c>
      <c r="P89" s="24">
        <f>uurtarief39</f>
        <v>0</v>
      </c>
      <c r="Q89" s="101" t="e">
        <f>IF(ISBLANK(M89),0,L89/ROUND(M89,4))</f>
        <v>#DIV/0!</v>
      </c>
      <c r="R89" s="101" t="e">
        <f>IF(ISBLANK(M89),0,Q89*ROUND(N89,2))</f>
        <v>#DIV/0!</v>
      </c>
      <c r="S89" s="24" t="e">
        <f>ROUND(P89,2)*Q89</f>
        <v>#DIV/0!</v>
      </c>
      <c r="T89" s="101" t="e">
        <f>Q89*dagenperjaar1</f>
        <v>#DIV/0!</v>
      </c>
      <c r="U89" s="25" t="e">
        <f>T89*ROUND(P89,2)</f>
        <v>#DIV/0!</v>
      </c>
    </row>
    <row r="90" spans="1:21" x14ac:dyDescent="0.2">
      <c r="A90" s="98" t="s">
        <v>417</v>
      </c>
      <c r="B90" s="99" t="s">
        <v>50</v>
      </c>
      <c r="C90" s="99" t="s">
        <v>345</v>
      </c>
      <c r="D90" s="99" t="s">
        <v>388</v>
      </c>
      <c r="E90" s="100" t="s">
        <v>426</v>
      </c>
      <c r="F90" s="99" t="s">
        <v>348</v>
      </c>
      <c r="G90" s="99" t="s">
        <v>262</v>
      </c>
      <c r="H90" s="99" t="s">
        <v>13</v>
      </c>
      <c r="I90" s="99" t="s">
        <v>246</v>
      </c>
      <c r="J90" s="99"/>
      <c r="K90" s="101">
        <v>24.5</v>
      </c>
      <c r="L90" s="101">
        <f>K90*VLOOKUP(H90,dagsoorttabel1,2,FALSE)</f>
        <v>19.215686274509803</v>
      </c>
      <c r="M90" s="102">
        <f>prodnorm57</f>
        <v>0</v>
      </c>
      <c r="N90" s="37">
        <f>dagwerk57</f>
        <v>0</v>
      </c>
      <c r="O90" s="99" t="s">
        <v>108</v>
      </c>
      <c r="P90" s="24">
        <f>uurtarief57</f>
        <v>0</v>
      </c>
      <c r="Q90" s="101" t="e">
        <f>IF(ISBLANK(M90),0,L90/ROUND(M90,4))</f>
        <v>#DIV/0!</v>
      </c>
      <c r="R90" s="101" t="e">
        <f>IF(ISBLANK(M90),0,Q90*ROUND(N90,2))</f>
        <v>#DIV/0!</v>
      </c>
      <c r="S90" s="24" t="e">
        <f>ROUND(P90,2)*Q90</f>
        <v>#DIV/0!</v>
      </c>
      <c r="T90" s="101" t="e">
        <f>Q90*dagenperjaar1</f>
        <v>#DIV/0!</v>
      </c>
      <c r="U90" s="25" t="e">
        <f>T90*ROUND(P90,2)</f>
        <v>#DIV/0!</v>
      </c>
    </row>
    <row r="91" spans="1:21" x14ac:dyDescent="0.2">
      <c r="A91" s="98" t="s">
        <v>417</v>
      </c>
      <c r="B91" s="99" t="s">
        <v>50</v>
      </c>
      <c r="C91" s="99" t="s">
        <v>345</v>
      </c>
      <c r="D91" s="99" t="s">
        <v>389</v>
      </c>
      <c r="E91" s="100" t="s">
        <v>427</v>
      </c>
      <c r="F91" s="99" t="s">
        <v>348</v>
      </c>
      <c r="G91" s="99" t="s">
        <v>251</v>
      </c>
      <c r="H91" s="99" t="s">
        <v>13</v>
      </c>
      <c r="I91" s="99" t="s">
        <v>246</v>
      </c>
      <c r="J91" s="99"/>
      <c r="K91" s="101">
        <v>9</v>
      </c>
      <c r="L91" s="101">
        <f>K91*VLOOKUP(H91,dagsoorttabel1,2,FALSE)</f>
        <v>7.0588235294117645</v>
      </c>
      <c r="M91" s="102">
        <f>prodnorm39</f>
        <v>0</v>
      </c>
      <c r="N91" s="37">
        <f>dagwerk39</f>
        <v>0</v>
      </c>
      <c r="O91" s="99" t="s">
        <v>108</v>
      </c>
      <c r="P91" s="24">
        <f>uurtarief39</f>
        <v>0</v>
      </c>
      <c r="Q91" s="101" t="e">
        <f>IF(ISBLANK(M91),0,L91/ROUND(M91,4))</f>
        <v>#DIV/0!</v>
      </c>
      <c r="R91" s="101" t="e">
        <f>IF(ISBLANK(M91),0,Q91*ROUND(N91,2))</f>
        <v>#DIV/0!</v>
      </c>
      <c r="S91" s="24" t="e">
        <f>ROUND(P91,2)*Q91</f>
        <v>#DIV/0!</v>
      </c>
      <c r="T91" s="101" t="e">
        <f>Q91*dagenperjaar1</f>
        <v>#DIV/0!</v>
      </c>
      <c r="U91" s="25" t="e">
        <f>T91*ROUND(P91,2)</f>
        <v>#DIV/0!</v>
      </c>
    </row>
    <row r="92" spans="1:21" x14ac:dyDescent="0.2">
      <c r="A92" s="98" t="s">
        <v>417</v>
      </c>
      <c r="B92" s="99" t="s">
        <v>50</v>
      </c>
      <c r="C92" s="99" t="s">
        <v>345</v>
      </c>
      <c r="D92" s="99" t="s">
        <v>390</v>
      </c>
      <c r="E92" s="100" t="s">
        <v>426</v>
      </c>
      <c r="F92" s="99" t="s">
        <v>348</v>
      </c>
      <c r="G92" s="99" t="s">
        <v>262</v>
      </c>
      <c r="H92" s="99" t="s">
        <v>13</v>
      </c>
      <c r="I92" s="99" t="s">
        <v>246</v>
      </c>
      <c r="J92" s="99"/>
      <c r="K92" s="101">
        <v>11</v>
      </c>
      <c r="L92" s="101">
        <f>K92*VLOOKUP(H92,dagsoorttabel1,2,FALSE)</f>
        <v>8.6274509803921564</v>
      </c>
      <c r="M92" s="102">
        <f>prodnorm57</f>
        <v>0</v>
      </c>
      <c r="N92" s="37">
        <f>dagwerk57</f>
        <v>0</v>
      </c>
      <c r="O92" s="99" t="s">
        <v>108</v>
      </c>
      <c r="P92" s="24">
        <f>uurtarief57</f>
        <v>0</v>
      </c>
      <c r="Q92" s="101" t="e">
        <f>IF(ISBLANK(M92),0,L92/ROUND(M92,4))</f>
        <v>#DIV/0!</v>
      </c>
      <c r="R92" s="101" t="e">
        <f>IF(ISBLANK(M92),0,Q92*ROUND(N92,2))</f>
        <v>#DIV/0!</v>
      </c>
      <c r="S92" s="24" t="e">
        <f>ROUND(P92,2)*Q92</f>
        <v>#DIV/0!</v>
      </c>
      <c r="T92" s="101" t="e">
        <f>Q92*dagenperjaar1</f>
        <v>#DIV/0!</v>
      </c>
      <c r="U92" s="25" t="e">
        <f>T92*ROUND(P92,2)</f>
        <v>#DIV/0!</v>
      </c>
    </row>
    <row r="93" spans="1:21" x14ac:dyDescent="0.2">
      <c r="A93" s="98" t="s">
        <v>417</v>
      </c>
      <c r="B93" s="99" t="s">
        <v>50</v>
      </c>
      <c r="C93" s="99" t="s">
        <v>345</v>
      </c>
      <c r="D93" s="99" t="s">
        <v>392</v>
      </c>
      <c r="E93" s="100" t="s">
        <v>427</v>
      </c>
      <c r="F93" s="99" t="s">
        <v>348</v>
      </c>
      <c r="G93" s="99" t="s">
        <v>251</v>
      </c>
      <c r="H93" s="99" t="s">
        <v>13</v>
      </c>
      <c r="I93" s="99" t="s">
        <v>246</v>
      </c>
      <c r="J93" s="99"/>
      <c r="K93" s="101">
        <v>4</v>
      </c>
      <c r="L93" s="101">
        <f>K93*VLOOKUP(H93,dagsoorttabel1,2,FALSE)</f>
        <v>3.1372549019607843</v>
      </c>
      <c r="M93" s="102">
        <f>prodnorm39</f>
        <v>0</v>
      </c>
      <c r="N93" s="37">
        <f>dagwerk39</f>
        <v>0</v>
      </c>
      <c r="O93" s="99" t="s">
        <v>108</v>
      </c>
      <c r="P93" s="24">
        <f>uurtarief39</f>
        <v>0</v>
      </c>
      <c r="Q93" s="101" t="e">
        <f>IF(ISBLANK(M93),0,L93/ROUND(M93,4))</f>
        <v>#DIV/0!</v>
      </c>
      <c r="R93" s="101" t="e">
        <f>IF(ISBLANK(M93),0,Q93*ROUND(N93,2))</f>
        <v>#DIV/0!</v>
      </c>
      <c r="S93" s="24" t="e">
        <f>ROUND(P93,2)*Q93</f>
        <v>#DIV/0!</v>
      </c>
      <c r="T93" s="101" t="e">
        <f>Q93*dagenperjaar1</f>
        <v>#DIV/0!</v>
      </c>
      <c r="U93" s="25" t="e">
        <f>T93*ROUND(P93,2)</f>
        <v>#DIV/0!</v>
      </c>
    </row>
    <row r="94" spans="1:21" x14ac:dyDescent="0.2">
      <c r="A94" s="98" t="s">
        <v>417</v>
      </c>
      <c r="B94" s="99" t="s">
        <v>50</v>
      </c>
      <c r="C94" s="99" t="s">
        <v>345</v>
      </c>
      <c r="D94" s="99" t="s">
        <v>395</v>
      </c>
      <c r="E94" s="100" t="s">
        <v>426</v>
      </c>
      <c r="F94" s="99" t="s">
        <v>348</v>
      </c>
      <c r="G94" s="99" t="s">
        <v>262</v>
      </c>
      <c r="H94" s="99" t="s">
        <v>13</v>
      </c>
      <c r="I94" s="99" t="s">
        <v>246</v>
      </c>
      <c r="J94" s="99"/>
      <c r="K94" s="101">
        <v>11</v>
      </c>
      <c r="L94" s="101">
        <f>K94*VLOOKUP(H94,dagsoorttabel1,2,FALSE)</f>
        <v>8.6274509803921564</v>
      </c>
      <c r="M94" s="102">
        <f>prodnorm57</f>
        <v>0</v>
      </c>
      <c r="N94" s="37">
        <f>dagwerk57</f>
        <v>0</v>
      </c>
      <c r="O94" s="99" t="s">
        <v>108</v>
      </c>
      <c r="P94" s="24">
        <f>uurtarief57</f>
        <v>0</v>
      </c>
      <c r="Q94" s="101" t="e">
        <f>IF(ISBLANK(M94),0,L94/ROUND(M94,4))</f>
        <v>#DIV/0!</v>
      </c>
      <c r="R94" s="101" t="e">
        <f>IF(ISBLANK(M94),0,Q94*ROUND(N94,2))</f>
        <v>#DIV/0!</v>
      </c>
      <c r="S94" s="24" t="e">
        <f>ROUND(P94,2)*Q94</f>
        <v>#DIV/0!</v>
      </c>
      <c r="T94" s="101" t="e">
        <f>Q94*dagenperjaar1</f>
        <v>#DIV/0!</v>
      </c>
      <c r="U94" s="25" t="e">
        <f>T94*ROUND(P94,2)</f>
        <v>#DIV/0!</v>
      </c>
    </row>
    <row r="95" spans="1:21" x14ac:dyDescent="0.2">
      <c r="A95" s="98" t="s">
        <v>417</v>
      </c>
      <c r="B95" s="99" t="s">
        <v>50</v>
      </c>
      <c r="C95" s="99" t="s">
        <v>345</v>
      </c>
      <c r="D95" s="99" t="s">
        <v>398</v>
      </c>
      <c r="E95" s="100" t="s">
        <v>427</v>
      </c>
      <c r="F95" s="99" t="s">
        <v>348</v>
      </c>
      <c r="G95" s="99" t="s">
        <v>251</v>
      </c>
      <c r="H95" s="99" t="s">
        <v>13</v>
      </c>
      <c r="I95" s="99" t="s">
        <v>246</v>
      </c>
      <c r="J95" s="99"/>
      <c r="K95" s="101">
        <v>4</v>
      </c>
      <c r="L95" s="101">
        <f>K95*VLOOKUP(H95,dagsoorttabel1,2,FALSE)</f>
        <v>3.1372549019607843</v>
      </c>
      <c r="M95" s="102">
        <f>prodnorm39</f>
        <v>0</v>
      </c>
      <c r="N95" s="37">
        <f>dagwerk39</f>
        <v>0</v>
      </c>
      <c r="O95" s="99" t="s">
        <v>108</v>
      </c>
      <c r="P95" s="24">
        <f>uurtarief39</f>
        <v>0</v>
      </c>
      <c r="Q95" s="101" t="e">
        <f>IF(ISBLANK(M95),0,L95/ROUND(M95,4))</f>
        <v>#DIV/0!</v>
      </c>
      <c r="R95" s="101" t="e">
        <f>IF(ISBLANK(M95),0,Q95*ROUND(N95,2))</f>
        <v>#DIV/0!</v>
      </c>
      <c r="S95" s="24" t="e">
        <f>ROUND(P95,2)*Q95</f>
        <v>#DIV/0!</v>
      </c>
      <c r="T95" s="101" t="e">
        <f>Q95*dagenperjaar1</f>
        <v>#DIV/0!</v>
      </c>
      <c r="U95" s="25" t="e">
        <f>T95*ROUND(P95,2)</f>
        <v>#DIV/0!</v>
      </c>
    </row>
    <row r="96" spans="1:21" x14ac:dyDescent="0.2">
      <c r="A96" s="98" t="s">
        <v>417</v>
      </c>
      <c r="B96" s="99" t="s">
        <v>50</v>
      </c>
      <c r="C96" s="99" t="s">
        <v>345</v>
      </c>
      <c r="D96" s="99" t="s">
        <v>399</v>
      </c>
      <c r="E96" s="100" t="s">
        <v>426</v>
      </c>
      <c r="F96" s="99" t="s">
        <v>348</v>
      </c>
      <c r="G96" s="99" t="s">
        <v>262</v>
      </c>
      <c r="H96" s="99" t="s">
        <v>13</v>
      </c>
      <c r="I96" s="99" t="s">
        <v>246</v>
      </c>
      <c r="J96" s="99"/>
      <c r="K96" s="101">
        <v>14.5</v>
      </c>
      <c r="L96" s="101">
        <f>K96*VLOOKUP(H96,dagsoorttabel1,2,FALSE)</f>
        <v>11.372549019607844</v>
      </c>
      <c r="M96" s="102">
        <f>prodnorm57</f>
        <v>0</v>
      </c>
      <c r="N96" s="37">
        <f>dagwerk57</f>
        <v>0</v>
      </c>
      <c r="O96" s="99" t="s">
        <v>108</v>
      </c>
      <c r="P96" s="24">
        <f>uurtarief57</f>
        <v>0</v>
      </c>
      <c r="Q96" s="101" t="e">
        <f>IF(ISBLANK(M96),0,L96/ROUND(M96,4))</f>
        <v>#DIV/0!</v>
      </c>
      <c r="R96" s="101" t="e">
        <f>IF(ISBLANK(M96),0,Q96*ROUND(N96,2))</f>
        <v>#DIV/0!</v>
      </c>
      <c r="S96" s="24" t="e">
        <f>ROUND(P96,2)*Q96</f>
        <v>#DIV/0!</v>
      </c>
      <c r="T96" s="101" t="e">
        <f>Q96*dagenperjaar1</f>
        <v>#DIV/0!</v>
      </c>
      <c r="U96" s="25" t="e">
        <f>T96*ROUND(P96,2)</f>
        <v>#DIV/0!</v>
      </c>
    </row>
    <row r="97" spans="1:21" x14ac:dyDescent="0.2">
      <c r="A97" s="98" t="s">
        <v>417</v>
      </c>
      <c r="B97" s="99" t="s">
        <v>50</v>
      </c>
      <c r="C97" s="99" t="s">
        <v>345</v>
      </c>
      <c r="D97" s="99" t="s">
        <v>400</v>
      </c>
      <c r="E97" s="100" t="s">
        <v>427</v>
      </c>
      <c r="F97" s="99" t="s">
        <v>348</v>
      </c>
      <c r="G97" s="99" t="s">
        <v>251</v>
      </c>
      <c r="H97" s="99" t="s">
        <v>13</v>
      </c>
      <c r="I97" s="99" t="s">
        <v>246</v>
      </c>
      <c r="J97" s="99"/>
      <c r="K97" s="101">
        <v>9</v>
      </c>
      <c r="L97" s="101">
        <f>K97*VLOOKUP(H97,dagsoorttabel1,2,FALSE)</f>
        <v>7.0588235294117645</v>
      </c>
      <c r="M97" s="102">
        <f>prodnorm39</f>
        <v>0</v>
      </c>
      <c r="N97" s="37">
        <f>dagwerk39</f>
        <v>0</v>
      </c>
      <c r="O97" s="99" t="s">
        <v>108</v>
      </c>
      <c r="P97" s="24">
        <f>uurtarief39</f>
        <v>0</v>
      </c>
      <c r="Q97" s="101" t="e">
        <f>IF(ISBLANK(M97),0,L97/ROUND(M97,4))</f>
        <v>#DIV/0!</v>
      </c>
      <c r="R97" s="101" t="e">
        <f>IF(ISBLANK(M97),0,Q97*ROUND(N97,2))</f>
        <v>#DIV/0!</v>
      </c>
      <c r="S97" s="24" t="e">
        <f>ROUND(P97,2)*Q97</f>
        <v>#DIV/0!</v>
      </c>
      <c r="T97" s="101" t="e">
        <f>Q97*dagenperjaar1</f>
        <v>#DIV/0!</v>
      </c>
      <c r="U97" s="25" t="e">
        <f>T97*ROUND(P97,2)</f>
        <v>#DIV/0!</v>
      </c>
    </row>
    <row r="98" spans="1:21" x14ac:dyDescent="0.2">
      <c r="A98" s="98" t="s">
        <v>417</v>
      </c>
      <c r="B98" s="99" t="s">
        <v>50</v>
      </c>
      <c r="C98" s="99" t="s">
        <v>345</v>
      </c>
      <c r="D98" s="99" t="s">
        <v>401</v>
      </c>
      <c r="E98" s="100" t="s">
        <v>426</v>
      </c>
      <c r="F98" s="99" t="s">
        <v>348</v>
      </c>
      <c r="G98" s="99" t="s">
        <v>262</v>
      </c>
      <c r="H98" s="99" t="s">
        <v>13</v>
      </c>
      <c r="I98" s="99" t="s">
        <v>246</v>
      </c>
      <c r="J98" s="99"/>
      <c r="K98" s="101">
        <v>14.5</v>
      </c>
      <c r="L98" s="101">
        <f>K98*VLOOKUP(H98,dagsoorttabel1,2,FALSE)</f>
        <v>11.372549019607844</v>
      </c>
      <c r="M98" s="102">
        <f>prodnorm57</f>
        <v>0</v>
      </c>
      <c r="N98" s="37">
        <f>dagwerk57</f>
        <v>0</v>
      </c>
      <c r="O98" s="99" t="s">
        <v>108</v>
      </c>
      <c r="P98" s="24">
        <f>uurtarief57</f>
        <v>0</v>
      </c>
      <c r="Q98" s="101" t="e">
        <f>IF(ISBLANK(M98),0,L98/ROUND(M98,4))</f>
        <v>#DIV/0!</v>
      </c>
      <c r="R98" s="101" t="e">
        <f>IF(ISBLANK(M98),0,Q98*ROUND(N98,2))</f>
        <v>#DIV/0!</v>
      </c>
      <c r="S98" s="24" t="e">
        <f>ROUND(P98,2)*Q98</f>
        <v>#DIV/0!</v>
      </c>
      <c r="T98" s="101" t="e">
        <f>Q98*dagenperjaar1</f>
        <v>#DIV/0!</v>
      </c>
      <c r="U98" s="25" t="e">
        <f>T98*ROUND(P98,2)</f>
        <v>#DIV/0!</v>
      </c>
    </row>
    <row r="99" spans="1:21" x14ac:dyDescent="0.2">
      <c r="A99" s="98" t="s">
        <v>417</v>
      </c>
      <c r="B99" s="99" t="s">
        <v>50</v>
      </c>
      <c r="C99" s="99" t="s">
        <v>345</v>
      </c>
      <c r="D99" s="99" t="s">
        <v>402</v>
      </c>
      <c r="E99" s="100" t="s">
        <v>427</v>
      </c>
      <c r="F99" s="99" t="s">
        <v>348</v>
      </c>
      <c r="G99" s="99" t="s">
        <v>251</v>
      </c>
      <c r="H99" s="99" t="s">
        <v>13</v>
      </c>
      <c r="I99" s="99" t="s">
        <v>246</v>
      </c>
      <c r="J99" s="99"/>
      <c r="K99" s="101">
        <v>9</v>
      </c>
      <c r="L99" s="101">
        <f>K99*VLOOKUP(H99,dagsoorttabel1,2,FALSE)</f>
        <v>7.0588235294117645</v>
      </c>
      <c r="M99" s="102">
        <f>prodnorm39</f>
        <v>0</v>
      </c>
      <c r="N99" s="37">
        <f>dagwerk39</f>
        <v>0</v>
      </c>
      <c r="O99" s="99" t="s">
        <v>108</v>
      </c>
      <c r="P99" s="24">
        <f>uurtarief39</f>
        <v>0</v>
      </c>
      <c r="Q99" s="101" t="e">
        <f>IF(ISBLANK(M99),0,L99/ROUND(M99,4))</f>
        <v>#DIV/0!</v>
      </c>
      <c r="R99" s="101" t="e">
        <f>IF(ISBLANK(M99),0,Q99*ROUND(N99,2))</f>
        <v>#DIV/0!</v>
      </c>
      <c r="S99" s="24" t="e">
        <f>ROUND(P99,2)*Q99</f>
        <v>#DIV/0!</v>
      </c>
      <c r="T99" s="101" t="e">
        <f>Q99*dagenperjaar1</f>
        <v>#DIV/0!</v>
      </c>
      <c r="U99" s="25" t="e">
        <f>T99*ROUND(P99,2)</f>
        <v>#DIV/0!</v>
      </c>
    </row>
    <row r="100" spans="1:21" x14ac:dyDescent="0.2">
      <c r="A100" s="98" t="s">
        <v>417</v>
      </c>
      <c r="B100" s="99" t="s">
        <v>50</v>
      </c>
      <c r="C100" s="99" t="s">
        <v>345</v>
      </c>
      <c r="D100" s="99" t="s">
        <v>432</v>
      </c>
      <c r="E100" s="100" t="s">
        <v>426</v>
      </c>
      <c r="F100" s="99" t="s">
        <v>348</v>
      </c>
      <c r="G100" s="99" t="s">
        <v>262</v>
      </c>
      <c r="H100" s="99" t="s">
        <v>13</v>
      </c>
      <c r="I100" s="99" t="s">
        <v>246</v>
      </c>
      <c r="J100" s="99"/>
      <c r="K100" s="101">
        <v>14.5</v>
      </c>
      <c r="L100" s="101">
        <f>K100*VLOOKUP(H100,dagsoorttabel1,2,FALSE)</f>
        <v>11.372549019607844</v>
      </c>
      <c r="M100" s="102">
        <f>prodnorm57</f>
        <v>0</v>
      </c>
      <c r="N100" s="37">
        <f>dagwerk57</f>
        <v>0</v>
      </c>
      <c r="O100" s="99" t="s">
        <v>108</v>
      </c>
      <c r="P100" s="24">
        <f>uurtarief57</f>
        <v>0</v>
      </c>
      <c r="Q100" s="101" t="e">
        <f>IF(ISBLANK(M100),0,L100/ROUND(M100,4))</f>
        <v>#DIV/0!</v>
      </c>
      <c r="R100" s="101" t="e">
        <f>IF(ISBLANK(M100),0,Q100*ROUND(N100,2))</f>
        <v>#DIV/0!</v>
      </c>
      <c r="S100" s="24" t="e">
        <f>ROUND(P100,2)*Q100</f>
        <v>#DIV/0!</v>
      </c>
      <c r="T100" s="101" t="e">
        <f>Q100*dagenperjaar1</f>
        <v>#DIV/0!</v>
      </c>
      <c r="U100" s="25" t="e">
        <f>T100*ROUND(P100,2)</f>
        <v>#DIV/0!</v>
      </c>
    </row>
    <row r="101" spans="1:21" x14ac:dyDescent="0.2">
      <c r="A101" s="98" t="s">
        <v>417</v>
      </c>
      <c r="B101" s="99" t="s">
        <v>50</v>
      </c>
      <c r="C101" s="99" t="s">
        <v>345</v>
      </c>
      <c r="D101" s="99" t="s">
        <v>433</v>
      </c>
      <c r="E101" s="100" t="s">
        <v>427</v>
      </c>
      <c r="F101" s="99" t="s">
        <v>348</v>
      </c>
      <c r="G101" s="99" t="s">
        <v>251</v>
      </c>
      <c r="H101" s="99" t="s">
        <v>13</v>
      </c>
      <c r="I101" s="99" t="s">
        <v>246</v>
      </c>
      <c r="J101" s="99"/>
      <c r="K101" s="101">
        <v>9</v>
      </c>
      <c r="L101" s="101">
        <f>K101*VLOOKUP(H101,dagsoorttabel1,2,FALSE)</f>
        <v>7.0588235294117645</v>
      </c>
      <c r="M101" s="102">
        <f>prodnorm39</f>
        <v>0</v>
      </c>
      <c r="N101" s="37">
        <f>dagwerk39</f>
        <v>0</v>
      </c>
      <c r="O101" s="99" t="s">
        <v>108</v>
      </c>
      <c r="P101" s="24">
        <f>uurtarief39</f>
        <v>0</v>
      </c>
      <c r="Q101" s="101" t="e">
        <f>IF(ISBLANK(M101),0,L101/ROUND(M101,4))</f>
        <v>#DIV/0!</v>
      </c>
      <c r="R101" s="101" t="e">
        <f>IF(ISBLANK(M101),0,Q101*ROUND(N101,2))</f>
        <v>#DIV/0!</v>
      </c>
      <c r="S101" s="24" t="e">
        <f>ROUND(P101,2)*Q101</f>
        <v>#DIV/0!</v>
      </c>
      <c r="T101" s="101" t="e">
        <f>Q101*dagenperjaar1</f>
        <v>#DIV/0!</v>
      </c>
      <c r="U101" s="25" t="e">
        <f>T101*ROUND(P101,2)</f>
        <v>#DIV/0!</v>
      </c>
    </row>
    <row r="102" spans="1:21" x14ac:dyDescent="0.2">
      <c r="A102" s="98" t="s">
        <v>417</v>
      </c>
      <c r="B102" s="99" t="s">
        <v>50</v>
      </c>
      <c r="C102" s="99" t="s">
        <v>345</v>
      </c>
      <c r="D102" s="99" t="s">
        <v>434</v>
      </c>
      <c r="E102" s="100" t="s">
        <v>426</v>
      </c>
      <c r="F102" s="99" t="s">
        <v>348</v>
      </c>
      <c r="G102" s="99" t="s">
        <v>262</v>
      </c>
      <c r="H102" s="99" t="s">
        <v>13</v>
      </c>
      <c r="I102" s="99" t="s">
        <v>246</v>
      </c>
      <c r="J102" s="99"/>
      <c r="K102" s="101">
        <v>14.5</v>
      </c>
      <c r="L102" s="101">
        <f>K102*VLOOKUP(H102,dagsoorttabel1,2,FALSE)</f>
        <v>11.372549019607844</v>
      </c>
      <c r="M102" s="102">
        <f>prodnorm57</f>
        <v>0</v>
      </c>
      <c r="N102" s="37">
        <f>dagwerk57</f>
        <v>0</v>
      </c>
      <c r="O102" s="99" t="s">
        <v>108</v>
      </c>
      <c r="P102" s="24">
        <f>uurtarief57</f>
        <v>0</v>
      </c>
      <c r="Q102" s="101" t="e">
        <f>IF(ISBLANK(M102),0,L102/ROUND(M102,4))</f>
        <v>#DIV/0!</v>
      </c>
      <c r="R102" s="101" t="e">
        <f>IF(ISBLANK(M102),0,Q102*ROUND(N102,2))</f>
        <v>#DIV/0!</v>
      </c>
      <c r="S102" s="24" t="e">
        <f>ROUND(P102,2)*Q102</f>
        <v>#DIV/0!</v>
      </c>
      <c r="T102" s="101" t="e">
        <f>Q102*dagenperjaar1</f>
        <v>#DIV/0!</v>
      </c>
      <c r="U102" s="25" t="e">
        <f>T102*ROUND(P102,2)</f>
        <v>#DIV/0!</v>
      </c>
    </row>
    <row r="103" spans="1:21" x14ac:dyDescent="0.2">
      <c r="A103" s="98" t="s">
        <v>417</v>
      </c>
      <c r="B103" s="99" t="s">
        <v>50</v>
      </c>
      <c r="C103" s="99" t="s">
        <v>345</v>
      </c>
      <c r="D103" s="99" t="s">
        <v>435</v>
      </c>
      <c r="E103" s="100" t="s">
        <v>427</v>
      </c>
      <c r="F103" s="99" t="s">
        <v>348</v>
      </c>
      <c r="G103" s="99" t="s">
        <v>251</v>
      </c>
      <c r="H103" s="99" t="s">
        <v>13</v>
      </c>
      <c r="I103" s="99" t="s">
        <v>246</v>
      </c>
      <c r="J103" s="99"/>
      <c r="K103" s="101">
        <v>9</v>
      </c>
      <c r="L103" s="101">
        <f>K103*VLOOKUP(H103,dagsoorttabel1,2,FALSE)</f>
        <v>7.0588235294117645</v>
      </c>
      <c r="M103" s="102">
        <f>prodnorm39</f>
        <v>0</v>
      </c>
      <c r="N103" s="37">
        <f>dagwerk39</f>
        <v>0</v>
      </c>
      <c r="O103" s="99" t="s">
        <v>108</v>
      </c>
      <c r="P103" s="24">
        <f>uurtarief39</f>
        <v>0</v>
      </c>
      <c r="Q103" s="101" t="e">
        <f>IF(ISBLANK(M103),0,L103/ROUND(M103,4))</f>
        <v>#DIV/0!</v>
      </c>
      <c r="R103" s="101" t="e">
        <f>IF(ISBLANK(M103),0,Q103*ROUND(N103,2))</f>
        <v>#DIV/0!</v>
      </c>
      <c r="S103" s="24" t="e">
        <f>ROUND(P103,2)*Q103</f>
        <v>#DIV/0!</v>
      </c>
      <c r="T103" s="101" t="e">
        <f>Q103*dagenperjaar1</f>
        <v>#DIV/0!</v>
      </c>
      <c r="U103" s="25" t="e">
        <f>T103*ROUND(P103,2)</f>
        <v>#DIV/0!</v>
      </c>
    </row>
    <row r="104" spans="1:21" x14ac:dyDescent="0.2">
      <c r="A104" s="98" t="s">
        <v>417</v>
      </c>
      <c r="B104" s="99" t="s">
        <v>50</v>
      </c>
      <c r="C104" s="99" t="s">
        <v>345</v>
      </c>
      <c r="D104" s="99" t="s">
        <v>436</v>
      </c>
      <c r="E104" s="100" t="s">
        <v>426</v>
      </c>
      <c r="F104" s="99" t="s">
        <v>348</v>
      </c>
      <c r="G104" s="99" t="s">
        <v>262</v>
      </c>
      <c r="H104" s="99" t="s">
        <v>13</v>
      </c>
      <c r="I104" s="99" t="s">
        <v>246</v>
      </c>
      <c r="J104" s="99"/>
      <c r="K104" s="101">
        <v>14.5</v>
      </c>
      <c r="L104" s="101">
        <f>K104*VLOOKUP(H104,dagsoorttabel1,2,FALSE)</f>
        <v>11.372549019607844</v>
      </c>
      <c r="M104" s="102">
        <f>prodnorm57</f>
        <v>0</v>
      </c>
      <c r="N104" s="37">
        <f>dagwerk57</f>
        <v>0</v>
      </c>
      <c r="O104" s="99" t="s">
        <v>108</v>
      </c>
      <c r="P104" s="24">
        <f>uurtarief57</f>
        <v>0</v>
      </c>
      <c r="Q104" s="101" t="e">
        <f>IF(ISBLANK(M104),0,L104/ROUND(M104,4))</f>
        <v>#DIV/0!</v>
      </c>
      <c r="R104" s="101" t="e">
        <f>IF(ISBLANK(M104),0,Q104*ROUND(N104,2))</f>
        <v>#DIV/0!</v>
      </c>
      <c r="S104" s="24" t="e">
        <f>ROUND(P104,2)*Q104</f>
        <v>#DIV/0!</v>
      </c>
      <c r="T104" s="101" t="e">
        <f>Q104*dagenperjaar1</f>
        <v>#DIV/0!</v>
      </c>
      <c r="U104" s="25" t="e">
        <f>T104*ROUND(P104,2)</f>
        <v>#DIV/0!</v>
      </c>
    </row>
    <row r="105" spans="1:21" x14ac:dyDescent="0.2">
      <c r="A105" s="98" t="s">
        <v>417</v>
      </c>
      <c r="B105" s="99" t="s">
        <v>50</v>
      </c>
      <c r="C105" s="99" t="s">
        <v>345</v>
      </c>
      <c r="D105" s="99" t="s">
        <v>437</v>
      </c>
      <c r="E105" s="100" t="s">
        <v>427</v>
      </c>
      <c r="F105" s="99" t="s">
        <v>348</v>
      </c>
      <c r="G105" s="99" t="s">
        <v>251</v>
      </c>
      <c r="H105" s="99" t="s">
        <v>13</v>
      </c>
      <c r="I105" s="99" t="s">
        <v>246</v>
      </c>
      <c r="J105" s="99"/>
      <c r="K105" s="101">
        <v>9</v>
      </c>
      <c r="L105" s="101">
        <f>K105*VLOOKUP(H105,dagsoorttabel1,2,FALSE)</f>
        <v>7.0588235294117645</v>
      </c>
      <c r="M105" s="102">
        <f>prodnorm39</f>
        <v>0</v>
      </c>
      <c r="N105" s="37">
        <f>dagwerk39</f>
        <v>0</v>
      </c>
      <c r="O105" s="99" t="s">
        <v>108</v>
      </c>
      <c r="P105" s="24">
        <f>uurtarief39</f>
        <v>0</v>
      </c>
      <c r="Q105" s="101" t="e">
        <f>IF(ISBLANK(M105),0,L105/ROUND(M105,4))</f>
        <v>#DIV/0!</v>
      </c>
      <c r="R105" s="101" t="e">
        <f>IF(ISBLANK(M105),0,Q105*ROUND(N105,2))</f>
        <v>#DIV/0!</v>
      </c>
      <c r="S105" s="24" t="e">
        <f>ROUND(P105,2)*Q105</f>
        <v>#DIV/0!</v>
      </c>
      <c r="T105" s="101" t="e">
        <f>Q105*dagenperjaar1</f>
        <v>#DIV/0!</v>
      </c>
      <c r="U105" s="25" t="e">
        <f>T105*ROUND(P105,2)</f>
        <v>#DIV/0!</v>
      </c>
    </row>
    <row r="106" spans="1:21" x14ac:dyDescent="0.2">
      <c r="A106" s="98" t="s">
        <v>417</v>
      </c>
      <c r="B106" s="99" t="s">
        <v>50</v>
      </c>
      <c r="C106" s="99" t="s">
        <v>345</v>
      </c>
      <c r="D106" s="99" t="s">
        <v>438</v>
      </c>
      <c r="E106" s="100" t="s">
        <v>426</v>
      </c>
      <c r="F106" s="99" t="s">
        <v>348</v>
      </c>
      <c r="G106" s="99" t="s">
        <v>262</v>
      </c>
      <c r="H106" s="99" t="s">
        <v>13</v>
      </c>
      <c r="I106" s="99" t="s">
        <v>246</v>
      </c>
      <c r="J106" s="99"/>
      <c r="K106" s="101">
        <v>24.5</v>
      </c>
      <c r="L106" s="101">
        <f>K106*VLOOKUP(H106,dagsoorttabel1,2,FALSE)</f>
        <v>19.215686274509803</v>
      </c>
      <c r="M106" s="102">
        <f>prodnorm57</f>
        <v>0</v>
      </c>
      <c r="N106" s="37">
        <f>dagwerk57</f>
        <v>0</v>
      </c>
      <c r="O106" s="99" t="s">
        <v>108</v>
      </c>
      <c r="P106" s="24">
        <f>uurtarief57</f>
        <v>0</v>
      </c>
      <c r="Q106" s="101" t="e">
        <f>IF(ISBLANK(M106),0,L106/ROUND(M106,4))</f>
        <v>#DIV/0!</v>
      </c>
      <c r="R106" s="101" t="e">
        <f>IF(ISBLANK(M106),0,Q106*ROUND(N106,2))</f>
        <v>#DIV/0!</v>
      </c>
      <c r="S106" s="24" t="e">
        <f>ROUND(P106,2)*Q106</f>
        <v>#DIV/0!</v>
      </c>
      <c r="T106" s="101" t="e">
        <f>Q106*dagenperjaar1</f>
        <v>#DIV/0!</v>
      </c>
      <c r="U106" s="25" t="e">
        <f>T106*ROUND(P106,2)</f>
        <v>#DIV/0!</v>
      </c>
    </row>
    <row r="107" spans="1:21" x14ac:dyDescent="0.2">
      <c r="A107" s="98" t="s">
        <v>417</v>
      </c>
      <c r="B107" s="99" t="s">
        <v>50</v>
      </c>
      <c r="C107" s="99" t="s">
        <v>345</v>
      </c>
      <c r="D107" s="99" t="s">
        <v>439</v>
      </c>
      <c r="E107" s="100" t="s">
        <v>427</v>
      </c>
      <c r="F107" s="99" t="s">
        <v>348</v>
      </c>
      <c r="G107" s="99" t="s">
        <v>251</v>
      </c>
      <c r="H107" s="99" t="s">
        <v>13</v>
      </c>
      <c r="I107" s="99" t="s">
        <v>246</v>
      </c>
      <c r="J107" s="99"/>
      <c r="K107" s="101">
        <v>9</v>
      </c>
      <c r="L107" s="101">
        <f>K107*VLOOKUP(H107,dagsoorttabel1,2,FALSE)</f>
        <v>7.0588235294117645</v>
      </c>
      <c r="M107" s="102">
        <f>prodnorm39</f>
        <v>0</v>
      </c>
      <c r="N107" s="37">
        <f>dagwerk39</f>
        <v>0</v>
      </c>
      <c r="O107" s="99" t="s">
        <v>108</v>
      </c>
      <c r="P107" s="24">
        <f>uurtarief39</f>
        <v>0</v>
      </c>
      <c r="Q107" s="101" t="e">
        <f>IF(ISBLANK(M107),0,L107/ROUND(M107,4))</f>
        <v>#DIV/0!</v>
      </c>
      <c r="R107" s="101" t="e">
        <f>IF(ISBLANK(M107),0,Q107*ROUND(N107,2))</f>
        <v>#DIV/0!</v>
      </c>
      <c r="S107" s="24" t="e">
        <f>ROUND(P107,2)*Q107</f>
        <v>#DIV/0!</v>
      </c>
      <c r="T107" s="101" t="e">
        <f>Q107*dagenperjaar1</f>
        <v>#DIV/0!</v>
      </c>
      <c r="U107" s="25" t="e">
        <f>T107*ROUND(P107,2)</f>
        <v>#DIV/0!</v>
      </c>
    </row>
    <row r="108" spans="1:21" x14ac:dyDescent="0.2">
      <c r="A108" s="98" t="s">
        <v>417</v>
      </c>
      <c r="B108" s="99" t="s">
        <v>50</v>
      </c>
      <c r="C108" s="99" t="s">
        <v>345</v>
      </c>
      <c r="D108" s="99" t="s">
        <v>440</v>
      </c>
      <c r="E108" s="100" t="s">
        <v>426</v>
      </c>
      <c r="F108" s="99" t="s">
        <v>348</v>
      </c>
      <c r="G108" s="99" t="s">
        <v>262</v>
      </c>
      <c r="H108" s="99" t="s">
        <v>13</v>
      </c>
      <c r="I108" s="99" t="s">
        <v>246</v>
      </c>
      <c r="J108" s="99"/>
      <c r="K108" s="101">
        <v>24.5</v>
      </c>
      <c r="L108" s="101">
        <f>K108*VLOOKUP(H108,dagsoorttabel1,2,FALSE)</f>
        <v>19.215686274509803</v>
      </c>
      <c r="M108" s="102">
        <f>prodnorm57</f>
        <v>0</v>
      </c>
      <c r="N108" s="37">
        <f>dagwerk57</f>
        <v>0</v>
      </c>
      <c r="O108" s="99" t="s">
        <v>108</v>
      </c>
      <c r="P108" s="24">
        <f>uurtarief57</f>
        <v>0</v>
      </c>
      <c r="Q108" s="101" t="e">
        <f>IF(ISBLANK(M108),0,L108/ROUND(M108,4))</f>
        <v>#DIV/0!</v>
      </c>
      <c r="R108" s="101" t="e">
        <f>IF(ISBLANK(M108),0,Q108*ROUND(N108,2))</f>
        <v>#DIV/0!</v>
      </c>
      <c r="S108" s="24" t="e">
        <f>ROUND(P108,2)*Q108</f>
        <v>#DIV/0!</v>
      </c>
      <c r="T108" s="101" t="e">
        <f>Q108*dagenperjaar1</f>
        <v>#DIV/0!</v>
      </c>
      <c r="U108" s="25" t="e">
        <f>T108*ROUND(P108,2)</f>
        <v>#DIV/0!</v>
      </c>
    </row>
    <row r="109" spans="1:21" x14ac:dyDescent="0.2">
      <c r="A109" s="98" t="s">
        <v>417</v>
      </c>
      <c r="B109" s="99" t="s">
        <v>50</v>
      </c>
      <c r="C109" s="99" t="s">
        <v>345</v>
      </c>
      <c r="D109" s="99" t="s">
        <v>441</v>
      </c>
      <c r="E109" s="100" t="s">
        <v>427</v>
      </c>
      <c r="F109" s="99" t="s">
        <v>348</v>
      </c>
      <c r="G109" s="99" t="s">
        <v>251</v>
      </c>
      <c r="H109" s="99" t="s">
        <v>13</v>
      </c>
      <c r="I109" s="99" t="s">
        <v>246</v>
      </c>
      <c r="J109" s="99"/>
      <c r="K109" s="101">
        <v>9</v>
      </c>
      <c r="L109" s="101">
        <f>K109*VLOOKUP(H109,dagsoorttabel1,2,FALSE)</f>
        <v>7.0588235294117645</v>
      </c>
      <c r="M109" s="102">
        <f>prodnorm39</f>
        <v>0</v>
      </c>
      <c r="N109" s="37">
        <f>dagwerk39</f>
        <v>0</v>
      </c>
      <c r="O109" s="99" t="s">
        <v>108</v>
      </c>
      <c r="P109" s="24">
        <f>uurtarief39</f>
        <v>0</v>
      </c>
      <c r="Q109" s="101" t="e">
        <f>IF(ISBLANK(M109),0,L109/ROUND(M109,4))</f>
        <v>#DIV/0!</v>
      </c>
      <c r="R109" s="101" t="e">
        <f>IF(ISBLANK(M109),0,Q109*ROUND(N109,2))</f>
        <v>#DIV/0!</v>
      </c>
      <c r="S109" s="24" t="e">
        <f>ROUND(P109,2)*Q109</f>
        <v>#DIV/0!</v>
      </c>
      <c r="T109" s="101" t="e">
        <f>Q109*dagenperjaar1</f>
        <v>#DIV/0!</v>
      </c>
      <c r="U109" s="25" t="e">
        <f>T109*ROUND(P109,2)</f>
        <v>#DIV/0!</v>
      </c>
    </row>
    <row r="110" spans="1:21" x14ac:dyDescent="0.2">
      <c r="A110" s="98" t="s">
        <v>417</v>
      </c>
      <c r="B110" s="99" t="s">
        <v>50</v>
      </c>
      <c r="C110" s="99" t="s">
        <v>345</v>
      </c>
      <c r="D110" s="99" t="s">
        <v>442</v>
      </c>
      <c r="E110" s="100" t="s">
        <v>421</v>
      </c>
      <c r="F110" s="99" t="s">
        <v>443</v>
      </c>
      <c r="G110" s="99" t="s">
        <v>277</v>
      </c>
      <c r="H110" s="99" t="s">
        <v>13</v>
      </c>
      <c r="I110" s="99" t="s">
        <v>246</v>
      </c>
      <c r="J110" s="99"/>
      <c r="K110" s="101">
        <v>100</v>
      </c>
      <c r="L110" s="101">
        <f>K110*VLOOKUP(H110,dagsoorttabel1,2,FALSE)</f>
        <v>78.431372549019613</v>
      </c>
      <c r="M110" s="102">
        <f>prodnorm73</f>
        <v>0</v>
      </c>
      <c r="N110" s="37">
        <f>dagwerk73</f>
        <v>0</v>
      </c>
      <c r="O110" s="99" t="s">
        <v>108</v>
      </c>
      <c r="P110" s="24">
        <f>uurtarief73</f>
        <v>0</v>
      </c>
      <c r="Q110" s="101" t="e">
        <f>IF(ISBLANK(M110),0,L110/ROUND(M110,4))</f>
        <v>#DIV/0!</v>
      </c>
      <c r="R110" s="101" t="e">
        <f>IF(ISBLANK(M110),0,Q110*ROUND(N110,2))</f>
        <v>#DIV/0!</v>
      </c>
      <c r="S110" s="24" t="e">
        <f>ROUND(P110,2)*Q110</f>
        <v>#DIV/0!</v>
      </c>
      <c r="T110" s="101" t="e">
        <f>Q110*dagenperjaar1</f>
        <v>#DIV/0!</v>
      </c>
      <c r="U110" s="25" t="e">
        <f>T110*ROUND(P110,2)</f>
        <v>#DIV/0!</v>
      </c>
    </row>
    <row r="111" spans="1:21" x14ac:dyDescent="0.2">
      <c r="A111" s="98" t="s">
        <v>417</v>
      </c>
      <c r="B111" s="99" t="s">
        <v>50</v>
      </c>
      <c r="C111" s="99" t="s">
        <v>345</v>
      </c>
      <c r="D111" s="99" t="s">
        <v>444</v>
      </c>
      <c r="E111" s="100" t="s">
        <v>445</v>
      </c>
      <c r="F111" s="99" t="s">
        <v>446</v>
      </c>
      <c r="G111" s="99" t="s">
        <v>259</v>
      </c>
      <c r="H111" s="99" t="s">
        <v>13</v>
      </c>
      <c r="I111" s="99" t="s">
        <v>246</v>
      </c>
      <c r="J111" s="99"/>
      <c r="K111" s="101">
        <v>3650</v>
      </c>
      <c r="L111" s="101">
        <f>K111*VLOOKUP(H111,dagsoorttabel1,2,FALSE)</f>
        <v>2862.7450980392155</v>
      </c>
      <c r="M111" s="102">
        <f>prodnorm51</f>
        <v>0</v>
      </c>
      <c r="N111" s="37">
        <f>dagwerk51</f>
        <v>0</v>
      </c>
      <c r="O111" s="99" t="s">
        <v>108</v>
      </c>
      <c r="P111" s="24">
        <f>uurtarief51</f>
        <v>0</v>
      </c>
      <c r="Q111" s="101" t="e">
        <f>IF(ISBLANK(M111),0,L111/ROUND(M111,4))</f>
        <v>#DIV/0!</v>
      </c>
      <c r="R111" s="101" t="e">
        <f>IF(ISBLANK(M111),0,Q111*ROUND(N111,2))</f>
        <v>#DIV/0!</v>
      </c>
      <c r="S111" s="24" t="e">
        <f>ROUND(P111,2)*Q111</f>
        <v>#DIV/0!</v>
      </c>
      <c r="T111" s="101" t="e">
        <f>Q111*dagenperjaar1</f>
        <v>#DIV/0!</v>
      </c>
      <c r="U111" s="25" t="e">
        <f>T111*ROUND(P111,2)</f>
        <v>#DIV/0!</v>
      </c>
    </row>
    <row r="112" spans="1:21" x14ac:dyDescent="0.2">
      <c r="A112" s="98" t="s">
        <v>417</v>
      </c>
      <c r="B112" s="99" t="s">
        <v>50</v>
      </c>
      <c r="C112" s="99" t="s">
        <v>345</v>
      </c>
      <c r="D112" s="99" t="s">
        <v>447</v>
      </c>
      <c r="E112" s="100" t="s">
        <v>448</v>
      </c>
      <c r="F112" s="99" t="s">
        <v>449</v>
      </c>
      <c r="G112" s="99" t="s">
        <v>259</v>
      </c>
      <c r="H112" s="99" t="s">
        <v>13</v>
      </c>
      <c r="I112" s="99" t="s">
        <v>246</v>
      </c>
      <c r="J112" s="99"/>
      <c r="K112" s="101">
        <v>336</v>
      </c>
      <c r="L112" s="101">
        <f>K112*VLOOKUP(H112,dagsoorttabel1,2,FALSE)</f>
        <v>263.52941176470586</v>
      </c>
      <c r="M112" s="102">
        <f>prodnorm51</f>
        <v>0</v>
      </c>
      <c r="N112" s="37">
        <f>dagwerk51</f>
        <v>0</v>
      </c>
      <c r="O112" s="99" t="s">
        <v>108</v>
      </c>
      <c r="P112" s="24">
        <f>uurtarief51</f>
        <v>0</v>
      </c>
      <c r="Q112" s="101" t="e">
        <f>IF(ISBLANK(M112),0,L112/ROUND(M112,4))</f>
        <v>#DIV/0!</v>
      </c>
      <c r="R112" s="101" t="e">
        <f>IF(ISBLANK(M112),0,Q112*ROUND(N112,2))</f>
        <v>#DIV/0!</v>
      </c>
      <c r="S112" s="24" t="e">
        <f>ROUND(P112,2)*Q112</f>
        <v>#DIV/0!</v>
      </c>
      <c r="T112" s="101" t="e">
        <f>Q112*dagenperjaar1</f>
        <v>#DIV/0!</v>
      </c>
      <c r="U112" s="25" t="e">
        <f>T112*ROUND(P112,2)</f>
        <v>#DIV/0!</v>
      </c>
    </row>
    <row r="113" spans="1:21" x14ac:dyDescent="0.2">
      <c r="A113" s="98" t="s">
        <v>417</v>
      </c>
      <c r="B113" s="99" t="s">
        <v>50</v>
      </c>
      <c r="C113" s="99" t="s">
        <v>345</v>
      </c>
      <c r="D113" s="99" t="s">
        <v>450</v>
      </c>
      <c r="E113" s="100" t="s">
        <v>451</v>
      </c>
      <c r="F113" s="99" t="s">
        <v>443</v>
      </c>
      <c r="G113" s="99" t="s">
        <v>259</v>
      </c>
      <c r="H113" s="99" t="s">
        <v>13</v>
      </c>
      <c r="I113" s="99" t="s">
        <v>246</v>
      </c>
      <c r="J113" s="99"/>
      <c r="K113" s="101">
        <v>651</v>
      </c>
      <c r="L113" s="101">
        <f>K113*VLOOKUP(H113,dagsoorttabel1,2,FALSE)</f>
        <v>510.58823529411762</v>
      </c>
      <c r="M113" s="102">
        <f>prodnorm51</f>
        <v>0</v>
      </c>
      <c r="N113" s="37">
        <f>dagwerk51</f>
        <v>0</v>
      </c>
      <c r="O113" s="99" t="s">
        <v>108</v>
      </c>
      <c r="P113" s="24">
        <f>uurtarief51</f>
        <v>0</v>
      </c>
      <c r="Q113" s="101" t="e">
        <f>IF(ISBLANK(M113),0,L113/ROUND(M113,4))</f>
        <v>#DIV/0!</v>
      </c>
      <c r="R113" s="101" t="e">
        <f>IF(ISBLANK(M113),0,Q113*ROUND(N113,2))</f>
        <v>#DIV/0!</v>
      </c>
      <c r="S113" s="24" t="e">
        <f>ROUND(P113,2)*Q113</f>
        <v>#DIV/0!</v>
      </c>
      <c r="T113" s="101" t="e">
        <f>Q113*dagenperjaar1</f>
        <v>#DIV/0!</v>
      </c>
      <c r="U113" s="25" t="e">
        <f>T113*ROUND(P113,2)</f>
        <v>#DIV/0!</v>
      </c>
    </row>
    <row r="114" spans="1:21" x14ac:dyDescent="0.2">
      <c r="A114" s="98" t="s">
        <v>417</v>
      </c>
      <c r="B114" s="99" t="s">
        <v>50</v>
      </c>
      <c r="C114" s="99" t="s">
        <v>452</v>
      </c>
      <c r="D114" s="99" t="s">
        <v>453</v>
      </c>
      <c r="E114" s="100" t="s">
        <v>454</v>
      </c>
      <c r="F114" s="99" t="s">
        <v>423</v>
      </c>
      <c r="G114" s="99" t="s">
        <v>248</v>
      </c>
      <c r="H114" s="99" t="s">
        <v>13</v>
      </c>
      <c r="I114" s="99" t="s">
        <v>246</v>
      </c>
      <c r="J114" s="99"/>
      <c r="K114" s="101">
        <v>26.5</v>
      </c>
      <c r="L114" s="101">
        <f>K114*VLOOKUP(H114,dagsoorttabel1,2,FALSE)</f>
        <v>20.784313725490197</v>
      </c>
      <c r="M114" s="102">
        <f>prodnorm35</f>
        <v>0</v>
      </c>
      <c r="N114" s="37">
        <f>dagwerk35</f>
        <v>0</v>
      </c>
      <c r="O114" s="99" t="s">
        <v>108</v>
      </c>
      <c r="P114" s="24">
        <f>uurtarief35</f>
        <v>0</v>
      </c>
      <c r="Q114" s="101" t="e">
        <f>IF(ISBLANK(M114),0,L114/ROUND(M114,4))</f>
        <v>#DIV/0!</v>
      </c>
      <c r="R114" s="101" t="e">
        <f>IF(ISBLANK(M114),0,Q114*ROUND(N114,2))</f>
        <v>#DIV/0!</v>
      </c>
      <c r="S114" s="24" t="e">
        <f>ROUND(P114,2)*Q114</f>
        <v>#DIV/0!</v>
      </c>
      <c r="T114" s="101" t="e">
        <f>Q114*dagenperjaar1</f>
        <v>#DIV/0!</v>
      </c>
      <c r="U114" s="25" t="e">
        <f>T114*ROUND(P114,2)</f>
        <v>#DIV/0!</v>
      </c>
    </row>
    <row r="115" spans="1:21" x14ac:dyDescent="0.2">
      <c r="A115" s="98" t="s">
        <v>417</v>
      </c>
      <c r="B115" s="99" t="s">
        <v>50</v>
      </c>
      <c r="C115" s="99" t="s">
        <v>452</v>
      </c>
      <c r="D115" s="99" t="s">
        <v>455</v>
      </c>
      <c r="E115" s="100" t="s">
        <v>429</v>
      </c>
      <c r="F115" s="99" t="s">
        <v>348</v>
      </c>
      <c r="G115" s="99" t="s">
        <v>277</v>
      </c>
      <c r="H115" s="99" t="s">
        <v>13</v>
      </c>
      <c r="I115" s="99" t="s">
        <v>246</v>
      </c>
      <c r="J115" s="99"/>
      <c r="K115" s="101">
        <v>16.5</v>
      </c>
      <c r="L115" s="101">
        <f>K115*VLOOKUP(H115,dagsoorttabel1,2,FALSE)</f>
        <v>12.941176470588236</v>
      </c>
      <c r="M115" s="102">
        <f>prodnorm73</f>
        <v>0</v>
      </c>
      <c r="N115" s="37">
        <f>dagwerk73</f>
        <v>0</v>
      </c>
      <c r="O115" s="99" t="s">
        <v>108</v>
      </c>
      <c r="P115" s="24">
        <f>uurtarief73</f>
        <v>0</v>
      </c>
      <c r="Q115" s="101" t="e">
        <f>IF(ISBLANK(M115),0,L115/ROUND(M115,4))</f>
        <v>#DIV/0!</v>
      </c>
      <c r="R115" s="101" t="e">
        <f>IF(ISBLANK(M115),0,Q115*ROUND(N115,2))</f>
        <v>#DIV/0!</v>
      </c>
      <c r="S115" s="24" t="e">
        <f>ROUND(P115,2)*Q115</f>
        <v>#DIV/0!</v>
      </c>
      <c r="T115" s="101" t="e">
        <f>Q115*dagenperjaar1</f>
        <v>#DIV/0!</v>
      </c>
      <c r="U115" s="25" t="e">
        <f>T115*ROUND(P115,2)</f>
        <v>#DIV/0!</v>
      </c>
    </row>
    <row r="116" spans="1:21" x14ac:dyDescent="0.2">
      <c r="A116" s="98" t="s">
        <v>417</v>
      </c>
      <c r="B116" s="99" t="s">
        <v>50</v>
      </c>
      <c r="C116" s="99" t="s">
        <v>452</v>
      </c>
      <c r="D116" s="99" t="s">
        <v>456</v>
      </c>
      <c r="E116" s="100" t="s">
        <v>420</v>
      </c>
      <c r="F116" s="99" t="s">
        <v>348</v>
      </c>
      <c r="G116" s="99" t="s">
        <v>270</v>
      </c>
      <c r="H116" s="99" t="s">
        <v>13</v>
      </c>
      <c r="I116" s="99" t="s">
        <v>246</v>
      </c>
      <c r="J116" s="99"/>
      <c r="K116" s="101">
        <v>16</v>
      </c>
      <c r="L116" s="101">
        <f>K116*VLOOKUP(H116,dagsoorttabel1,2,FALSE)</f>
        <v>12.549019607843137</v>
      </c>
      <c r="M116" s="102">
        <f>prodnorm64</f>
        <v>0</v>
      </c>
      <c r="N116" s="37">
        <f>dagwerk64</f>
        <v>0</v>
      </c>
      <c r="O116" s="99" t="s">
        <v>108</v>
      </c>
      <c r="P116" s="24">
        <f>uurtarief64</f>
        <v>0</v>
      </c>
      <c r="Q116" s="101" t="e">
        <f>IF(ISBLANK(M116),0,L116/ROUND(M116,4))</f>
        <v>#DIV/0!</v>
      </c>
      <c r="R116" s="101" t="e">
        <f>IF(ISBLANK(M116),0,Q116*ROUND(N116,2))</f>
        <v>#DIV/0!</v>
      </c>
      <c r="S116" s="24" t="e">
        <f>ROUND(P116,2)*Q116</f>
        <v>#DIV/0!</v>
      </c>
      <c r="T116" s="101" t="e">
        <f>Q116*dagenperjaar1</f>
        <v>#DIV/0!</v>
      </c>
      <c r="U116" s="25" t="e">
        <f>T116*ROUND(P116,2)</f>
        <v>#DIV/0!</v>
      </c>
    </row>
    <row r="117" spans="1:21" x14ac:dyDescent="0.2">
      <c r="A117" s="98" t="s">
        <v>417</v>
      </c>
      <c r="B117" s="99" t="s">
        <v>50</v>
      </c>
      <c r="C117" s="99" t="s">
        <v>452</v>
      </c>
      <c r="D117" s="99" t="s">
        <v>457</v>
      </c>
      <c r="E117" s="100" t="s">
        <v>420</v>
      </c>
      <c r="F117" s="99" t="s">
        <v>348</v>
      </c>
      <c r="G117" s="99" t="s">
        <v>270</v>
      </c>
      <c r="H117" s="99" t="s">
        <v>13</v>
      </c>
      <c r="I117" s="99" t="s">
        <v>246</v>
      </c>
      <c r="J117" s="99"/>
      <c r="K117" s="101">
        <v>5</v>
      </c>
      <c r="L117" s="101">
        <f>K117*VLOOKUP(H117,dagsoorttabel1,2,FALSE)</f>
        <v>3.9215686274509802</v>
      </c>
      <c r="M117" s="102">
        <f>prodnorm64</f>
        <v>0</v>
      </c>
      <c r="N117" s="37">
        <f>dagwerk64</f>
        <v>0</v>
      </c>
      <c r="O117" s="99" t="s">
        <v>108</v>
      </c>
      <c r="P117" s="24">
        <f>uurtarief64</f>
        <v>0</v>
      </c>
      <c r="Q117" s="101" t="e">
        <f>IF(ISBLANK(M117),0,L117/ROUND(M117,4))</f>
        <v>#DIV/0!</v>
      </c>
      <c r="R117" s="101" t="e">
        <f>IF(ISBLANK(M117),0,Q117*ROUND(N117,2))</f>
        <v>#DIV/0!</v>
      </c>
      <c r="S117" s="24" t="e">
        <f>ROUND(P117,2)*Q117</f>
        <v>#DIV/0!</v>
      </c>
      <c r="T117" s="101" t="e">
        <f>Q117*dagenperjaar1</f>
        <v>#DIV/0!</v>
      </c>
      <c r="U117" s="25" t="e">
        <f>T117*ROUND(P117,2)</f>
        <v>#DIV/0!</v>
      </c>
    </row>
    <row r="118" spans="1:21" x14ac:dyDescent="0.2">
      <c r="A118" s="98" t="s">
        <v>417</v>
      </c>
      <c r="B118" s="99" t="s">
        <v>50</v>
      </c>
      <c r="C118" s="99" t="s">
        <v>452</v>
      </c>
      <c r="D118" s="99" t="s">
        <v>458</v>
      </c>
      <c r="E118" s="100" t="s">
        <v>421</v>
      </c>
      <c r="F118" s="99" t="s">
        <v>348</v>
      </c>
      <c r="G118" s="99" t="s">
        <v>277</v>
      </c>
      <c r="H118" s="99" t="s">
        <v>13</v>
      </c>
      <c r="I118" s="99" t="s">
        <v>246</v>
      </c>
      <c r="J118" s="99"/>
      <c r="K118" s="101">
        <v>61</v>
      </c>
      <c r="L118" s="101">
        <f>K118*VLOOKUP(H118,dagsoorttabel1,2,FALSE)</f>
        <v>47.843137254901961</v>
      </c>
      <c r="M118" s="102">
        <f>prodnorm73</f>
        <v>0</v>
      </c>
      <c r="N118" s="37">
        <f>dagwerk73</f>
        <v>0</v>
      </c>
      <c r="O118" s="99" t="s">
        <v>108</v>
      </c>
      <c r="P118" s="24">
        <f>uurtarief73</f>
        <v>0</v>
      </c>
      <c r="Q118" s="101" t="e">
        <f>IF(ISBLANK(M118),0,L118/ROUND(M118,4))</f>
        <v>#DIV/0!</v>
      </c>
      <c r="R118" s="101" t="e">
        <f>IF(ISBLANK(M118),0,Q118*ROUND(N118,2))</f>
        <v>#DIV/0!</v>
      </c>
      <c r="S118" s="24" t="e">
        <f>ROUND(P118,2)*Q118</f>
        <v>#DIV/0!</v>
      </c>
      <c r="T118" s="101" t="e">
        <f>Q118*dagenperjaar1</f>
        <v>#DIV/0!</v>
      </c>
      <c r="U118" s="25" t="e">
        <f>T118*ROUND(P118,2)</f>
        <v>#DIV/0!</v>
      </c>
    </row>
    <row r="119" spans="1:21" x14ac:dyDescent="0.2">
      <c r="A119" s="98" t="s">
        <v>417</v>
      </c>
      <c r="B119" s="99" t="s">
        <v>50</v>
      </c>
      <c r="C119" s="99" t="s">
        <v>452</v>
      </c>
      <c r="D119" s="99" t="s">
        <v>459</v>
      </c>
      <c r="E119" s="100" t="s">
        <v>460</v>
      </c>
      <c r="F119" s="99" t="s">
        <v>348</v>
      </c>
      <c r="G119" s="99" t="s">
        <v>277</v>
      </c>
      <c r="H119" s="99" t="s">
        <v>13</v>
      </c>
      <c r="I119" s="99" t="s">
        <v>246</v>
      </c>
      <c r="J119" s="99"/>
      <c r="K119" s="101">
        <v>46</v>
      </c>
      <c r="L119" s="101">
        <f>K119*VLOOKUP(H119,dagsoorttabel1,2,FALSE)</f>
        <v>36.078431372549019</v>
      </c>
      <c r="M119" s="102">
        <f>prodnorm73</f>
        <v>0</v>
      </c>
      <c r="N119" s="37">
        <f>dagwerk73</f>
        <v>0</v>
      </c>
      <c r="O119" s="99" t="s">
        <v>108</v>
      </c>
      <c r="P119" s="24">
        <f>uurtarief73</f>
        <v>0</v>
      </c>
      <c r="Q119" s="101" t="e">
        <f>IF(ISBLANK(M119),0,L119/ROUND(M119,4))</f>
        <v>#DIV/0!</v>
      </c>
      <c r="R119" s="101" t="e">
        <f>IF(ISBLANK(M119),0,Q119*ROUND(N119,2))</f>
        <v>#DIV/0!</v>
      </c>
      <c r="S119" s="24" t="e">
        <f>ROUND(P119,2)*Q119</f>
        <v>#DIV/0!</v>
      </c>
      <c r="T119" s="101" t="e">
        <f>Q119*dagenperjaar1</f>
        <v>#DIV/0!</v>
      </c>
      <c r="U119" s="25" t="e">
        <f>T119*ROUND(P119,2)</f>
        <v>#DIV/0!</v>
      </c>
    </row>
    <row r="120" spans="1:21" x14ac:dyDescent="0.2">
      <c r="A120" s="98" t="s">
        <v>417</v>
      </c>
      <c r="B120" s="99" t="s">
        <v>50</v>
      </c>
      <c r="C120" s="99" t="s">
        <v>452</v>
      </c>
      <c r="D120" s="99" t="s">
        <v>461</v>
      </c>
      <c r="E120" s="100" t="s">
        <v>421</v>
      </c>
      <c r="F120" s="99" t="s">
        <v>348</v>
      </c>
      <c r="G120" s="99" t="s">
        <v>277</v>
      </c>
      <c r="H120" s="99" t="s">
        <v>13</v>
      </c>
      <c r="I120" s="99" t="s">
        <v>246</v>
      </c>
      <c r="J120" s="99"/>
      <c r="K120" s="101">
        <v>53.5</v>
      </c>
      <c r="L120" s="101">
        <f>K120*VLOOKUP(H120,dagsoorttabel1,2,FALSE)</f>
        <v>41.96078431372549</v>
      </c>
      <c r="M120" s="102">
        <f>prodnorm73</f>
        <v>0</v>
      </c>
      <c r="N120" s="37">
        <f>dagwerk73</f>
        <v>0</v>
      </c>
      <c r="O120" s="99" t="s">
        <v>108</v>
      </c>
      <c r="P120" s="24">
        <f>uurtarief73</f>
        <v>0</v>
      </c>
      <c r="Q120" s="101" t="e">
        <f>IF(ISBLANK(M120),0,L120/ROUND(M120,4))</f>
        <v>#DIV/0!</v>
      </c>
      <c r="R120" s="101" t="e">
        <f>IF(ISBLANK(M120),0,Q120*ROUND(N120,2))</f>
        <v>#DIV/0!</v>
      </c>
      <c r="S120" s="24" t="e">
        <f>ROUND(P120,2)*Q120</f>
        <v>#DIV/0!</v>
      </c>
      <c r="T120" s="101" t="e">
        <f>Q120*dagenperjaar1</f>
        <v>#DIV/0!</v>
      </c>
      <c r="U120" s="25" t="e">
        <f>T120*ROUND(P120,2)</f>
        <v>#DIV/0!</v>
      </c>
    </row>
    <row r="121" spans="1:21" x14ac:dyDescent="0.2">
      <c r="A121" s="98" t="s">
        <v>417</v>
      </c>
      <c r="B121" s="99" t="s">
        <v>50</v>
      </c>
      <c r="C121" s="99" t="s">
        <v>452</v>
      </c>
      <c r="D121" s="99" t="s">
        <v>462</v>
      </c>
      <c r="E121" s="100" t="s">
        <v>420</v>
      </c>
      <c r="F121" s="99" t="s">
        <v>348</v>
      </c>
      <c r="G121" s="99" t="s">
        <v>270</v>
      </c>
      <c r="H121" s="99" t="s">
        <v>13</v>
      </c>
      <c r="I121" s="99" t="s">
        <v>246</v>
      </c>
      <c r="J121" s="99"/>
      <c r="K121" s="101">
        <v>14</v>
      </c>
      <c r="L121" s="101">
        <f>K121*VLOOKUP(H121,dagsoorttabel1,2,FALSE)</f>
        <v>10.980392156862745</v>
      </c>
      <c r="M121" s="102">
        <f>prodnorm64</f>
        <v>0</v>
      </c>
      <c r="N121" s="37">
        <f>dagwerk64</f>
        <v>0</v>
      </c>
      <c r="O121" s="99" t="s">
        <v>108</v>
      </c>
      <c r="P121" s="24">
        <f>uurtarief64</f>
        <v>0</v>
      </c>
      <c r="Q121" s="101" t="e">
        <f>IF(ISBLANK(M121),0,L121/ROUND(M121,4))</f>
        <v>#DIV/0!</v>
      </c>
      <c r="R121" s="101" t="e">
        <f>IF(ISBLANK(M121),0,Q121*ROUND(N121,2))</f>
        <v>#DIV/0!</v>
      </c>
      <c r="S121" s="24" t="e">
        <f>ROUND(P121,2)*Q121</f>
        <v>#DIV/0!</v>
      </c>
      <c r="T121" s="101" t="e">
        <f>Q121*dagenperjaar1</f>
        <v>#DIV/0!</v>
      </c>
      <c r="U121" s="25" t="e">
        <f>T121*ROUND(P121,2)</f>
        <v>#DIV/0!</v>
      </c>
    </row>
    <row r="122" spans="1:21" x14ac:dyDescent="0.2">
      <c r="A122" s="98" t="s">
        <v>417</v>
      </c>
      <c r="B122" s="99" t="s">
        <v>50</v>
      </c>
      <c r="C122" s="99" t="s">
        <v>452</v>
      </c>
      <c r="D122" s="99" t="s">
        <v>463</v>
      </c>
      <c r="E122" s="100" t="s">
        <v>464</v>
      </c>
      <c r="F122" s="99" t="s">
        <v>423</v>
      </c>
      <c r="G122" s="99" t="s">
        <v>277</v>
      </c>
      <c r="H122" s="99" t="s">
        <v>28</v>
      </c>
      <c r="I122" s="99" t="s">
        <v>246</v>
      </c>
      <c r="J122" s="99"/>
      <c r="K122" s="101">
        <v>53</v>
      </c>
      <c r="L122" s="101">
        <f>K122*VLOOKUP(H122,dagsoorttabel1,2,FALSE)</f>
        <v>0.41568627450980389</v>
      </c>
      <c r="M122" s="102">
        <f>prodnorm76</f>
        <v>0</v>
      </c>
      <c r="N122" s="37">
        <f>dagwerk76</f>
        <v>0</v>
      </c>
      <c r="O122" s="99" t="s">
        <v>108</v>
      </c>
      <c r="P122" s="24">
        <f>uurtarief76</f>
        <v>0</v>
      </c>
      <c r="Q122" s="101" t="e">
        <f>IF(ISBLANK(M122),0,L122/ROUND(M122,4))</f>
        <v>#DIV/0!</v>
      </c>
      <c r="R122" s="101" t="e">
        <f>IF(ISBLANK(M122),0,Q122*ROUND(N122,2))</f>
        <v>#DIV/0!</v>
      </c>
      <c r="S122" s="24" t="e">
        <f>ROUND(P122,2)*Q122</f>
        <v>#DIV/0!</v>
      </c>
      <c r="T122" s="101" t="e">
        <f>Q122*dagenperjaar1</f>
        <v>#DIV/0!</v>
      </c>
      <c r="U122" s="25" t="e">
        <f>T122*ROUND(P122,2)</f>
        <v>#DIV/0!</v>
      </c>
    </row>
    <row r="123" spans="1:21" x14ac:dyDescent="0.2">
      <c r="A123" s="98" t="s">
        <v>417</v>
      </c>
      <c r="B123" s="99" t="s">
        <v>50</v>
      </c>
      <c r="C123" s="99" t="s">
        <v>452</v>
      </c>
      <c r="D123" s="99" t="s">
        <v>465</v>
      </c>
      <c r="E123" s="100" t="s">
        <v>466</v>
      </c>
      <c r="F123" s="99" t="s">
        <v>423</v>
      </c>
      <c r="G123" s="99" t="s">
        <v>259</v>
      </c>
      <c r="H123" s="99" t="s">
        <v>28</v>
      </c>
      <c r="I123" s="99" t="s">
        <v>246</v>
      </c>
      <c r="J123" s="99"/>
      <c r="K123" s="101">
        <v>75</v>
      </c>
      <c r="L123" s="101">
        <f>K123*VLOOKUP(H123,dagsoorttabel1,2,FALSE)</f>
        <v>0.58823529411764708</v>
      </c>
      <c r="M123" s="102">
        <f>prodnorm53</f>
        <v>0</v>
      </c>
      <c r="N123" s="37">
        <f>dagwerk53</f>
        <v>0</v>
      </c>
      <c r="O123" s="99" t="s">
        <v>108</v>
      </c>
      <c r="P123" s="24">
        <f>uurtarief53</f>
        <v>0</v>
      </c>
      <c r="Q123" s="101" t="e">
        <f>IF(ISBLANK(M123),0,L123/ROUND(M123,4))</f>
        <v>#DIV/0!</v>
      </c>
      <c r="R123" s="101" t="e">
        <f>IF(ISBLANK(M123),0,Q123*ROUND(N123,2))</f>
        <v>#DIV/0!</v>
      </c>
      <c r="S123" s="24" t="e">
        <f>ROUND(P123,2)*Q123</f>
        <v>#DIV/0!</v>
      </c>
      <c r="T123" s="101" t="e">
        <f>Q123*dagenperjaar1</f>
        <v>#DIV/0!</v>
      </c>
      <c r="U123" s="25" t="e">
        <f>T123*ROUND(P123,2)</f>
        <v>#DIV/0!</v>
      </c>
    </row>
    <row r="124" spans="1:21" x14ac:dyDescent="0.2">
      <c r="A124" s="98" t="s">
        <v>417</v>
      </c>
      <c r="B124" s="99" t="s">
        <v>50</v>
      </c>
      <c r="C124" s="99" t="s">
        <v>452</v>
      </c>
      <c r="D124" s="99" t="s">
        <v>467</v>
      </c>
      <c r="E124" s="100" t="s">
        <v>468</v>
      </c>
      <c r="F124" s="99" t="s">
        <v>423</v>
      </c>
      <c r="G124" s="99" t="s">
        <v>264</v>
      </c>
      <c r="H124" s="99" t="s">
        <v>13</v>
      </c>
      <c r="I124" s="99" t="s">
        <v>246</v>
      </c>
      <c r="J124" s="99"/>
      <c r="K124" s="101">
        <v>61</v>
      </c>
      <c r="L124" s="101">
        <f>K124*VLOOKUP(H124,dagsoorttabel1,2,FALSE)</f>
        <v>47.843137254901961</v>
      </c>
      <c r="M124" s="102">
        <f>prodnorm59</f>
        <v>0</v>
      </c>
      <c r="N124" s="37">
        <f>dagwerk59</f>
        <v>0</v>
      </c>
      <c r="O124" s="99" t="s">
        <v>108</v>
      </c>
      <c r="P124" s="24">
        <f>uurtarief59</f>
        <v>0</v>
      </c>
      <c r="Q124" s="101" t="e">
        <f>IF(ISBLANK(M124),0,L124/ROUND(M124,4))</f>
        <v>#DIV/0!</v>
      </c>
      <c r="R124" s="101" t="e">
        <f>IF(ISBLANK(M124),0,Q124*ROUND(N124,2))</f>
        <v>#DIV/0!</v>
      </c>
      <c r="S124" s="24" t="e">
        <f>ROUND(P124,2)*Q124</f>
        <v>#DIV/0!</v>
      </c>
      <c r="T124" s="101" t="e">
        <f>Q124*dagenperjaar1</f>
        <v>#DIV/0!</v>
      </c>
      <c r="U124" s="25" t="e">
        <f>T124*ROUND(P124,2)</f>
        <v>#DIV/0!</v>
      </c>
    </row>
    <row r="125" spans="1:21" x14ac:dyDescent="0.2">
      <c r="A125" s="98" t="s">
        <v>417</v>
      </c>
      <c r="B125" s="99" t="s">
        <v>50</v>
      </c>
      <c r="C125" s="99" t="s">
        <v>452</v>
      </c>
      <c r="D125" s="99" t="s">
        <v>469</v>
      </c>
      <c r="E125" s="100" t="s">
        <v>468</v>
      </c>
      <c r="F125" s="99" t="s">
        <v>423</v>
      </c>
      <c r="G125" s="99" t="s">
        <v>264</v>
      </c>
      <c r="H125" s="99" t="s">
        <v>13</v>
      </c>
      <c r="I125" s="99" t="s">
        <v>246</v>
      </c>
      <c r="J125" s="99"/>
      <c r="K125" s="101">
        <v>60</v>
      </c>
      <c r="L125" s="101">
        <f>K125*VLOOKUP(H125,dagsoorttabel1,2,FALSE)</f>
        <v>47.058823529411761</v>
      </c>
      <c r="M125" s="102">
        <f>prodnorm59</f>
        <v>0</v>
      </c>
      <c r="N125" s="37">
        <f>dagwerk59</f>
        <v>0</v>
      </c>
      <c r="O125" s="99" t="s">
        <v>108</v>
      </c>
      <c r="P125" s="24">
        <f>uurtarief59</f>
        <v>0</v>
      </c>
      <c r="Q125" s="101" t="e">
        <f>IF(ISBLANK(M125),0,L125/ROUND(M125,4))</f>
        <v>#DIV/0!</v>
      </c>
      <c r="R125" s="101" t="e">
        <f>IF(ISBLANK(M125),0,Q125*ROUND(N125,2))</f>
        <v>#DIV/0!</v>
      </c>
      <c r="S125" s="24" t="e">
        <f>ROUND(P125,2)*Q125</f>
        <v>#DIV/0!</v>
      </c>
      <c r="T125" s="101" t="e">
        <f>Q125*dagenperjaar1</f>
        <v>#DIV/0!</v>
      </c>
      <c r="U125" s="25" t="e">
        <f>T125*ROUND(P125,2)</f>
        <v>#DIV/0!</v>
      </c>
    </row>
    <row r="126" spans="1:21" x14ac:dyDescent="0.2">
      <c r="A126" s="98" t="s">
        <v>417</v>
      </c>
      <c r="B126" s="99" t="s">
        <v>50</v>
      </c>
      <c r="C126" s="99" t="s">
        <v>452</v>
      </c>
      <c r="D126" s="99" t="s">
        <v>470</v>
      </c>
      <c r="E126" s="100" t="s">
        <v>421</v>
      </c>
      <c r="F126" s="99" t="s">
        <v>423</v>
      </c>
      <c r="G126" s="99" t="s">
        <v>277</v>
      </c>
      <c r="H126" s="99" t="s">
        <v>13</v>
      </c>
      <c r="I126" s="99" t="s">
        <v>246</v>
      </c>
      <c r="J126" s="99"/>
      <c r="K126" s="101">
        <v>55</v>
      </c>
      <c r="L126" s="101">
        <f>K126*VLOOKUP(H126,dagsoorttabel1,2,FALSE)</f>
        <v>43.13725490196078</v>
      </c>
      <c r="M126" s="102">
        <f>prodnorm73</f>
        <v>0</v>
      </c>
      <c r="N126" s="37">
        <f>dagwerk73</f>
        <v>0</v>
      </c>
      <c r="O126" s="99" t="s">
        <v>108</v>
      </c>
      <c r="P126" s="24">
        <f>uurtarief73</f>
        <v>0</v>
      </c>
      <c r="Q126" s="101" t="e">
        <f>IF(ISBLANK(M126),0,L126/ROUND(M126,4))</f>
        <v>#DIV/0!</v>
      </c>
      <c r="R126" s="101" t="e">
        <f>IF(ISBLANK(M126),0,Q126*ROUND(N126,2))</f>
        <v>#DIV/0!</v>
      </c>
      <c r="S126" s="24" t="e">
        <f>ROUND(P126,2)*Q126</f>
        <v>#DIV/0!</v>
      </c>
      <c r="T126" s="101" t="e">
        <f>Q126*dagenperjaar1</f>
        <v>#DIV/0!</v>
      </c>
      <c r="U126" s="25" t="e">
        <f>T126*ROUND(P126,2)</f>
        <v>#DIV/0!</v>
      </c>
    </row>
    <row r="127" spans="1:21" x14ac:dyDescent="0.2">
      <c r="A127" s="98" t="s">
        <v>417</v>
      </c>
      <c r="B127" s="99" t="s">
        <v>471</v>
      </c>
      <c r="C127" s="99" t="s">
        <v>345</v>
      </c>
      <c r="D127" s="99" t="s">
        <v>472</v>
      </c>
      <c r="E127" s="100" t="s">
        <v>430</v>
      </c>
      <c r="F127" s="99" t="s">
        <v>423</v>
      </c>
      <c r="G127" s="99" t="s">
        <v>273</v>
      </c>
      <c r="H127" s="99" t="s">
        <v>13</v>
      </c>
      <c r="I127" s="99" t="s">
        <v>246</v>
      </c>
      <c r="J127" s="99"/>
      <c r="K127" s="101">
        <v>15.84</v>
      </c>
      <c r="L127" s="101">
        <f>K127*VLOOKUP(H127,dagsoorttabel1,2,FALSE)</f>
        <v>12.423529411764706</v>
      </c>
      <c r="M127" s="102">
        <f>prodnorm68</f>
        <v>0</v>
      </c>
      <c r="N127" s="37">
        <f>dagwerk68</f>
        <v>0</v>
      </c>
      <c r="O127" s="99" t="s">
        <v>108</v>
      </c>
      <c r="P127" s="24">
        <f>uurtarief68</f>
        <v>0</v>
      </c>
      <c r="Q127" s="101" t="e">
        <f>IF(ISBLANK(M127),0,L127/ROUND(M127,4))</f>
        <v>#DIV/0!</v>
      </c>
      <c r="R127" s="101" t="e">
        <f>IF(ISBLANK(M127),0,Q127*ROUND(N127,2))</f>
        <v>#DIV/0!</v>
      </c>
      <c r="S127" s="24" t="e">
        <f>ROUND(P127,2)*Q127</f>
        <v>#DIV/0!</v>
      </c>
      <c r="T127" s="101" t="e">
        <f>Q127*dagenperjaar1</f>
        <v>#DIV/0!</v>
      </c>
      <c r="U127" s="25" t="e">
        <f>T127*ROUND(P127,2)</f>
        <v>#DIV/0!</v>
      </c>
    </row>
    <row r="128" spans="1:21" x14ac:dyDescent="0.2">
      <c r="A128" s="98" t="s">
        <v>417</v>
      </c>
      <c r="B128" s="99" t="s">
        <v>471</v>
      </c>
      <c r="C128" s="99" t="s">
        <v>345</v>
      </c>
      <c r="D128" s="99" t="s">
        <v>473</v>
      </c>
      <c r="E128" s="100" t="s">
        <v>430</v>
      </c>
      <c r="F128" s="99" t="s">
        <v>423</v>
      </c>
      <c r="G128" s="99" t="s">
        <v>273</v>
      </c>
      <c r="H128" s="99" t="s">
        <v>13</v>
      </c>
      <c r="I128" s="99" t="s">
        <v>246</v>
      </c>
      <c r="J128" s="99"/>
      <c r="K128" s="101">
        <v>15.84</v>
      </c>
      <c r="L128" s="101">
        <f>K128*VLOOKUP(H128,dagsoorttabel1,2,FALSE)</f>
        <v>12.423529411764706</v>
      </c>
      <c r="M128" s="102">
        <f>prodnorm68</f>
        <v>0</v>
      </c>
      <c r="N128" s="37">
        <f>dagwerk68</f>
        <v>0</v>
      </c>
      <c r="O128" s="99" t="s">
        <v>108</v>
      </c>
      <c r="P128" s="24">
        <f>uurtarief68</f>
        <v>0</v>
      </c>
      <c r="Q128" s="101" t="e">
        <f>IF(ISBLANK(M128),0,L128/ROUND(M128,4))</f>
        <v>#DIV/0!</v>
      </c>
      <c r="R128" s="101" t="e">
        <f>IF(ISBLANK(M128),0,Q128*ROUND(N128,2))</f>
        <v>#DIV/0!</v>
      </c>
      <c r="S128" s="24" t="e">
        <f>ROUND(P128,2)*Q128</f>
        <v>#DIV/0!</v>
      </c>
      <c r="T128" s="101" t="e">
        <f>Q128*dagenperjaar1</f>
        <v>#DIV/0!</v>
      </c>
      <c r="U128" s="25" t="e">
        <f>T128*ROUND(P128,2)</f>
        <v>#DIV/0!</v>
      </c>
    </row>
    <row r="129" spans="1:21" x14ac:dyDescent="0.2">
      <c r="A129" s="98" t="s">
        <v>417</v>
      </c>
      <c r="B129" s="99" t="s">
        <v>471</v>
      </c>
      <c r="C129" s="99" t="s">
        <v>452</v>
      </c>
      <c r="D129" s="99" t="s">
        <v>474</v>
      </c>
      <c r="E129" s="100" t="s">
        <v>475</v>
      </c>
      <c r="F129" s="99" t="s">
        <v>423</v>
      </c>
      <c r="G129" s="99" t="s">
        <v>248</v>
      </c>
      <c r="H129" s="99" t="s">
        <v>13</v>
      </c>
      <c r="I129" s="99" t="s">
        <v>246</v>
      </c>
      <c r="J129" s="99"/>
      <c r="K129" s="101">
        <v>88</v>
      </c>
      <c r="L129" s="101">
        <f>K129*VLOOKUP(H129,dagsoorttabel1,2,FALSE)</f>
        <v>69.019607843137251</v>
      </c>
      <c r="M129" s="102">
        <f>prodnorm35</f>
        <v>0</v>
      </c>
      <c r="N129" s="37">
        <f>dagwerk35</f>
        <v>0</v>
      </c>
      <c r="O129" s="99" t="s">
        <v>108</v>
      </c>
      <c r="P129" s="24">
        <f>uurtarief35</f>
        <v>0</v>
      </c>
      <c r="Q129" s="101" t="e">
        <f>IF(ISBLANK(M129),0,L129/ROUND(M129,4))</f>
        <v>#DIV/0!</v>
      </c>
      <c r="R129" s="101" t="e">
        <f>IF(ISBLANK(M129),0,Q129*ROUND(N129,2))</f>
        <v>#DIV/0!</v>
      </c>
      <c r="S129" s="24" t="e">
        <f>ROUND(P129,2)*Q129</f>
        <v>#DIV/0!</v>
      </c>
      <c r="T129" s="101" t="e">
        <f>Q129*dagenperjaar1</f>
        <v>#DIV/0!</v>
      </c>
      <c r="U129" s="25" t="e">
        <f>T129*ROUND(P129,2)</f>
        <v>#DIV/0!</v>
      </c>
    </row>
    <row r="130" spans="1:21" x14ac:dyDescent="0.2">
      <c r="A130" s="98" t="s">
        <v>417</v>
      </c>
      <c r="B130" s="99" t="s">
        <v>471</v>
      </c>
      <c r="C130" s="99" t="s">
        <v>452</v>
      </c>
      <c r="D130" s="99" t="s">
        <v>476</v>
      </c>
      <c r="E130" s="100" t="s">
        <v>477</v>
      </c>
      <c r="F130" s="99" t="s">
        <v>423</v>
      </c>
      <c r="G130" s="99" t="s">
        <v>248</v>
      </c>
      <c r="H130" s="99" t="s">
        <v>13</v>
      </c>
      <c r="I130" s="99" t="s">
        <v>246</v>
      </c>
      <c r="J130" s="99"/>
      <c r="K130" s="101">
        <v>170</v>
      </c>
      <c r="L130" s="101">
        <f>K130*VLOOKUP(H130,dagsoorttabel1,2,FALSE)</f>
        <v>133.33333333333334</v>
      </c>
      <c r="M130" s="102">
        <f>prodnorm35</f>
        <v>0</v>
      </c>
      <c r="N130" s="37">
        <f>dagwerk35</f>
        <v>0</v>
      </c>
      <c r="O130" s="99" t="s">
        <v>108</v>
      </c>
      <c r="P130" s="24">
        <f>uurtarief35</f>
        <v>0</v>
      </c>
      <c r="Q130" s="101" t="e">
        <f>IF(ISBLANK(M130),0,L130/ROUND(M130,4))</f>
        <v>#DIV/0!</v>
      </c>
      <c r="R130" s="101" t="e">
        <f>IF(ISBLANK(M130),0,Q130*ROUND(N130,2))</f>
        <v>#DIV/0!</v>
      </c>
      <c r="S130" s="24" t="e">
        <f>ROUND(P130,2)*Q130</f>
        <v>#DIV/0!</v>
      </c>
      <c r="T130" s="101" t="e">
        <f>Q130*dagenperjaar1</f>
        <v>#DIV/0!</v>
      </c>
      <c r="U130" s="25" t="e">
        <f>T130*ROUND(P130,2)</f>
        <v>#DIV/0!</v>
      </c>
    </row>
    <row r="131" spans="1:21" x14ac:dyDescent="0.2">
      <c r="A131" s="98" t="s">
        <v>417</v>
      </c>
      <c r="B131" s="99" t="s">
        <v>471</v>
      </c>
      <c r="C131" s="99" t="s">
        <v>452</v>
      </c>
      <c r="D131" s="99" t="s">
        <v>478</v>
      </c>
      <c r="E131" s="100" t="s">
        <v>479</v>
      </c>
      <c r="F131" s="99" t="s">
        <v>423</v>
      </c>
      <c r="G131" s="99" t="s">
        <v>248</v>
      </c>
      <c r="H131" s="99" t="s">
        <v>13</v>
      </c>
      <c r="I131" s="99" t="s">
        <v>246</v>
      </c>
      <c r="J131" s="99"/>
      <c r="K131" s="101">
        <v>28</v>
      </c>
      <c r="L131" s="101">
        <f>K131*VLOOKUP(H131,dagsoorttabel1,2,FALSE)</f>
        <v>21.96078431372549</v>
      </c>
      <c r="M131" s="102">
        <f>prodnorm35</f>
        <v>0</v>
      </c>
      <c r="N131" s="37">
        <f>dagwerk35</f>
        <v>0</v>
      </c>
      <c r="O131" s="99" t="s">
        <v>108</v>
      </c>
      <c r="P131" s="24">
        <f>uurtarief35</f>
        <v>0</v>
      </c>
      <c r="Q131" s="101" t="e">
        <f>IF(ISBLANK(M131),0,L131/ROUND(M131,4))</f>
        <v>#DIV/0!</v>
      </c>
      <c r="R131" s="101" t="e">
        <f>IF(ISBLANK(M131),0,Q131*ROUND(N131,2))</f>
        <v>#DIV/0!</v>
      </c>
      <c r="S131" s="24" t="e">
        <f>ROUND(P131,2)*Q131</f>
        <v>#DIV/0!</v>
      </c>
      <c r="T131" s="101" t="e">
        <f>Q131*dagenperjaar1</f>
        <v>#DIV/0!</v>
      </c>
      <c r="U131" s="25" t="e">
        <f>T131*ROUND(P131,2)</f>
        <v>#DIV/0!</v>
      </c>
    </row>
    <row r="132" spans="1:21" x14ac:dyDescent="0.2">
      <c r="A132" s="98" t="s">
        <v>417</v>
      </c>
      <c r="B132" s="99" t="s">
        <v>471</v>
      </c>
      <c r="C132" s="99" t="s">
        <v>452</v>
      </c>
      <c r="D132" s="99" t="s">
        <v>480</v>
      </c>
      <c r="E132" s="100" t="s">
        <v>479</v>
      </c>
      <c r="F132" s="99" t="s">
        <v>423</v>
      </c>
      <c r="G132" s="99" t="s">
        <v>248</v>
      </c>
      <c r="H132" s="99" t="s">
        <v>13</v>
      </c>
      <c r="I132" s="99" t="s">
        <v>246</v>
      </c>
      <c r="J132" s="99"/>
      <c r="K132" s="101">
        <v>16</v>
      </c>
      <c r="L132" s="101">
        <f>K132*VLOOKUP(H132,dagsoorttabel1,2,FALSE)</f>
        <v>12.549019607843137</v>
      </c>
      <c r="M132" s="102">
        <f>prodnorm35</f>
        <v>0</v>
      </c>
      <c r="N132" s="37">
        <f>dagwerk35</f>
        <v>0</v>
      </c>
      <c r="O132" s="99" t="s">
        <v>108</v>
      </c>
      <c r="P132" s="24">
        <f>uurtarief35</f>
        <v>0</v>
      </c>
      <c r="Q132" s="101" t="e">
        <f>IF(ISBLANK(M132),0,L132/ROUND(M132,4))</f>
        <v>#DIV/0!</v>
      </c>
      <c r="R132" s="101" t="e">
        <f>IF(ISBLANK(M132),0,Q132*ROUND(N132,2))</f>
        <v>#DIV/0!</v>
      </c>
      <c r="S132" s="24" t="e">
        <f>ROUND(P132,2)*Q132</f>
        <v>#DIV/0!</v>
      </c>
      <c r="T132" s="101" t="e">
        <f>Q132*dagenperjaar1</f>
        <v>#DIV/0!</v>
      </c>
      <c r="U132" s="25" t="e">
        <f>T132*ROUND(P132,2)</f>
        <v>#DIV/0!</v>
      </c>
    </row>
    <row r="133" spans="1:21" x14ac:dyDescent="0.2">
      <c r="A133" s="98" t="s">
        <v>417</v>
      </c>
      <c r="B133" s="99" t="s">
        <v>471</v>
      </c>
      <c r="C133" s="99" t="s">
        <v>452</v>
      </c>
      <c r="D133" s="99" t="s">
        <v>481</v>
      </c>
      <c r="E133" s="100" t="s">
        <v>454</v>
      </c>
      <c r="F133" s="99" t="s">
        <v>423</v>
      </c>
      <c r="G133" s="99" t="s">
        <v>248</v>
      </c>
      <c r="H133" s="99" t="s">
        <v>13</v>
      </c>
      <c r="I133" s="99" t="s">
        <v>246</v>
      </c>
      <c r="J133" s="99"/>
      <c r="K133" s="101">
        <v>17.5</v>
      </c>
      <c r="L133" s="101">
        <f>K133*VLOOKUP(H133,dagsoorttabel1,2,FALSE)</f>
        <v>13.725490196078431</v>
      </c>
      <c r="M133" s="102">
        <f>prodnorm35</f>
        <v>0</v>
      </c>
      <c r="N133" s="37">
        <f>dagwerk35</f>
        <v>0</v>
      </c>
      <c r="O133" s="99" t="s">
        <v>108</v>
      </c>
      <c r="P133" s="24">
        <f>uurtarief35</f>
        <v>0</v>
      </c>
      <c r="Q133" s="101" t="e">
        <f>IF(ISBLANK(M133),0,L133/ROUND(M133,4))</f>
        <v>#DIV/0!</v>
      </c>
      <c r="R133" s="101" t="e">
        <f>IF(ISBLANK(M133),0,Q133*ROUND(N133,2))</f>
        <v>#DIV/0!</v>
      </c>
      <c r="S133" s="24" t="e">
        <f>ROUND(P133,2)*Q133</f>
        <v>#DIV/0!</v>
      </c>
      <c r="T133" s="101" t="e">
        <f>Q133*dagenperjaar1</f>
        <v>#DIV/0!</v>
      </c>
      <c r="U133" s="25" t="e">
        <f>T133*ROUND(P133,2)</f>
        <v>#DIV/0!</v>
      </c>
    </row>
    <row r="134" spans="1:21" x14ac:dyDescent="0.2">
      <c r="A134" s="98" t="s">
        <v>417</v>
      </c>
      <c r="B134" s="99" t="s">
        <v>471</v>
      </c>
      <c r="C134" s="99" t="s">
        <v>452</v>
      </c>
      <c r="D134" s="99" t="s">
        <v>482</v>
      </c>
      <c r="E134" s="100" t="s">
        <v>421</v>
      </c>
      <c r="F134" s="99" t="s">
        <v>423</v>
      </c>
      <c r="G134" s="99" t="s">
        <v>277</v>
      </c>
      <c r="H134" s="99" t="s">
        <v>13</v>
      </c>
      <c r="I134" s="99" t="s">
        <v>246</v>
      </c>
      <c r="J134" s="99"/>
      <c r="K134" s="101">
        <v>53.260000000000005</v>
      </c>
      <c r="L134" s="101">
        <f>K134*VLOOKUP(H134,dagsoorttabel1,2,FALSE)</f>
        <v>41.772549019607844</v>
      </c>
      <c r="M134" s="102">
        <f>prodnorm73</f>
        <v>0</v>
      </c>
      <c r="N134" s="37">
        <f>dagwerk73</f>
        <v>0</v>
      </c>
      <c r="O134" s="99" t="s">
        <v>108</v>
      </c>
      <c r="P134" s="24">
        <f>uurtarief73</f>
        <v>0</v>
      </c>
      <c r="Q134" s="101" t="e">
        <f>IF(ISBLANK(M134),0,L134/ROUND(M134,4))</f>
        <v>#DIV/0!</v>
      </c>
      <c r="R134" s="101" t="e">
        <f>IF(ISBLANK(M134),0,Q134*ROUND(N134,2))</f>
        <v>#DIV/0!</v>
      </c>
      <c r="S134" s="24" t="e">
        <f>ROUND(P134,2)*Q134</f>
        <v>#DIV/0!</v>
      </c>
      <c r="T134" s="101" t="e">
        <f>Q134*dagenperjaar1</f>
        <v>#DIV/0!</v>
      </c>
      <c r="U134" s="25" t="e">
        <f>T134*ROUND(P134,2)</f>
        <v>#DIV/0!</v>
      </c>
    </row>
    <row r="135" spans="1:21" x14ac:dyDescent="0.2">
      <c r="A135" s="98" t="s">
        <v>417</v>
      </c>
      <c r="B135" s="99" t="s">
        <v>471</v>
      </c>
      <c r="C135" s="99" t="s">
        <v>452</v>
      </c>
      <c r="D135" s="99" t="s">
        <v>483</v>
      </c>
      <c r="E135" s="100" t="s">
        <v>421</v>
      </c>
      <c r="F135" s="99" t="s">
        <v>423</v>
      </c>
      <c r="G135" s="99" t="s">
        <v>277</v>
      </c>
      <c r="H135" s="99" t="s">
        <v>13</v>
      </c>
      <c r="I135" s="99" t="s">
        <v>246</v>
      </c>
      <c r="J135" s="99"/>
      <c r="K135" s="101">
        <v>82</v>
      </c>
      <c r="L135" s="101">
        <f>K135*VLOOKUP(H135,dagsoorttabel1,2,FALSE)</f>
        <v>64.313725490196077</v>
      </c>
      <c r="M135" s="102">
        <f>prodnorm73</f>
        <v>0</v>
      </c>
      <c r="N135" s="37">
        <f>dagwerk73</f>
        <v>0</v>
      </c>
      <c r="O135" s="99" t="s">
        <v>108</v>
      </c>
      <c r="P135" s="24">
        <f>uurtarief73</f>
        <v>0</v>
      </c>
      <c r="Q135" s="101" t="e">
        <f>IF(ISBLANK(M135),0,L135/ROUND(M135,4))</f>
        <v>#DIV/0!</v>
      </c>
      <c r="R135" s="101" t="e">
        <f>IF(ISBLANK(M135),0,Q135*ROUND(N135,2))</f>
        <v>#DIV/0!</v>
      </c>
      <c r="S135" s="24" t="e">
        <f>ROUND(P135,2)*Q135</f>
        <v>#DIV/0!</v>
      </c>
      <c r="T135" s="101" t="e">
        <f>Q135*dagenperjaar1</f>
        <v>#DIV/0!</v>
      </c>
      <c r="U135" s="25" t="e">
        <f>T135*ROUND(P135,2)</f>
        <v>#DIV/0!</v>
      </c>
    </row>
    <row r="136" spans="1:21" x14ac:dyDescent="0.2">
      <c r="A136" s="98" t="s">
        <v>417</v>
      </c>
      <c r="B136" s="99" t="s">
        <v>471</v>
      </c>
      <c r="C136" s="99" t="s">
        <v>452</v>
      </c>
      <c r="D136" s="99" t="s">
        <v>484</v>
      </c>
      <c r="E136" s="100" t="s">
        <v>485</v>
      </c>
      <c r="F136" s="99" t="s">
        <v>423</v>
      </c>
      <c r="G136" s="99" t="s">
        <v>264</v>
      </c>
      <c r="H136" s="99" t="s">
        <v>13</v>
      </c>
      <c r="I136" s="99" t="s">
        <v>246</v>
      </c>
      <c r="J136" s="99"/>
      <c r="K136" s="101">
        <v>52.5</v>
      </c>
      <c r="L136" s="101">
        <f>K136*VLOOKUP(H136,dagsoorttabel1,2,FALSE)</f>
        <v>41.176470588235297</v>
      </c>
      <c r="M136" s="102">
        <f>prodnorm59</f>
        <v>0</v>
      </c>
      <c r="N136" s="37">
        <f>dagwerk59</f>
        <v>0</v>
      </c>
      <c r="O136" s="99" t="s">
        <v>108</v>
      </c>
      <c r="P136" s="24">
        <f>uurtarief59</f>
        <v>0</v>
      </c>
      <c r="Q136" s="101" t="e">
        <f>IF(ISBLANK(M136),0,L136/ROUND(M136,4))</f>
        <v>#DIV/0!</v>
      </c>
      <c r="R136" s="101" t="e">
        <f>IF(ISBLANK(M136),0,Q136*ROUND(N136,2))</f>
        <v>#DIV/0!</v>
      </c>
      <c r="S136" s="24" t="e">
        <f>ROUND(P136,2)*Q136</f>
        <v>#DIV/0!</v>
      </c>
      <c r="T136" s="101" t="e">
        <f>Q136*dagenperjaar1</f>
        <v>#DIV/0!</v>
      </c>
      <c r="U136" s="25" t="e">
        <f>T136*ROUND(P136,2)</f>
        <v>#DIV/0!</v>
      </c>
    </row>
    <row r="137" spans="1:21" x14ac:dyDescent="0.2">
      <c r="A137" s="98" t="s">
        <v>417</v>
      </c>
      <c r="B137" s="99" t="s">
        <v>471</v>
      </c>
      <c r="C137" s="99" t="s">
        <v>452</v>
      </c>
      <c r="D137" s="99" t="s">
        <v>486</v>
      </c>
      <c r="E137" s="100" t="s">
        <v>485</v>
      </c>
      <c r="F137" s="99" t="s">
        <v>423</v>
      </c>
      <c r="G137" s="99" t="s">
        <v>264</v>
      </c>
      <c r="H137" s="99" t="s">
        <v>13</v>
      </c>
      <c r="I137" s="99" t="s">
        <v>246</v>
      </c>
      <c r="J137" s="99"/>
      <c r="K137" s="101">
        <v>56</v>
      </c>
      <c r="L137" s="101">
        <f>K137*VLOOKUP(H137,dagsoorttabel1,2,FALSE)</f>
        <v>43.921568627450981</v>
      </c>
      <c r="M137" s="102">
        <f>prodnorm59</f>
        <v>0</v>
      </c>
      <c r="N137" s="37">
        <f>dagwerk59</f>
        <v>0</v>
      </c>
      <c r="O137" s="99" t="s">
        <v>108</v>
      </c>
      <c r="P137" s="24">
        <f>uurtarief59</f>
        <v>0</v>
      </c>
      <c r="Q137" s="101" t="e">
        <f>IF(ISBLANK(M137),0,L137/ROUND(M137,4))</f>
        <v>#DIV/0!</v>
      </c>
      <c r="R137" s="101" t="e">
        <f>IF(ISBLANK(M137),0,Q137*ROUND(N137,2))</f>
        <v>#DIV/0!</v>
      </c>
      <c r="S137" s="24" t="e">
        <f>ROUND(P137,2)*Q137</f>
        <v>#DIV/0!</v>
      </c>
      <c r="T137" s="101" t="e">
        <f>Q137*dagenperjaar1</f>
        <v>#DIV/0!</v>
      </c>
      <c r="U137" s="25" t="e">
        <f>T137*ROUND(P137,2)</f>
        <v>#DIV/0!</v>
      </c>
    </row>
    <row r="138" spans="1:21" x14ac:dyDescent="0.2">
      <c r="A138" s="98" t="s">
        <v>417</v>
      </c>
      <c r="B138" s="99" t="s">
        <v>471</v>
      </c>
      <c r="C138" s="99" t="s">
        <v>452</v>
      </c>
      <c r="D138" s="99" t="s">
        <v>487</v>
      </c>
      <c r="E138" s="100" t="s">
        <v>485</v>
      </c>
      <c r="F138" s="99" t="s">
        <v>423</v>
      </c>
      <c r="G138" s="99" t="s">
        <v>264</v>
      </c>
      <c r="H138" s="99" t="s">
        <v>13</v>
      </c>
      <c r="I138" s="99" t="s">
        <v>246</v>
      </c>
      <c r="J138" s="99"/>
      <c r="K138" s="101">
        <v>52.5</v>
      </c>
      <c r="L138" s="101">
        <f>K138*VLOOKUP(H138,dagsoorttabel1,2,FALSE)</f>
        <v>41.176470588235297</v>
      </c>
      <c r="M138" s="102">
        <f>prodnorm59</f>
        <v>0</v>
      </c>
      <c r="N138" s="37">
        <f>dagwerk59</f>
        <v>0</v>
      </c>
      <c r="O138" s="99" t="s">
        <v>108</v>
      </c>
      <c r="P138" s="24">
        <f>uurtarief59</f>
        <v>0</v>
      </c>
      <c r="Q138" s="101" t="e">
        <f>IF(ISBLANK(M138),0,L138/ROUND(M138,4))</f>
        <v>#DIV/0!</v>
      </c>
      <c r="R138" s="101" t="e">
        <f>IF(ISBLANK(M138),0,Q138*ROUND(N138,2))</f>
        <v>#DIV/0!</v>
      </c>
      <c r="S138" s="24" t="e">
        <f>ROUND(P138,2)*Q138</f>
        <v>#DIV/0!</v>
      </c>
      <c r="T138" s="101" t="e">
        <f>Q138*dagenperjaar1</f>
        <v>#DIV/0!</v>
      </c>
      <c r="U138" s="25" t="e">
        <f>T138*ROUND(P138,2)</f>
        <v>#DIV/0!</v>
      </c>
    </row>
    <row r="139" spans="1:21" x14ac:dyDescent="0.2">
      <c r="A139" s="98" t="s">
        <v>417</v>
      </c>
      <c r="B139" s="99" t="s">
        <v>471</v>
      </c>
      <c r="C139" s="99" t="s">
        <v>452</v>
      </c>
      <c r="D139" s="99" t="s">
        <v>488</v>
      </c>
      <c r="E139" s="100" t="s">
        <v>489</v>
      </c>
      <c r="F139" s="99" t="s">
        <v>423</v>
      </c>
      <c r="G139" s="99" t="s">
        <v>248</v>
      </c>
      <c r="H139" s="99" t="s">
        <v>13</v>
      </c>
      <c r="I139" s="99" t="s">
        <v>246</v>
      </c>
      <c r="J139" s="99"/>
      <c r="K139" s="101">
        <v>27.3</v>
      </c>
      <c r="L139" s="101">
        <f>K139*VLOOKUP(H139,dagsoorttabel1,2,FALSE)</f>
        <v>21.411764705882351</v>
      </c>
      <c r="M139" s="102">
        <f>prodnorm35</f>
        <v>0</v>
      </c>
      <c r="N139" s="37">
        <f>dagwerk35</f>
        <v>0</v>
      </c>
      <c r="O139" s="99" t="s">
        <v>108</v>
      </c>
      <c r="P139" s="24">
        <f>uurtarief35</f>
        <v>0</v>
      </c>
      <c r="Q139" s="101" t="e">
        <f>IF(ISBLANK(M139),0,L139/ROUND(M139,4))</f>
        <v>#DIV/0!</v>
      </c>
      <c r="R139" s="101" t="e">
        <f>IF(ISBLANK(M139),0,Q139*ROUND(N139,2))</f>
        <v>#DIV/0!</v>
      </c>
      <c r="S139" s="24" t="e">
        <f>ROUND(P139,2)*Q139</f>
        <v>#DIV/0!</v>
      </c>
      <c r="T139" s="101" t="e">
        <f>Q139*dagenperjaar1</f>
        <v>#DIV/0!</v>
      </c>
      <c r="U139" s="25" t="e">
        <f>T139*ROUND(P139,2)</f>
        <v>#DIV/0!</v>
      </c>
    </row>
    <row r="140" spans="1:21" x14ac:dyDescent="0.2">
      <c r="A140" s="98" t="s">
        <v>417</v>
      </c>
      <c r="B140" s="99" t="s">
        <v>471</v>
      </c>
      <c r="C140" s="99" t="s">
        <v>452</v>
      </c>
      <c r="D140" s="99" t="s">
        <v>490</v>
      </c>
      <c r="E140" s="100" t="s">
        <v>420</v>
      </c>
      <c r="F140" s="99" t="s">
        <v>348</v>
      </c>
      <c r="G140" s="99" t="s">
        <v>270</v>
      </c>
      <c r="H140" s="99" t="s">
        <v>13</v>
      </c>
      <c r="I140" s="99" t="s">
        <v>246</v>
      </c>
      <c r="J140" s="99"/>
      <c r="K140" s="101">
        <v>12.92</v>
      </c>
      <c r="L140" s="101">
        <f>K140*VLOOKUP(H140,dagsoorttabel1,2,FALSE)</f>
        <v>10.133333333333333</v>
      </c>
      <c r="M140" s="102">
        <f>prodnorm64</f>
        <v>0</v>
      </c>
      <c r="N140" s="37">
        <f>dagwerk64</f>
        <v>0</v>
      </c>
      <c r="O140" s="99" t="s">
        <v>108</v>
      </c>
      <c r="P140" s="24">
        <f>uurtarief64</f>
        <v>0</v>
      </c>
      <c r="Q140" s="101" t="e">
        <f>IF(ISBLANK(M140),0,L140/ROUND(M140,4))</f>
        <v>#DIV/0!</v>
      </c>
      <c r="R140" s="101" t="e">
        <f>IF(ISBLANK(M140),0,Q140*ROUND(N140,2))</f>
        <v>#DIV/0!</v>
      </c>
      <c r="S140" s="24" t="e">
        <f>ROUND(P140,2)*Q140</f>
        <v>#DIV/0!</v>
      </c>
      <c r="T140" s="101" t="e">
        <f>Q140*dagenperjaar1</f>
        <v>#DIV/0!</v>
      </c>
      <c r="U140" s="25" t="e">
        <f>T140*ROUND(P140,2)</f>
        <v>#DIV/0!</v>
      </c>
    </row>
    <row r="141" spans="1:21" x14ac:dyDescent="0.2">
      <c r="A141" s="98" t="s">
        <v>417</v>
      </c>
      <c r="B141" s="99" t="s">
        <v>471</v>
      </c>
      <c r="C141" s="99" t="s">
        <v>452</v>
      </c>
      <c r="D141" s="99" t="s">
        <v>491</v>
      </c>
      <c r="E141" s="100" t="s">
        <v>492</v>
      </c>
      <c r="F141" s="99" t="s">
        <v>423</v>
      </c>
      <c r="G141" s="99" t="s">
        <v>257</v>
      </c>
      <c r="H141" s="99" t="s">
        <v>13</v>
      </c>
      <c r="I141" s="99" t="s">
        <v>246</v>
      </c>
      <c r="J141" s="99"/>
      <c r="K141" s="101">
        <v>1.54</v>
      </c>
      <c r="L141" s="101">
        <f>K141*VLOOKUP(H141,dagsoorttabel1,2,FALSE)</f>
        <v>1.2078431372549019</v>
      </c>
      <c r="M141" s="102">
        <f>prodnorm48</f>
        <v>0</v>
      </c>
      <c r="N141" s="37">
        <f>dagwerk48</f>
        <v>0</v>
      </c>
      <c r="O141" s="99" t="s">
        <v>108</v>
      </c>
      <c r="P141" s="24">
        <f>uurtarief48</f>
        <v>0</v>
      </c>
      <c r="Q141" s="101" t="e">
        <f>IF(ISBLANK(M141),0,L141/ROUND(M141,4))</f>
        <v>#DIV/0!</v>
      </c>
      <c r="R141" s="101" t="e">
        <f>IF(ISBLANK(M141),0,Q141*ROUND(N141,2))</f>
        <v>#DIV/0!</v>
      </c>
      <c r="S141" s="24" t="e">
        <f>ROUND(P141,2)*Q141</f>
        <v>#DIV/0!</v>
      </c>
      <c r="T141" s="101" t="e">
        <f>Q141*dagenperjaar1</f>
        <v>#DIV/0!</v>
      </c>
      <c r="U141" s="25" t="e">
        <f>T141*ROUND(P141,2)</f>
        <v>#DIV/0!</v>
      </c>
    </row>
    <row r="142" spans="1:21" x14ac:dyDescent="0.2">
      <c r="A142" s="98" t="s">
        <v>417</v>
      </c>
      <c r="B142" s="99" t="s">
        <v>471</v>
      </c>
      <c r="C142" s="99" t="s">
        <v>452</v>
      </c>
      <c r="D142" s="99" t="s">
        <v>493</v>
      </c>
      <c r="E142" s="100" t="s">
        <v>421</v>
      </c>
      <c r="F142" s="99" t="s">
        <v>423</v>
      </c>
      <c r="G142" s="99" t="s">
        <v>277</v>
      </c>
      <c r="H142" s="99" t="s">
        <v>13</v>
      </c>
      <c r="I142" s="99" t="s">
        <v>246</v>
      </c>
      <c r="J142" s="99"/>
      <c r="K142" s="101">
        <v>53.260000000000005</v>
      </c>
      <c r="L142" s="101">
        <f>K142*VLOOKUP(H142,dagsoorttabel1,2,FALSE)</f>
        <v>41.772549019607844</v>
      </c>
      <c r="M142" s="102">
        <f>prodnorm73</f>
        <v>0</v>
      </c>
      <c r="N142" s="37">
        <f>dagwerk73</f>
        <v>0</v>
      </c>
      <c r="O142" s="99" t="s">
        <v>108</v>
      </c>
      <c r="P142" s="24">
        <f>uurtarief73</f>
        <v>0</v>
      </c>
      <c r="Q142" s="101" t="e">
        <f>IF(ISBLANK(M142),0,L142/ROUND(M142,4))</f>
        <v>#DIV/0!</v>
      </c>
      <c r="R142" s="101" t="e">
        <f>IF(ISBLANK(M142),0,Q142*ROUND(N142,2))</f>
        <v>#DIV/0!</v>
      </c>
      <c r="S142" s="24" t="e">
        <f>ROUND(P142,2)*Q142</f>
        <v>#DIV/0!</v>
      </c>
      <c r="T142" s="101" t="e">
        <f>Q142*dagenperjaar1</f>
        <v>#DIV/0!</v>
      </c>
      <c r="U142" s="25" t="e">
        <f>T142*ROUND(P142,2)</f>
        <v>#DIV/0!</v>
      </c>
    </row>
    <row r="143" spans="1:21" x14ac:dyDescent="0.2">
      <c r="A143" s="98" t="s">
        <v>417</v>
      </c>
      <c r="B143" s="99" t="s">
        <v>471</v>
      </c>
      <c r="C143" s="99" t="s">
        <v>452</v>
      </c>
      <c r="D143" s="99" t="s">
        <v>494</v>
      </c>
      <c r="E143" s="100" t="s">
        <v>430</v>
      </c>
      <c r="F143" s="99" t="s">
        <v>423</v>
      </c>
      <c r="G143" s="99" t="s">
        <v>273</v>
      </c>
      <c r="H143" s="99" t="s">
        <v>13</v>
      </c>
      <c r="I143" s="99" t="s">
        <v>246</v>
      </c>
      <c r="J143" s="99"/>
      <c r="K143" s="101">
        <v>15.84</v>
      </c>
      <c r="L143" s="101">
        <f>K143*VLOOKUP(H143,dagsoorttabel1,2,FALSE)</f>
        <v>12.423529411764706</v>
      </c>
      <c r="M143" s="102">
        <f>prodnorm68</f>
        <v>0</v>
      </c>
      <c r="N143" s="37">
        <f>dagwerk68</f>
        <v>0</v>
      </c>
      <c r="O143" s="99" t="s">
        <v>108</v>
      </c>
      <c r="P143" s="24">
        <f>uurtarief68</f>
        <v>0</v>
      </c>
      <c r="Q143" s="101" t="e">
        <f>IF(ISBLANK(M143),0,L143/ROUND(M143,4))</f>
        <v>#DIV/0!</v>
      </c>
      <c r="R143" s="101" t="e">
        <f>IF(ISBLANK(M143),0,Q143*ROUND(N143,2))</f>
        <v>#DIV/0!</v>
      </c>
      <c r="S143" s="24" t="e">
        <f>ROUND(P143,2)*Q143</f>
        <v>#DIV/0!</v>
      </c>
      <c r="T143" s="101" t="e">
        <f>Q143*dagenperjaar1</f>
        <v>#DIV/0!</v>
      </c>
      <c r="U143" s="25" t="e">
        <f>T143*ROUND(P143,2)</f>
        <v>#DIV/0!</v>
      </c>
    </row>
    <row r="144" spans="1:21" x14ac:dyDescent="0.2">
      <c r="A144" s="98" t="s">
        <v>417</v>
      </c>
      <c r="B144" s="99" t="s">
        <v>471</v>
      </c>
      <c r="C144" s="99" t="s">
        <v>452</v>
      </c>
      <c r="D144" s="99" t="s">
        <v>495</v>
      </c>
      <c r="E144" s="100" t="s">
        <v>430</v>
      </c>
      <c r="F144" s="99" t="s">
        <v>423</v>
      </c>
      <c r="G144" s="99" t="s">
        <v>273</v>
      </c>
      <c r="H144" s="99" t="s">
        <v>13</v>
      </c>
      <c r="I144" s="99" t="s">
        <v>246</v>
      </c>
      <c r="J144" s="99"/>
      <c r="K144" s="101">
        <v>15.84</v>
      </c>
      <c r="L144" s="101">
        <f>K144*VLOOKUP(H144,dagsoorttabel1,2,FALSE)</f>
        <v>12.423529411764706</v>
      </c>
      <c r="M144" s="102">
        <f>prodnorm68</f>
        <v>0</v>
      </c>
      <c r="N144" s="37">
        <f>dagwerk68</f>
        <v>0</v>
      </c>
      <c r="O144" s="99" t="s">
        <v>108</v>
      </c>
      <c r="P144" s="24">
        <f>uurtarief68</f>
        <v>0</v>
      </c>
      <c r="Q144" s="101" t="e">
        <f>IF(ISBLANK(M144),0,L144/ROUND(M144,4))</f>
        <v>#DIV/0!</v>
      </c>
      <c r="R144" s="101" t="e">
        <f>IF(ISBLANK(M144),0,Q144*ROUND(N144,2))</f>
        <v>#DIV/0!</v>
      </c>
      <c r="S144" s="24" t="e">
        <f>ROUND(P144,2)*Q144</f>
        <v>#DIV/0!</v>
      </c>
      <c r="T144" s="101" t="e">
        <f>Q144*dagenperjaar1</f>
        <v>#DIV/0!</v>
      </c>
      <c r="U144" s="25" t="e">
        <f>T144*ROUND(P144,2)</f>
        <v>#DIV/0!</v>
      </c>
    </row>
    <row r="145" spans="1:21" x14ac:dyDescent="0.2">
      <c r="A145" s="98" t="s">
        <v>417</v>
      </c>
      <c r="B145" s="99" t="s">
        <v>471</v>
      </c>
      <c r="C145" s="99" t="s">
        <v>496</v>
      </c>
      <c r="D145" s="99" t="s">
        <v>497</v>
      </c>
      <c r="E145" s="100" t="s">
        <v>421</v>
      </c>
      <c r="F145" s="99" t="s">
        <v>423</v>
      </c>
      <c r="G145" s="99" t="s">
        <v>277</v>
      </c>
      <c r="H145" s="99" t="s">
        <v>13</v>
      </c>
      <c r="I145" s="99" t="s">
        <v>246</v>
      </c>
      <c r="J145" s="99"/>
      <c r="K145" s="101">
        <v>46.120000000000005</v>
      </c>
      <c r="L145" s="101">
        <f>K145*VLOOKUP(H145,dagsoorttabel1,2,FALSE)</f>
        <v>36.17254901960785</v>
      </c>
      <c r="M145" s="102">
        <f>prodnorm73</f>
        <v>0</v>
      </c>
      <c r="N145" s="37">
        <f>dagwerk73</f>
        <v>0</v>
      </c>
      <c r="O145" s="99" t="s">
        <v>108</v>
      </c>
      <c r="P145" s="24">
        <f>uurtarief73</f>
        <v>0</v>
      </c>
      <c r="Q145" s="101" t="e">
        <f>IF(ISBLANK(M145),0,L145/ROUND(M145,4))</f>
        <v>#DIV/0!</v>
      </c>
      <c r="R145" s="101" t="e">
        <f>IF(ISBLANK(M145),0,Q145*ROUND(N145,2))</f>
        <v>#DIV/0!</v>
      </c>
      <c r="S145" s="24" t="e">
        <f>ROUND(P145,2)*Q145</f>
        <v>#DIV/0!</v>
      </c>
      <c r="T145" s="101" t="e">
        <f>Q145*dagenperjaar1</f>
        <v>#DIV/0!</v>
      </c>
      <c r="U145" s="25" t="e">
        <f>T145*ROUND(P145,2)</f>
        <v>#DIV/0!</v>
      </c>
    </row>
    <row r="146" spans="1:21" x14ac:dyDescent="0.2">
      <c r="A146" s="98" t="s">
        <v>417</v>
      </c>
      <c r="B146" s="99" t="s">
        <v>471</v>
      </c>
      <c r="C146" s="99" t="s">
        <v>496</v>
      </c>
      <c r="D146" s="99" t="s">
        <v>498</v>
      </c>
      <c r="E146" s="100" t="s">
        <v>485</v>
      </c>
      <c r="F146" s="99" t="s">
        <v>423</v>
      </c>
      <c r="G146" s="99" t="s">
        <v>264</v>
      </c>
      <c r="H146" s="99" t="s">
        <v>13</v>
      </c>
      <c r="I146" s="99" t="s">
        <v>246</v>
      </c>
      <c r="J146" s="99"/>
      <c r="K146" s="101">
        <v>52.5</v>
      </c>
      <c r="L146" s="101">
        <f>K146*VLOOKUP(H146,dagsoorttabel1,2,FALSE)</f>
        <v>41.176470588235297</v>
      </c>
      <c r="M146" s="102">
        <f>prodnorm59</f>
        <v>0</v>
      </c>
      <c r="N146" s="37">
        <f>dagwerk59</f>
        <v>0</v>
      </c>
      <c r="O146" s="99" t="s">
        <v>108</v>
      </c>
      <c r="P146" s="24">
        <f>uurtarief59</f>
        <v>0</v>
      </c>
      <c r="Q146" s="101" t="e">
        <f>IF(ISBLANK(M146),0,L146/ROUND(M146,4))</f>
        <v>#DIV/0!</v>
      </c>
      <c r="R146" s="101" t="e">
        <f>IF(ISBLANK(M146),0,Q146*ROUND(N146,2))</f>
        <v>#DIV/0!</v>
      </c>
      <c r="S146" s="24" t="e">
        <f>ROUND(P146,2)*Q146</f>
        <v>#DIV/0!</v>
      </c>
      <c r="T146" s="101" t="e">
        <f>Q146*dagenperjaar1</f>
        <v>#DIV/0!</v>
      </c>
      <c r="U146" s="25" t="e">
        <f>T146*ROUND(P146,2)</f>
        <v>#DIV/0!</v>
      </c>
    </row>
    <row r="147" spans="1:21" x14ac:dyDescent="0.2">
      <c r="A147" s="98" t="s">
        <v>417</v>
      </c>
      <c r="B147" s="99" t="s">
        <v>471</v>
      </c>
      <c r="C147" s="99" t="s">
        <v>496</v>
      </c>
      <c r="D147" s="99" t="s">
        <v>499</v>
      </c>
      <c r="E147" s="100" t="s">
        <v>485</v>
      </c>
      <c r="F147" s="99" t="s">
        <v>423</v>
      </c>
      <c r="G147" s="99" t="s">
        <v>264</v>
      </c>
      <c r="H147" s="99" t="s">
        <v>13</v>
      </c>
      <c r="I147" s="99" t="s">
        <v>246</v>
      </c>
      <c r="J147" s="99"/>
      <c r="K147" s="101">
        <v>56</v>
      </c>
      <c r="L147" s="101">
        <f>K147*VLOOKUP(H147,dagsoorttabel1,2,FALSE)</f>
        <v>43.921568627450981</v>
      </c>
      <c r="M147" s="102">
        <f>prodnorm59</f>
        <v>0</v>
      </c>
      <c r="N147" s="37">
        <f>dagwerk59</f>
        <v>0</v>
      </c>
      <c r="O147" s="99" t="s">
        <v>108</v>
      </c>
      <c r="P147" s="24">
        <f>uurtarief59</f>
        <v>0</v>
      </c>
      <c r="Q147" s="101" t="e">
        <f>IF(ISBLANK(M147),0,L147/ROUND(M147,4))</f>
        <v>#DIV/0!</v>
      </c>
      <c r="R147" s="101" t="e">
        <f>IF(ISBLANK(M147),0,Q147*ROUND(N147,2))</f>
        <v>#DIV/0!</v>
      </c>
      <c r="S147" s="24" t="e">
        <f>ROUND(P147,2)*Q147</f>
        <v>#DIV/0!</v>
      </c>
      <c r="T147" s="101" t="e">
        <f>Q147*dagenperjaar1</f>
        <v>#DIV/0!</v>
      </c>
      <c r="U147" s="25" t="e">
        <f>T147*ROUND(P147,2)</f>
        <v>#DIV/0!</v>
      </c>
    </row>
    <row r="148" spans="1:21" x14ac:dyDescent="0.2">
      <c r="A148" s="98" t="s">
        <v>417</v>
      </c>
      <c r="B148" s="99" t="s">
        <v>471</v>
      </c>
      <c r="C148" s="99" t="s">
        <v>496</v>
      </c>
      <c r="D148" s="99" t="s">
        <v>500</v>
      </c>
      <c r="E148" s="100" t="s">
        <v>485</v>
      </c>
      <c r="F148" s="99" t="s">
        <v>423</v>
      </c>
      <c r="G148" s="99" t="s">
        <v>264</v>
      </c>
      <c r="H148" s="99" t="s">
        <v>13</v>
      </c>
      <c r="I148" s="99" t="s">
        <v>246</v>
      </c>
      <c r="J148" s="99"/>
      <c r="K148" s="101">
        <v>52.5</v>
      </c>
      <c r="L148" s="101">
        <f>K148*VLOOKUP(H148,dagsoorttabel1,2,FALSE)</f>
        <v>41.176470588235297</v>
      </c>
      <c r="M148" s="102">
        <f>prodnorm59</f>
        <v>0</v>
      </c>
      <c r="N148" s="37">
        <f>dagwerk59</f>
        <v>0</v>
      </c>
      <c r="O148" s="99" t="s">
        <v>108</v>
      </c>
      <c r="P148" s="24">
        <f>uurtarief59</f>
        <v>0</v>
      </c>
      <c r="Q148" s="101" t="e">
        <f>IF(ISBLANK(M148),0,L148/ROUND(M148,4))</f>
        <v>#DIV/0!</v>
      </c>
      <c r="R148" s="101" t="e">
        <f>IF(ISBLANK(M148),0,Q148*ROUND(N148,2))</f>
        <v>#DIV/0!</v>
      </c>
      <c r="S148" s="24" t="e">
        <f>ROUND(P148,2)*Q148</f>
        <v>#DIV/0!</v>
      </c>
      <c r="T148" s="101" t="e">
        <f>Q148*dagenperjaar1</f>
        <v>#DIV/0!</v>
      </c>
      <c r="U148" s="25" t="e">
        <f>T148*ROUND(P148,2)</f>
        <v>#DIV/0!</v>
      </c>
    </row>
    <row r="149" spans="1:21" x14ac:dyDescent="0.2">
      <c r="A149" s="98" t="s">
        <v>417</v>
      </c>
      <c r="B149" s="99" t="s">
        <v>471</v>
      </c>
      <c r="C149" s="99" t="s">
        <v>496</v>
      </c>
      <c r="D149" s="99" t="s">
        <v>501</v>
      </c>
      <c r="E149" s="100" t="s">
        <v>489</v>
      </c>
      <c r="F149" s="99" t="s">
        <v>423</v>
      </c>
      <c r="G149" s="99" t="s">
        <v>248</v>
      </c>
      <c r="H149" s="99" t="s">
        <v>13</v>
      </c>
      <c r="I149" s="99" t="s">
        <v>246</v>
      </c>
      <c r="J149" s="99"/>
      <c r="K149" s="101">
        <v>27.3</v>
      </c>
      <c r="L149" s="101">
        <f>K149*VLOOKUP(H149,dagsoorttabel1,2,FALSE)</f>
        <v>21.411764705882351</v>
      </c>
      <c r="M149" s="102">
        <f>prodnorm35</f>
        <v>0</v>
      </c>
      <c r="N149" s="37">
        <f>dagwerk35</f>
        <v>0</v>
      </c>
      <c r="O149" s="99" t="s">
        <v>108</v>
      </c>
      <c r="P149" s="24">
        <f>uurtarief35</f>
        <v>0</v>
      </c>
      <c r="Q149" s="101" t="e">
        <f>IF(ISBLANK(M149),0,L149/ROUND(M149,4))</f>
        <v>#DIV/0!</v>
      </c>
      <c r="R149" s="101" t="e">
        <f>IF(ISBLANK(M149),0,Q149*ROUND(N149,2))</f>
        <v>#DIV/0!</v>
      </c>
      <c r="S149" s="24" t="e">
        <f>ROUND(P149,2)*Q149</f>
        <v>#DIV/0!</v>
      </c>
      <c r="T149" s="101" t="e">
        <f>Q149*dagenperjaar1</f>
        <v>#DIV/0!</v>
      </c>
      <c r="U149" s="25" t="e">
        <f>T149*ROUND(P149,2)</f>
        <v>#DIV/0!</v>
      </c>
    </row>
    <row r="150" spans="1:21" x14ac:dyDescent="0.2">
      <c r="A150" s="98" t="s">
        <v>417</v>
      </c>
      <c r="B150" s="99" t="s">
        <v>471</v>
      </c>
      <c r="C150" s="99" t="s">
        <v>496</v>
      </c>
      <c r="D150" s="99" t="s">
        <v>502</v>
      </c>
      <c r="E150" s="100" t="s">
        <v>420</v>
      </c>
      <c r="F150" s="99" t="s">
        <v>348</v>
      </c>
      <c r="G150" s="99" t="s">
        <v>270</v>
      </c>
      <c r="H150" s="99" t="s">
        <v>13</v>
      </c>
      <c r="I150" s="99" t="s">
        <v>246</v>
      </c>
      <c r="J150" s="99"/>
      <c r="K150" s="101">
        <v>12.92</v>
      </c>
      <c r="L150" s="101">
        <f>K150*VLOOKUP(H150,dagsoorttabel1,2,FALSE)</f>
        <v>10.133333333333333</v>
      </c>
      <c r="M150" s="102">
        <f>prodnorm64</f>
        <v>0</v>
      </c>
      <c r="N150" s="37">
        <f>dagwerk64</f>
        <v>0</v>
      </c>
      <c r="O150" s="99" t="s">
        <v>108</v>
      </c>
      <c r="P150" s="24">
        <f>uurtarief64</f>
        <v>0</v>
      </c>
      <c r="Q150" s="101" t="e">
        <f>IF(ISBLANK(M150),0,L150/ROUND(M150,4))</f>
        <v>#DIV/0!</v>
      </c>
      <c r="R150" s="101" t="e">
        <f>IF(ISBLANK(M150),0,Q150*ROUND(N150,2))</f>
        <v>#DIV/0!</v>
      </c>
      <c r="S150" s="24" t="e">
        <f>ROUND(P150,2)*Q150</f>
        <v>#DIV/0!</v>
      </c>
      <c r="T150" s="101" t="e">
        <f>Q150*dagenperjaar1</f>
        <v>#DIV/0!</v>
      </c>
      <c r="U150" s="25" t="e">
        <f>T150*ROUND(P150,2)</f>
        <v>#DIV/0!</v>
      </c>
    </row>
    <row r="151" spans="1:21" x14ac:dyDescent="0.2">
      <c r="A151" s="98" t="s">
        <v>417</v>
      </c>
      <c r="B151" s="99" t="s">
        <v>471</v>
      </c>
      <c r="C151" s="99" t="s">
        <v>496</v>
      </c>
      <c r="D151" s="99" t="s">
        <v>503</v>
      </c>
      <c r="E151" s="100" t="s">
        <v>430</v>
      </c>
      <c r="F151" s="99" t="s">
        <v>423</v>
      </c>
      <c r="G151" s="99" t="s">
        <v>273</v>
      </c>
      <c r="H151" s="99" t="s">
        <v>13</v>
      </c>
      <c r="I151" s="99" t="s">
        <v>246</v>
      </c>
      <c r="J151" s="99"/>
      <c r="K151" s="101">
        <v>15.84</v>
      </c>
      <c r="L151" s="101">
        <f>K151*VLOOKUP(H151,dagsoorttabel1,2,FALSE)</f>
        <v>12.423529411764706</v>
      </c>
      <c r="M151" s="102">
        <f>prodnorm68</f>
        <v>0</v>
      </c>
      <c r="N151" s="37">
        <f>dagwerk68</f>
        <v>0</v>
      </c>
      <c r="O151" s="99" t="s">
        <v>108</v>
      </c>
      <c r="P151" s="24">
        <f>uurtarief68</f>
        <v>0</v>
      </c>
      <c r="Q151" s="101" t="e">
        <f>IF(ISBLANK(M151),0,L151/ROUND(M151,4))</f>
        <v>#DIV/0!</v>
      </c>
      <c r="R151" s="101" t="e">
        <f>IF(ISBLANK(M151),0,Q151*ROUND(N151,2))</f>
        <v>#DIV/0!</v>
      </c>
      <c r="S151" s="24" t="e">
        <f>ROUND(P151,2)*Q151</f>
        <v>#DIV/0!</v>
      </c>
      <c r="T151" s="101" t="e">
        <f>Q151*dagenperjaar1</f>
        <v>#DIV/0!</v>
      </c>
      <c r="U151" s="25" t="e">
        <f>T151*ROUND(P151,2)</f>
        <v>#DIV/0!</v>
      </c>
    </row>
    <row r="152" spans="1:21" x14ac:dyDescent="0.2">
      <c r="A152" s="98" t="s">
        <v>417</v>
      </c>
      <c r="B152" s="99" t="s">
        <v>471</v>
      </c>
      <c r="C152" s="99" t="s">
        <v>496</v>
      </c>
      <c r="D152" s="99" t="s">
        <v>504</v>
      </c>
      <c r="E152" s="100" t="s">
        <v>430</v>
      </c>
      <c r="F152" s="99" t="s">
        <v>423</v>
      </c>
      <c r="G152" s="99" t="s">
        <v>273</v>
      </c>
      <c r="H152" s="99" t="s">
        <v>13</v>
      </c>
      <c r="I152" s="99" t="s">
        <v>246</v>
      </c>
      <c r="J152" s="99"/>
      <c r="K152" s="101">
        <v>15.84</v>
      </c>
      <c r="L152" s="101">
        <f>K152*VLOOKUP(H152,dagsoorttabel1,2,FALSE)</f>
        <v>12.423529411764706</v>
      </c>
      <c r="M152" s="102">
        <f>prodnorm68</f>
        <v>0</v>
      </c>
      <c r="N152" s="37">
        <f>dagwerk68</f>
        <v>0</v>
      </c>
      <c r="O152" s="99" t="s">
        <v>108</v>
      </c>
      <c r="P152" s="24">
        <f>uurtarief68</f>
        <v>0</v>
      </c>
      <c r="Q152" s="101" t="e">
        <f>IF(ISBLANK(M152),0,L152/ROUND(M152,4))</f>
        <v>#DIV/0!</v>
      </c>
      <c r="R152" s="101" t="e">
        <f>IF(ISBLANK(M152),0,Q152*ROUND(N152,2))</f>
        <v>#DIV/0!</v>
      </c>
      <c r="S152" s="24" t="e">
        <f>ROUND(P152,2)*Q152</f>
        <v>#DIV/0!</v>
      </c>
      <c r="T152" s="101" t="e">
        <f>Q152*dagenperjaar1</f>
        <v>#DIV/0!</v>
      </c>
      <c r="U152" s="25" t="e">
        <f>T152*ROUND(P152,2)</f>
        <v>#DIV/0!</v>
      </c>
    </row>
    <row r="153" spans="1:21" x14ac:dyDescent="0.2">
      <c r="A153" s="98" t="s">
        <v>417</v>
      </c>
      <c r="B153" s="99" t="s">
        <v>471</v>
      </c>
      <c r="C153" s="99" t="s">
        <v>505</v>
      </c>
      <c r="D153" s="99" t="s">
        <v>506</v>
      </c>
      <c r="E153" s="100" t="s">
        <v>454</v>
      </c>
      <c r="F153" s="99" t="s">
        <v>423</v>
      </c>
      <c r="G153" s="99" t="s">
        <v>248</v>
      </c>
      <c r="H153" s="99" t="s">
        <v>13</v>
      </c>
      <c r="I153" s="99" t="s">
        <v>246</v>
      </c>
      <c r="J153" s="99"/>
      <c r="K153" s="101">
        <v>30.8</v>
      </c>
      <c r="L153" s="101">
        <f>K153*VLOOKUP(H153,dagsoorttabel1,2,FALSE)</f>
        <v>24.156862745098039</v>
      </c>
      <c r="M153" s="102">
        <f>prodnorm35</f>
        <v>0</v>
      </c>
      <c r="N153" s="37">
        <f>dagwerk35</f>
        <v>0</v>
      </c>
      <c r="O153" s="99" t="s">
        <v>108</v>
      </c>
      <c r="P153" s="24">
        <f>uurtarief35</f>
        <v>0</v>
      </c>
      <c r="Q153" s="101" t="e">
        <f>IF(ISBLANK(M153),0,L153/ROUND(M153,4))</f>
        <v>#DIV/0!</v>
      </c>
      <c r="R153" s="101" t="e">
        <f>IF(ISBLANK(M153),0,Q153*ROUND(N153,2))</f>
        <v>#DIV/0!</v>
      </c>
      <c r="S153" s="24" t="e">
        <f>ROUND(P153,2)*Q153</f>
        <v>#DIV/0!</v>
      </c>
      <c r="T153" s="101" t="e">
        <f>Q153*dagenperjaar1</f>
        <v>#DIV/0!</v>
      </c>
      <c r="U153" s="25" t="e">
        <f>T153*ROUND(P153,2)</f>
        <v>#DIV/0!</v>
      </c>
    </row>
    <row r="154" spans="1:21" x14ac:dyDescent="0.2">
      <c r="A154" s="98" t="s">
        <v>417</v>
      </c>
      <c r="B154" s="99" t="s">
        <v>471</v>
      </c>
      <c r="C154" s="99" t="s">
        <v>505</v>
      </c>
      <c r="D154" s="99" t="s">
        <v>507</v>
      </c>
      <c r="E154" s="100" t="s">
        <v>396</v>
      </c>
      <c r="F154" s="99" t="s">
        <v>423</v>
      </c>
      <c r="G154" s="99" t="s">
        <v>248</v>
      </c>
      <c r="H154" s="99" t="s">
        <v>13</v>
      </c>
      <c r="I154" s="99" t="s">
        <v>246</v>
      </c>
      <c r="J154" s="99"/>
      <c r="K154" s="101">
        <v>18.899999999999999</v>
      </c>
      <c r="L154" s="101">
        <f>K154*VLOOKUP(H154,dagsoorttabel1,2,FALSE)</f>
        <v>14.823529411764705</v>
      </c>
      <c r="M154" s="102">
        <f>prodnorm35</f>
        <v>0</v>
      </c>
      <c r="N154" s="37">
        <f>dagwerk35</f>
        <v>0</v>
      </c>
      <c r="O154" s="99" t="s">
        <v>108</v>
      </c>
      <c r="P154" s="24">
        <f>uurtarief35</f>
        <v>0</v>
      </c>
      <c r="Q154" s="101" t="e">
        <f>IF(ISBLANK(M154),0,L154/ROUND(M154,4))</f>
        <v>#DIV/0!</v>
      </c>
      <c r="R154" s="101" t="e">
        <f>IF(ISBLANK(M154),0,Q154*ROUND(N154,2))</f>
        <v>#DIV/0!</v>
      </c>
      <c r="S154" s="24" t="e">
        <f>ROUND(P154,2)*Q154</f>
        <v>#DIV/0!</v>
      </c>
      <c r="T154" s="101" t="e">
        <f>Q154*dagenperjaar1</f>
        <v>#DIV/0!</v>
      </c>
      <c r="U154" s="25" t="e">
        <f>T154*ROUND(P154,2)</f>
        <v>#DIV/0!</v>
      </c>
    </row>
    <row r="155" spans="1:21" x14ac:dyDescent="0.2">
      <c r="A155" s="98" t="s">
        <v>417</v>
      </c>
      <c r="B155" s="99" t="s">
        <v>471</v>
      </c>
      <c r="C155" s="99" t="s">
        <v>505</v>
      </c>
      <c r="D155" s="99" t="s">
        <v>508</v>
      </c>
      <c r="E155" s="100" t="s">
        <v>396</v>
      </c>
      <c r="F155" s="99" t="s">
        <v>423</v>
      </c>
      <c r="G155" s="99" t="s">
        <v>248</v>
      </c>
      <c r="H155" s="99" t="s">
        <v>13</v>
      </c>
      <c r="I155" s="99" t="s">
        <v>246</v>
      </c>
      <c r="J155" s="99"/>
      <c r="K155" s="101">
        <v>18.899999999999999</v>
      </c>
      <c r="L155" s="101">
        <f>K155*VLOOKUP(H155,dagsoorttabel1,2,FALSE)</f>
        <v>14.823529411764705</v>
      </c>
      <c r="M155" s="102">
        <f>prodnorm35</f>
        <v>0</v>
      </c>
      <c r="N155" s="37">
        <f>dagwerk35</f>
        <v>0</v>
      </c>
      <c r="O155" s="99" t="s">
        <v>108</v>
      </c>
      <c r="P155" s="24">
        <f>uurtarief35</f>
        <v>0</v>
      </c>
      <c r="Q155" s="101" t="e">
        <f>IF(ISBLANK(M155),0,L155/ROUND(M155,4))</f>
        <v>#DIV/0!</v>
      </c>
      <c r="R155" s="101" t="e">
        <f>IF(ISBLANK(M155),0,Q155*ROUND(N155,2))</f>
        <v>#DIV/0!</v>
      </c>
      <c r="S155" s="24" t="e">
        <f>ROUND(P155,2)*Q155</f>
        <v>#DIV/0!</v>
      </c>
      <c r="T155" s="101" t="e">
        <f>Q155*dagenperjaar1</f>
        <v>#DIV/0!</v>
      </c>
      <c r="U155" s="25" t="e">
        <f>T155*ROUND(P155,2)</f>
        <v>#DIV/0!</v>
      </c>
    </row>
    <row r="156" spans="1:21" x14ac:dyDescent="0.2">
      <c r="A156" s="98" t="s">
        <v>417</v>
      </c>
      <c r="B156" s="99" t="s">
        <v>471</v>
      </c>
      <c r="C156" s="99" t="s">
        <v>505</v>
      </c>
      <c r="D156" s="99" t="s">
        <v>509</v>
      </c>
      <c r="E156" s="100" t="s">
        <v>396</v>
      </c>
      <c r="F156" s="99" t="s">
        <v>423</v>
      </c>
      <c r="G156" s="99" t="s">
        <v>248</v>
      </c>
      <c r="H156" s="99" t="s">
        <v>13</v>
      </c>
      <c r="I156" s="99" t="s">
        <v>246</v>
      </c>
      <c r="J156" s="99"/>
      <c r="K156" s="101">
        <v>18.899999999999999</v>
      </c>
      <c r="L156" s="101">
        <f>K156*VLOOKUP(H156,dagsoorttabel1,2,FALSE)</f>
        <v>14.823529411764705</v>
      </c>
      <c r="M156" s="102">
        <f>prodnorm35</f>
        <v>0</v>
      </c>
      <c r="N156" s="37">
        <f>dagwerk35</f>
        <v>0</v>
      </c>
      <c r="O156" s="99" t="s">
        <v>108</v>
      </c>
      <c r="P156" s="24">
        <f>uurtarief35</f>
        <v>0</v>
      </c>
      <c r="Q156" s="101" t="e">
        <f>IF(ISBLANK(M156),0,L156/ROUND(M156,4))</f>
        <v>#DIV/0!</v>
      </c>
      <c r="R156" s="101" t="e">
        <f>IF(ISBLANK(M156),0,Q156*ROUND(N156,2))</f>
        <v>#DIV/0!</v>
      </c>
      <c r="S156" s="24" t="e">
        <f>ROUND(P156,2)*Q156</f>
        <v>#DIV/0!</v>
      </c>
      <c r="T156" s="101" t="e">
        <f>Q156*dagenperjaar1</f>
        <v>#DIV/0!</v>
      </c>
      <c r="U156" s="25" t="e">
        <f>T156*ROUND(P156,2)</f>
        <v>#DIV/0!</v>
      </c>
    </row>
    <row r="157" spans="1:21" x14ac:dyDescent="0.2">
      <c r="A157" s="98" t="s">
        <v>417</v>
      </c>
      <c r="B157" s="99" t="s">
        <v>471</v>
      </c>
      <c r="C157" s="99" t="s">
        <v>505</v>
      </c>
      <c r="D157" s="99" t="s">
        <v>510</v>
      </c>
      <c r="E157" s="100" t="s">
        <v>396</v>
      </c>
      <c r="F157" s="99" t="s">
        <v>423</v>
      </c>
      <c r="G157" s="99" t="s">
        <v>248</v>
      </c>
      <c r="H157" s="99" t="s">
        <v>13</v>
      </c>
      <c r="I157" s="99" t="s">
        <v>246</v>
      </c>
      <c r="J157" s="99"/>
      <c r="K157" s="101">
        <v>38.5</v>
      </c>
      <c r="L157" s="101">
        <f>K157*VLOOKUP(H157,dagsoorttabel1,2,FALSE)</f>
        <v>30.196078431372548</v>
      </c>
      <c r="M157" s="102">
        <f>prodnorm35</f>
        <v>0</v>
      </c>
      <c r="N157" s="37">
        <f>dagwerk35</f>
        <v>0</v>
      </c>
      <c r="O157" s="99" t="s">
        <v>108</v>
      </c>
      <c r="P157" s="24">
        <f>uurtarief35</f>
        <v>0</v>
      </c>
      <c r="Q157" s="101" t="e">
        <f>IF(ISBLANK(M157),0,L157/ROUND(M157,4))</f>
        <v>#DIV/0!</v>
      </c>
      <c r="R157" s="101" t="e">
        <f>IF(ISBLANK(M157),0,Q157*ROUND(N157,2))</f>
        <v>#DIV/0!</v>
      </c>
      <c r="S157" s="24" t="e">
        <f>ROUND(P157,2)*Q157</f>
        <v>#DIV/0!</v>
      </c>
      <c r="T157" s="101" t="e">
        <f>Q157*dagenperjaar1</f>
        <v>#DIV/0!</v>
      </c>
      <c r="U157" s="25" t="e">
        <f>T157*ROUND(P157,2)</f>
        <v>#DIV/0!</v>
      </c>
    </row>
    <row r="158" spans="1:21" x14ac:dyDescent="0.2">
      <c r="A158" s="98" t="s">
        <v>417</v>
      </c>
      <c r="B158" s="99" t="s">
        <v>471</v>
      </c>
      <c r="C158" s="99" t="s">
        <v>505</v>
      </c>
      <c r="D158" s="99" t="s">
        <v>511</v>
      </c>
      <c r="E158" s="100" t="s">
        <v>512</v>
      </c>
      <c r="F158" s="99" t="s">
        <v>423</v>
      </c>
      <c r="G158" s="99" t="s">
        <v>248</v>
      </c>
      <c r="H158" s="99" t="s">
        <v>13</v>
      </c>
      <c r="I158" s="99" t="s">
        <v>246</v>
      </c>
      <c r="J158" s="99"/>
      <c r="K158" s="101">
        <v>53.2</v>
      </c>
      <c r="L158" s="101">
        <f>K158*VLOOKUP(H158,dagsoorttabel1,2,FALSE)</f>
        <v>41.725490196078432</v>
      </c>
      <c r="M158" s="102">
        <f>prodnorm35</f>
        <v>0</v>
      </c>
      <c r="N158" s="37">
        <f>dagwerk35</f>
        <v>0</v>
      </c>
      <c r="O158" s="99" t="s">
        <v>108</v>
      </c>
      <c r="P158" s="24">
        <f>uurtarief35</f>
        <v>0</v>
      </c>
      <c r="Q158" s="101" t="e">
        <f>IF(ISBLANK(M158),0,L158/ROUND(M158,4))</f>
        <v>#DIV/0!</v>
      </c>
      <c r="R158" s="101" t="e">
        <f>IF(ISBLANK(M158),0,Q158*ROUND(N158,2))</f>
        <v>#DIV/0!</v>
      </c>
      <c r="S158" s="24" t="e">
        <f>ROUND(P158,2)*Q158</f>
        <v>#DIV/0!</v>
      </c>
      <c r="T158" s="101" t="e">
        <f>Q158*dagenperjaar1</f>
        <v>#DIV/0!</v>
      </c>
      <c r="U158" s="25" t="e">
        <f>T158*ROUND(P158,2)</f>
        <v>#DIV/0!</v>
      </c>
    </row>
    <row r="159" spans="1:21" x14ac:dyDescent="0.2">
      <c r="A159" s="98" t="s">
        <v>417</v>
      </c>
      <c r="B159" s="99" t="s">
        <v>471</v>
      </c>
      <c r="C159" s="99" t="s">
        <v>505</v>
      </c>
      <c r="D159" s="99" t="s">
        <v>513</v>
      </c>
      <c r="E159" s="100" t="s">
        <v>420</v>
      </c>
      <c r="F159" s="99" t="s">
        <v>423</v>
      </c>
      <c r="G159" s="99" t="s">
        <v>270</v>
      </c>
      <c r="H159" s="99" t="s">
        <v>13</v>
      </c>
      <c r="I159" s="99" t="s">
        <v>246</v>
      </c>
      <c r="J159" s="99"/>
      <c r="K159" s="101">
        <v>3.5</v>
      </c>
      <c r="L159" s="101">
        <f>K159*VLOOKUP(H159,dagsoorttabel1,2,FALSE)</f>
        <v>2.7450980392156863</v>
      </c>
      <c r="M159" s="102">
        <f>prodnorm64</f>
        <v>0</v>
      </c>
      <c r="N159" s="37">
        <f>dagwerk64</f>
        <v>0</v>
      </c>
      <c r="O159" s="99" t="s">
        <v>108</v>
      </c>
      <c r="P159" s="24">
        <f>uurtarief64</f>
        <v>0</v>
      </c>
      <c r="Q159" s="101" t="e">
        <f>IF(ISBLANK(M159),0,L159/ROUND(M159,4))</f>
        <v>#DIV/0!</v>
      </c>
      <c r="R159" s="101" t="e">
        <f>IF(ISBLANK(M159),0,Q159*ROUND(N159,2))</f>
        <v>#DIV/0!</v>
      </c>
      <c r="S159" s="24" t="e">
        <f>ROUND(P159,2)*Q159</f>
        <v>#DIV/0!</v>
      </c>
      <c r="T159" s="101" t="e">
        <f>Q159*dagenperjaar1</f>
        <v>#DIV/0!</v>
      </c>
      <c r="U159" s="25" t="e">
        <f>T159*ROUND(P159,2)</f>
        <v>#DIV/0!</v>
      </c>
    </row>
    <row r="160" spans="1:21" x14ac:dyDescent="0.2">
      <c r="A160" s="98" t="s">
        <v>417</v>
      </c>
      <c r="B160" s="99" t="s">
        <v>471</v>
      </c>
      <c r="C160" s="99" t="s">
        <v>505</v>
      </c>
      <c r="D160" s="99" t="s">
        <v>514</v>
      </c>
      <c r="E160" s="100" t="s">
        <v>515</v>
      </c>
      <c r="F160" s="99" t="s">
        <v>423</v>
      </c>
      <c r="G160" s="99" t="s">
        <v>277</v>
      </c>
      <c r="H160" s="99" t="s">
        <v>13</v>
      </c>
      <c r="I160" s="99" t="s">
        <v>246</v>
      </c>
      <c r="J160" s="99"/>
      <c r="K160" s="101">
        <v>5.95</v>
      </c>
      <c r="L160" s="101">
        <f>K160*VLOOKUP(H160,dagsoorttabel1,2,FALSE)</f>
        <v>4.666666666666667</v>
      </c>
      <c r="M160" s="102">
        <f>prodnorm73</f>
        <v>0</v>
      </c>
      <c r="N160" s="37">
        <f>dagwerk73</f>
        <v>0</v>
      </c>
      <c r="O160" s="99" t="s">
        <v>108</v>
      </c>
      <c r="P160" s="24">
        <f>uurtarief73</f>
        <v>0</v>
      </c>
      <c r="Q160" s="101" t="e">
        <f>IF(ISBLANK(M160),0,L160/ROUND(M160,4))</f>
        <v>#DIV/0!</v>
      </c>
      <c r="R160" s="101" t="e">
        <f>IF(ISBLANK(M160),0,Q160*ROUND(N160,2))</f>
        <v>#DIV/0!</v>
      </c>
      <c r="S160" s="24" t="e">
        <f>ROUND(P160,2)*Q160</f>
        <v>#DIV/0!</v>
      </c>
      <c r="T160" s="101" t="e">
        <f>Q160*dagenperjaar1</f>
        <v>#DIV/0!</v>
      </c>
      <c r="U160" s="25" t="e">
        <f>T160*ROUND(P160,2)</f>
        <v>#DIV/0!</v>
      </c>
    </row>
    <row r="161" spans="1:21" x14ac:dyDescent="0.2">
      <c r="A161" s="98" t="s">
        <v>417</v>
      </c>
      <c r="B161" s="99" t="s">
        <v>471</v>
      </c>
      <c r="C161" s="99" t="s">
        <v>505</v>
      </c>
      <c r="D161" s="99" t="s">
        <v>516</v>
      </c>
      <c r="E161" s="100" t="s">
        <v>396</v>
      </c>
      <c r="F161" s="99" t="s">
        <v>423</v>
      </c>
      <c r="G161" s="99" t="s">
        <v>248</v>
      </c>
      <c r="H161" s="99" t="s">
        <v>13</v>
      </c>
      <c r="I161" s="99" t="s">
        <v>246</v>
      </c>
      <c r="J161" s="99"/>
      <c r="K161" s="101">
        <v>18.55</v>
      </c>
      <c r="L161" s="101">
        <f>K161*VLOOKUP(H161,dagsoorttabel1,2,FALSE)</f>
        <v>14.549019607843137</v>
      </c>
      <c r="M161" s="102">
        <f>prodnorm35</f>
        <v>0</v>
      </c>
      <c r="N161" s="37">
        <f>dagwerk35</f>
        <v>0</v>
      </c>
      <c r="O161" s="99" t="s">
        <v>108</v>
      </c>
      <c r="P161" s="24">
        <f>uurtarief35</f>
        <v>0</v>
      </c>
      <c r="Q161" s="101" t="e">
        <f>IF(ISBLANK(M161),0,L161/ROUND(M161,4))</f>
        <v>#DIV/0!</v>
      </c>
      <c r="R161" s="101" t="e">
        <f>IF(ISBLANK(M161),0,Q161*ROUND(N161,2))</f>
        <v>#DIV/0!</v>
      </c>
      <c r="S161" s="24" t="e">
        <f>ROUND(P161,2)*Q161</f>
        <v>#DIV/0!</v>
      </c>
      <c r="T161" s="101" t="e">
        <f>Q161*dagenperjaar1</f>
        <v>#DIV/0!</v>
      </c>
      <c r="U161" s="25" t="e">
        <f>T161*ROUND(P161,2)</f>
        <v>#DIV/0!</v>
      </c>
    </row>
    <row r="162" spans="1:21" x14ac:dyDescent="0.2">
      <c r="A162" s="103" t="s">
        <v>417</v>
      </c>
      <c r="B162" s="104" t="s">
        <v>471</v>
      </c>
      <c r="C162" s="104" t="s">
        <v>505</v>
      </c>
      <c r="D162" s="104" t="s">
        <v>517</v>
      </c>
      <c r="E162" s="105" t="s">
        <v>421</v>
      </c>
      <c r="F162" s="104" t="s">
        <v>423</v>
      </c>
      <c r="G162" s="104" t="s">
        <v>277</v>
      </c>
      <c r="H162" s="104" t="s">
        <v>13</v>
      </c>
      <c r="I162" s="104" t="s">
        <v>246</v>
      </c>
      <c r="J162" s="104"/>
      <c r="K162" s="106">
        <v>74.149999999999991</v>
      </c>
      <c r="L162" s="106">
        <f>K162*VLOOKUP(H162,dagsoorttabel1,2,FALSE)</f>
        <v>58.156862745098032</v>
      </c>
      <c r="M162" s="107">
        <f>prodnorm73</f>
        <v>0</v>
      </c>
      <c r="N162" s="108">
        <f>dagwerk73</f>
        <v>0</v>
      </c>
      <c r="O162" s="104" t="s">
        <v>108</v>
      </c>
      <c r="P162" s="34">
        <f>uurtarief73</f>
        <v>0</v>
      </c>
      <c r="Q162" s="106" t="e">
        <f>IF(ISBLANK(M162),0,L162/ROUND(M162,4))</f>
        <v>#DIV/0!</v>
      </c>
      <c r="R162" s="106" t="e">
        <f>IF(ISBLANK(M162),0,Q162*ROUND(N162,2))</f>
        <v>#DIV/0!</v>
      </c>
      <c r="S162" s="34" t="e">
        <f>ROUND(P162,2)*Q162</f>
        <v>#DIV/0!</v>
      </c>
      <c r="T162" s="106" t="e">
        <f>Q162*dagenperjaar1</f>
        <v>#DIV/0!</v>
      </c>
      <c r="U162" s="35" t="e">
        <f>T162*ROUND(P162,2)</f>
        <v>#DIV/0!</v>
      </c>
    </row>
    <row r="163" spans="1:21" x14ac:dyDescent="0.2">
      <c r="A163" s="109" t="s">
        <v>403</v>
      </c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81" t="e">
        <f>IF(_xlfn.SINGLE(object3_urenjaar1)&gt;0,_xlfn.SINGLE(object3_prijsjaar1)/_xlfn.SINGLE(object3_urenjaar1),0)</f>
        <v>#DIV/0!</v>
      </c>
      <c r="Q163" s="80" t="e">
        <f>SUM(Q66:Q162)</f>
        <v>#DIV/0!</v>
      </c>
      <c r="R163" s="80" t="e">
        <f>SUM(R66:R162)</f>
        <v>#DIV/0!</v>
      </c>
      <c r="S163" s="81" t="e">
        <f>SUM(S66:S162)</f>
        <v>#DIV/0!</v>
      </c>
      <c r="T163" s="80" t="e">
        <f>SUM(T66:T162)</f>
        <v>#DIV/0!</v>
      </c>
      <c r="U163" s="82" t="e">
        <f>SUM(U66:U162)</f>
        <v>#DIV/0!</v>
      </c>
    </row>
    <row r="164" spans="1:21" x14ac:dyDescent="0.2">
      <c r="A164" s="88" t="s">
        <v>518</v>
      </c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77"/>
    </row>
    <row r="165" spans="1:21" x14ac:dyDescent="0.2">
      <c r="A165" s="90" t="s">
        <v>519</v>
      </c>
      <c r="B165" s="91" t="s">
        <v>50</v>
      </c>
      <c r="C165" s="91" t="s">
        <v>345</v>
      </c>
      <c r="D165" s="91" t="s">
        <v>346</v>
      </c>
      <c r="E165" s="92" t="s">
        <v>415</v>
      </c>
      <c r="F165" s="91" t="s">
        <v>348</v>
      </c>
      <c r="G165" s="91" t="s">
        <v>277</v>
      </c>
      <c r="H165" s="91" t="s">
        <v>16</v>
      </c>
      <c r="I165" s="91" t="s">
        <v>246</v>
      </c>
      <c r="J165" s="91"/>
      <c r="K165" s="93">
        <v>30.53</v>
      </c>
      <c r="L165" s="93">
        <f>K165*VLOOKUP(H165,dagsoorttabel1,2,FALSE)</f>
        <v>17.958823529411767</v>
      </c>
      <c r="M165" s="94">
        <f>prodnorm71</f>
        <v>0</v>
      </c>
      <c r="N165" s="95">
        <f>dagwerk71</f>
        <v>0</v>
      </c>
      <c r="O165" s="91" t="s">
        <v>108</v>
      </c>
      <c r="P165" s="96">
        <f>uurtarief71</f>
        <v>0</v>
      </c>
      <c r="Q165" s="93" t="e">
        <f>IF(ISBLANK(M165),0,L165/ROUND(M165,4))</f>
        <v>#DIV/0!</v>
      </c>
      <c r="R165" s="93" t="e">
        <f>IF(ISBLANK(M165),0,Q165*ROUND(N165,2))</f>
        <v>#DIV/0!</v>
      </c>
      <c r="S165" s="96" t="e">
        <f>ROUND(P165,2)*Q165</f>
        <v>#DIV/0!</v>
      </c>
      <c r="T165" s="93" t="e">
        <f>Q165*dagenperjaar1</f>
        <v>#DIV/0!</v>
      </c>
      <c r="U165" s="97" t="e">
        <f>T165*ROUND(P165,2)</f>
        <v>#DIV/0!</v>
      </c>
    </row>
    <row r="166" spans="1:21" x14ac:dyDescent="0.2">
      <c r="A166" s="98" t="s">
        <v>519</v>
      </c>
      <c r="B166" s="99" t="s">
        <v>50</v>
      </c>
      <c r="C166" s="99" t="s">
        <v>345</v>
      </c>
      <c r="D166" s="99" t="s">
        <v>520</v>
      </c>
      <c r="E166" s="100" t="s">
        <v>521</v>
      </c>
      <c r="F166" s="99" t="s">
        <v>431</v>
      </c>
      <c r="G166" s="99" t="s">
        <v>273</v>
      </c>
      <c r="H166" s="99" t="s">
        <v>16</v>
      </c>
      <c r="I166" s="99" t="s">
        <v>246</v>
      </c>
      <c r="J166" s="99"/>
      <c r="K166" s="101">
        <v>8</v>
      </c>
      <c r="L166" s="101">
        <f>K166*VLOOKUP(H166,dagsoorttabel1,2,FALSE)</f>
        <v>4.7058823529411766</v>
      </c>
      <c r="M166" s="102">
        <f>prodnorm66</f>
        <v>0</v>
      </c>
      <c r="N166" s="37">
        <f>dagwerk66</f>
        <v>0</v>
      </c>
      <c r="O166" s="99" t="s">
        <v>108</v>
      </c>
      <c r="P166" s="24">
        <f>uurtarief66</f>
        <v>0</v>
      </c>
      <c r="Q166" s="101" t="e">
        <f>IF(ISBLANK(M166),0,L166/ROUND(M166,4))</f>
        <v>#DIV/0!</v>
      </c>
      <c r="R166" s="101" t="e">
        <f>IF(ISBLANK(M166),0,Q166*ROUND(N166,2))</f>
        <v>#DIV/0!</v>
      </c>
      <c r="S166" s="24" t="e">
        <f>ROUND(P166,2)*Q166</f>
        <v>#DIV/0!</v>
      </c>
      <c r="T166" s="101" t="e">
        <f>Q166*dagenperjaar1</f>
        <v>#DIV/0!</v>
      </c>
      <c r="U166" s="25" t="e">
        <f>T166*ROUND(P166,2)</f>
        <v>#DIV/0!</v>
      </c>
    </row>
    <row r="167" spans="1:21" x14ac:dyDescent="0.2">
      <c r="A167" s="98" t="s">
        <v>519</v>
      </c>
      <c r="B167" s="99" t="s">
        <v>50</v>
      </c>
      <c r="C167" s="99" t="s">
        <v>345</v>
      </c>
      <c r="D167" s="99" t="s">
        <v>351</v>
      </c>
      <c r="E167" s="100" t="s">
        <v>522</v>
      </c>
      <c r="F167" s="99" t="s">
        <v>423</v>
      </c>
      <c r="G167" s="99" t="s">
        <v>257</v>
      </c>
      <c r="H167" s="99" t="s">
        <v>16</v>
      </c>
      <c r="I167" s="99" t="s">
        <v>246</v>
      </c>
      <c r="J167" s="99"/>
      <c r="K167" s="101">
        <v>1.61</v>
      </c>
      <c r="L167" s="101">
        <f>K167*VLOOKUP(H167,dagsoorttabel1,2,FALSE)</f>
        <v>0.94705882352941184</v>
      </c>
      <c r="M167" s="102">
        <f>prodnorm46</f>
        <v>0</v>
      </c>
      <c r="N167" s="37">
        <f>dagwerk46</f>
        <v>0</v>
      </c>
      <c r="O167" s="99" t="s">
        <v>108</v>
      </c>
      <c r="P167" s="24">
        <f>uurtarief46</f>
        <v>0</v>
      </c>
      <c r="Q167" s="101" t="e">
        <f>IF(ISBLANK(M167),0,L167/ROUND(M167,4))</f>
        <v>#DIV/0!</v>
      </c>
      <c r="R167" s="101" t="e">
        <f>IF(ISBLANK(M167),0,Q167*ROUND(N167,2))</f>
        <v>#DIV/0!</v>
      </c>
      <c r="S167" s="24" t="e">
        <f>ROUND(P167,2)*Q167</f>
        <v>#DIV/0!</v>
      </c>
      <c r="T167" s="101" t="e">
        <f>Q167*dagenperjaar1</f>
        <v>#DIV/0!</v>
      </c>
      <c r="U167" s="25" t="e">
        <f>T167*ROUND(P167,2)</f>
        <v>#DIV/0!</v>
      </c>
    </row>
    <row r="168" spans="1:21" x14ac:dyDescent="0.2">
      <c r="A168" s="98" t="s">
        <v>519</v>
      </c>
      <c r="B168" s="99" t="s">
        <v>50</v>
      </c>
      <c r="C168" s="99" t="s">
        <v>345</v>
      </c>
      <c r="D168" s="99" t="s">
        <v>353</v>
      </c>
      <c r="E168" s="100" t="s">
        <v>523</v>
      </c>
      <c r="F168" s="99" t="s">
        <v>348</v>
      </c>
      <c r="G168" s="99" t="s">
        <v>270</v>
      </c>
      <c r="H168" s="99" t="s">
        <v>16</v>
      </c>
      <c r="I168" s="99" t="s">
        <v>246</v>
      </c>
      <c r="J168" s="99"/>
      <c r="K168" s="101">
        <v>6.4700000000000006</v>
      </c>
      <c r="L168" s="101">
        <f>K168*VLOOKUP(H168,dagsoorttabel1,2,FALSE)</f>
        <v>3.8058823529411772</v>
      </c>
      <c r="M168" s="102">
        <f>prodnorm62</f>
        <v>0</v>
      </c>
      <c r="N168" s="37">
        <f>dagwerk62</f>
        <v>0</v>
      </c>
      <c r="O168" s="99" t="s">
        <v>108</v>
      </c>
      <c r="P168" s="24">
        <f>uurtarief62</f>
        <v>0</v>
      </c>
      <c r="Q168" s="101" t="e">
        <f>IF(ISBLANK(M168),0,L168/ROUND(M168,4))</f>
        <v>#DIV/0!</v>
      </c>
      <c r="R168" s="101" t="e">
        <f>IF(ISBLANK(M168),0,Q168*ROUND(N168,2))</f>
        <v>#DIV/0!</v>
      </c>
      <c r="S168" s="24" t="e">
        <f>ROUND(P168,2)*Q168</f>
        <v>#DIV/0!</v>
      </c>
      <c r="T168" s="101" t="e">
        <f>Q168*dagenperjaar1</f>
        <v>#DIV/0!</v>
      </c>
      <c r="U168" s="25" t="e">
        <f>T168*ROUND(P168,2)</f>
        <v>#DIV/0!</v>
      </c>
    </row>
    <row r="169" spans="1:21" x14ac:dyDescent="0.2">
      <c r="A169" s="98" t="s">
        <v>519</v>
      </c>
      <c r="B169" s="99" t="s">
        <v>50</v>
      </c>
      <c r="C169" s="99" t="s">
        <v>345</v>
      </c>
      <c r="D169" s="99" t="s">
        <v>355</v>
      </c>
      <c r="E169" s="100" t="s">
        <v>524</v>
      </c>
      <c r="F169" s="99" t="s">
        <v>348</v>
      </c>
      <c r="G169" s="99" t="s">
        <v>270</v>
      </c>
      <c r="H169" s="99" t="s">
        <v>16</v>
      </c>
      <c r="I169" s="99" t="s">
        <v>246</v>
      </c>
      <c r="J169" s="99"/>
      <c r="K169" s="101">
        <v>3.34</v>
      </c>
      <c r="L169" s="101">
        <f>K169*VLOOKUP(H169,dagsoorttabel1,2,FALSE)</f>
        <v>1.9647058823529411</v>
      </c>
      <c r="M169" s="102">
        <f>prodnorm62</f>
        <v>0</v>
      </c>
      <c r="N169" s="37">
        <f>dagwerk62</f>
        <v>0</v>
      </c>
      <c r="O169" s="99" t="s">
        <v>108</v>
      </c>
      <c r="P169" s="24">
        <f>uurtarief62</f>
        <v>0</v>
      </c>
      <c r="Q169" s="101" t="e">
        <f>IF(ISBLANK(M169),0,L169/ROUND(M169,4))</f>
        <v>#DIV/0!</v>
      </c>
      <c r="R169" s="101" t="e">
        <f>IF(ISBLANK(M169),0,Q169*ROUND(N169,2))</f>
        <v>#DIV/0!</v>
      </c>
      <c r="S169" s="24" t="e">
        <f>ROUND(P169,2)*Q169</f>
        <v>#DIV/0!</v>
      </c>
      <c r="T169" s="101" t="e">
        <f>Q169*dagenperjaar1</f>
        <v>#DIV/0!</v>
      </c>
      <c r="U169" s="25" t="e">
        <f>T169*ROUND(P169,2)</f>
        <v>#DIV/0!</v>
      </c>
    </row>
    <row r="170" spans="1:21" x14ac:dyDescent="0.2">
      <c r="A170" s="98" t="s">
        <v>519</v>
      </c>
      <c r="B170" s="99" t="s">
        <v>50</v>
      </c>
      <c r="C170" s="99" t="s">
        <v>345</v>
      </c>
      <c r="D170" s="99" t="s">
        <v>357</v>
      </c>
      <c r="E170" s="100" t="s">
        <v>525</v>
      </c>
      <c r="F170" s="99" t="s">
        <v>348</v>
      </c>
      <c r="G170" s="99" t="s">
        <v>270</v>
      </c>
      <c r="H170" s="99" t="s">
        <v>16</v>
      </c>
      <c r="I170" s="99" t="s">
        <v>246</v>
      </c>
      <c r="J170" s="99"/>
      <c r="K170" s="101">
        <v>6.1499999999999995</v>
      </c>
      <c r="L170" s="101">
        <f>K170*VLOOKUP(H170,dagsoorttabel1,2,FALSE)</f>
        <v>3.6176470588235294</v>
      </c>
      <c r="M170" s="102">
        <f>prodnorm62</f>
        <v>0</v>
      </c>
      <c r="N170" s="37">
        <f>dagwerk62</f>
        <v>0</v>
      </c>
      <c r="O170" s="99" t="s">
        <v>108</v>
      </c>
      <c r="P170" s="24">
        <f>uurtarief62</f>
        <v>0</v>
      </c>
      <c r="Q170" s="101" t="e">
        <f>IF(ISBLANK(M170),0,L170/ROUND(M170,4))</f>
        <v>#DIV/0!</v>
      </c>
      <c r="R170" s="101" t="e">
        <f>IF(ISBLANK(M170),0,Q170*ROUND(N170,2))</f>
        <v>#DIV/0!</v>
      </c>
      <c r="S170" s="24" t="e">
        <f>ROUND(P170,2)*Q170</f>
        <v>#DIV/0!</v>
      </c>
      <c r="T170" s="101" t="e">
        <f>Q170*dagenperjaar1</f>
        <v>#DIV/0!</v>
      </c>
      <c r="U170" s="25" t="e">
        <f>T170*ROUND(P170,2)</f>
        <v>#DIV/0!</v>
      </c>
    </row>
    <row r="171" spans="1:21" x14ac:dyDescent="0.2">
      <c r="A171" s="98" t="s">
        <v>519</v>
      </c>
      <c r="B171" s="99" t="s">
        <v>50</v>
      </c>
      <c r="C171" s="99" t="s">
        <v>345</v>
      </c>
      <c r="D171" s="99" t="s">
        <v>359</v>
      </c>
      <c r="E171" s="100" t="s">
        <v>415</v>
      </c>
      <c r="F171" s="99" t="s">
        <v>348</v>
      </c>
      <c r="G171" s="99" t="s">
        <v>277</v>
      </c>
      <c r="H171" s="99" t="s">
        <v>16</v>
      </c>
      <c r="I171" s="99" t="s">
        <v>246</v>
      </c>
      <c r="J171" s="99"/>
      <c r="K171" s="101">
        <v>111.24000000000001</v>
      </c>
      <c r="L171" s="101">
        <f>K171*VLOOKUP(H171,dagsoorttabel1,2,FALSE)</f>
        <v>65.435294117647061</v>
      </c>
      <c r="M171" s="102">
        <f>prodnorm71</f>
        <v>0</v>
      </c>
      <c r="N171" s="37">
        <f>dagwerk71</f>
        <v>0</v>
      </c>
      <c r="O171" s="99" t="s">
        <v>108</v>
      </c>
      <c r="P171" s="24">
        <f>uurtarief71</f>
        <v>0</v>
      </c>
      <c r="Q171" s="101" t="e">
        <f>IF(ISBLANK(M171),0,L171/ROUND(M171,4))</f>
        <v>#DIV/0!</v>
      </c>
      <c r="R171" s="101" t="e">
        <f>IF(ISBLANK(M171),0,Q171*ROUND(N171,2))</f>
        <v>#DIV/0!</v>
      </c>
      <c r="S171" s="24" t="e">
        <f>ROUND(P171,2)*Q171</f>
        <v>#DIV/0!</v>
      </c>
      <c r="T171" s="101" t="e">
        <f>Q171*dagenperjaar1</f>
        <v>#DIV/0!</v>
      </c>
      <c r="U171" s="25" t="e">
        <f>T171*ROUND(P171,2)</f>
        <v>#DIV/0!</v>
      </c>
    </row>
    <row r="172" spans="1:21" x14ac:dyDescent="0.2">
      <c r="A172" s="98" t="s">
        <v>519</v>
      </c>
      <c r="B172" s="99" t="s">
        <v>50</v>
      </c>
      <c r="C172" s="99" t="s">
        <v>345</v>
      </c>
      <c r="D172" s="99" t="s">
        <v>361</v>
      </c>
      <c r="E172" s="100" t="s">
        <v>396</v>
      </c>
      <c r="F172" s="99" t="s">
        <v>348</v>
      </c>
      <c r="G172" s="99" t="s">
        <v>248</v>
      </c>
      <c r="H172" s="99" t="s">
        <v>16</v>
      </c>
      <c r="I172" s="99" t="s">
        <v>246</v>
      </c>
      <c r="J172" s="99"/>
      <c r="K172" s="101">
        <v>13.78</v>
      </c>
      <c r="L172" s="101">
        <f>K172*VLOOKUP(H172,dagsoorttabel1,2,FALSE)</f>
        <v>8.1058823529411761</v>
      </c>
      <c r="M172" s="102">
        <f>prodnorm33</f>
        <v>0</v>
      </c>
      <c r="N172" s="37">
        <f>dagwerk33</f>
        <v>0</v>
      </c>
      <c r="O172" s="99" t="s">
        <v>108</v>
      </c>
      <c r="P172" s="24">
        <f>uurtarief33</f>
        <v>0</v>
      </c>
      <c r="Q172" s="101" t="e">
        <f>IF(ISBLANK(M172),0,L172/ROUND(M172,4))</f>
        <v>#DIV/0!</v>
      </c>
      <c r="R172" s="101" t="e">
        <f>IF(ISBLANK(M172),0,Q172*ROUND(N172,2))</f>
        <v>#DIV/0!</v>
      </c>
      <c r="S172" s="24" t="e">
        <f>ROUND(P172,2)*Q172</f>
        <v>#DIV/0!</v>
      </c>
      <c r="T172" s="101" t="e">
        <f>Q172*dagenperjaar1</f>
        <v>#DIV/0!</v>
      </c>
      <c r="U172" s="25" t="e">
        <f>T172*ROUND(P172,2)</f>
        <v>#DIV/0!</v>
      </c>
    </row>
    <row r="173" spans="1:21" x14ac:dyDescent="0.2">
      <c r="A173" s="98" t="s">
        <v>519</v>
      </c>
      <c r="B173" s="99" t="s">
        <v>50</v>
      </c>
      <c r="C173" s="99" t="s">
        <v>345</v>
      </c>
      <c r="D173" s="99" t="s">
        <v>363</v>
      </c>
      <c r="E173" s="100" t="s">
        <v>380</v>
      </c>
      <c r="F173" s="99" t="s">
        <v>348</v>
      </c>
      <c r="G173" s="99" t="s">
        <v>270</v>
      </c>
      <c r="H173" s="99" t="s">
        <v>16</v>
      </c>
      <c r="I173" s="99" t="s">
        <v>246</v>
      </c>
      <c r="J173" s="99"/>
      <c r="K173" s="101">
        <v>1.42</v>
      </c>
      <c r="L173" s="101">
        <f>K173*VLOOKUP(H173,dagsoorttabel1,2,FALSE)</f>
        <v>0.83529411764705885</v>
      </c>
      <c r="M173" s="102">
        <f>prodnorm62</f>
        <v>0</v>
      </c>
      <c r="N173" s="37">
        <f>dagwerk62</f>
        <v>0</v>
      </c>
      <c r="O173" s="99" t="s">
        <v>108</v>
      </c>
      <c r="P173" s="24">
        <f>uurtarief62</f>
        <v>0</v>
      </c>
      <c r="Q173" s="101" t="e">
        <f>IF(ISBLANK(M173),0,L173/ROUND(M173,4))</f>
        <v>#DIV/0!</v>
      </c>
      <c r="R173" s="101" t="e">
        <f>IF(ISBLANK(M173),0,Q173*ROUND(N173,2))</f>
        <v>#DIV/0!</v>
      </c>
      <c r="S173" s="24" t="e">
        <f>ROUND(P173,2)*Q173</f>
        <v>#DIV/0!</v>
      </c>
      <c r="T173" s="101" t="e">
        <f>Q173*dagenperjaar1</f>
        <v>#DIV/0!</v>
      </c>
      <c r="U173" s="25" t="e">
        <f>T173*ROUND(P173,2)</f>
        <v>#DIV/0!</v>
      </c>
    </row>
    <row r="174" spans="1:21" x14ac:dyDescent="0.2">
      <c r="A174" s="98" t="s">
        <v>519</v>
      </c>
      <c r="B174" s="99" t="s">
        <v>50</v>
      </c>
      <c r="C174" s="99" t="s">
        <v>345</v>
      </c>
      <c r="D174" s="99" t="s">
        <v>526</v>
      </c>
      <c r="E174" s="100" t="s">
        <v>527</v>
      </c>
      <c r="F174" s="99" t="s">
        <v>348</v>
      </c>
      <c r="G174" s="99" t="s">
        <v>251</v>
      </c>
      <c r="H174" s="99" t="s">
        <v>16</v>
      </c>
      <c r="I174" s="99" t="s">
        <v>246</v>
      </c>
      <c r="J174" s="99"/>
      <c r="K174" s="101">
        <v>17.75</v>
      </c>
      <c r="L174" s="101">
        <f>K174*VLOOKUP(H174,dagsoorttabel1,2,FALSE)</f>
        <v>10.441176470588236</v>
      </c>
      <c r="M174" s="102">
        <f>prodnorm37</f>
        <v>0</v>
      </c>
      <c r="N174" s="37">
        <f>dagwerk37</f>
        <v>0</v>
      </c>
      <c r="O174" s="99" t="s">
        <v>108</v>
      </c>
      <c r="P174" s="24">
        <f>uurtarief37</f>
        <v>0</v>
      </c>
      <c r="Q174" s="101" t="e">
        <f>IF(ISBLANK(M174),0,L174/ROUND(M174,4))</f>
        <v>#DIV/0!</v>
      </c>
      <c r="R174" s="101" t="e">
        <f>IF(ISBLANK(M174),0,Q174*ROUND(N174,2))</f>
        <v>#DIV/0!</v>
      </c>
      <c r="S174" s="24" t="e">
        <f>ROUND(P174,2)*Q174</f>
        <v>#DIV/0!</v>
      </c>
      <c r="T174" s="101" t="e">
        <f>Q174*dagenperjaar1</f>
        <v>#DIV/0!</v>
      </c>
      <c r="U174" s="25" t="e">
        <f>T174*ROUND(P174,2)</f>
        <v>#DIV/0!</v>
      </c>
    </row>
    <row r="175" spans="1:21" x14ac:dyDescent="0.2">
      <c r="A175" s="98" t="s">
        <v>519</v>
      </c>
      <c r="B175" s="99" t="s">
        <v>50</v>
      </c>
      <c r="C175" s="99" t="s">
        <v>345</v>
      </c>
      <c r="D175" s="99" t="s">
        <v>528</v>
      </c>
      <c r="E175" s="100" t="s">
        <v>529</v>
      </c>
      <c r="F175" s="99" t="s">
        <v>348</v>
      </c>
      <c r="G175" s="99" t="s">
        <v>262</v>
      </c>
      <c r="H175" s="99" t="s">
        <v>16</v>
      </c>
      <c r="I175" s="99" t="s">
        <v>246</v>
      </c>
      <c r="J175" s="99"/>
      <c r="K175" s="101">
        <v>30</v>
      </c>
      <c r="L175" s="101">
        <f>K175*VLOOKUP(H175,dagsoorttabel1,2,FALSE)</f>
        <v>17.647058823529413</v>
      </c>
      <c r="M175" s="102">
        <f>prodnorm55</f>
        <v>0</v>
      </c>
      <c r="N175" s="37">
        <f>dagwerk55</f>
        <v>0</v>
      </c>
      <c r="O175" s="99" t="s">
        <v>108</v>
      </c>
      <c r="P175" s="24">
        <f>uurtarief55</f>
        <v>0</v>
      </c>
      <c r="Q175" s="101" t="e">
        <f>IF(ISBLANK(M175),0,L175/ROUND(M175,4))</f>
        <v>#DIV/0!</v>
      </c>
      <c r="R175" s="101" t="e">
        <f>IF(ISBLANK(M175),0,Q175*ROUND(N175,2))</f>
        <v>#DIV/0!</v>
      </c>
      <c r="S175" s="24" t="e">
        <f>ROUND(P175,2)*Q175</f>
        <v>#DIV/0!</v>
      </c>
      <c r="T175" s="101" t="e">
        <f>Q175*dagenperjaar1</f>
        <v>#DIV/0!</v>
      </c>
      <c r="U175" s="25" t="e">
        <f>T175*ROUND(P175,2)</f>
        <v>#DIV/0!</v>
      </c>
    </row>
    <row r="176" spans="1:21" x14ac:dyDescent="0.2">
      <c r="A176" s="98" t="s">
        <v>519</v>
      </c>
      <c r="B176" s="99" t="s">
        <v>50</v>
      </c>
      <c r="C176" s="99" t="s">
        <v>345</v>
      </c>
      <c r="D176" s="99" t="s">
        <v>530</v>
      </c>
      <c r="E176" s="100" t="s">
        <v>380</v>
      </c>
      <c r="F176" s="99" t="s">
        <v>348</v>
      </c>
      <c r="G176" s="99" t="s">
        <v>270</v>
      </c>
      <c r="H176" s="99" t="s">
        <v>16</v>
      </c>
      <c r="I176" s="99" t="s">
        <v>246</v>
      </c>
      <c r="J176" s="99"/>
      <c r="K176" s="101">
        <v>1.25</v>
      </c>
      <c r="L176" s="101">
        <f>K176*VLOOKUP(H176,dagsoorttabel1,2,FALSE)</f>
        <v>0.73529411764705888</v>
      </c>
      <c r="M176" s="102">
        <f>prodnorm62</f>
        <v>0</v>
      </c>
      <c r="N176" s="37">
        <f>dagwerk62</f>
        <v>0</v>
      </c>
      <c r="O176" s="99" t="s">
        <v>108</v>
      </c>
      <c r="P176" s="24">
        <f>uurtarief62</f>
        <v>0</v>
      </c>
      <c r="Q176" s="101" t="e">
        <f>IF(ISBLANK(M176),0,L176/ROUND(M176,4))</f>
        <v>#DIV/0!</v>
      </c>
      <c r="R176" s="101" t="e">
        <f>IF(ISBLANK(M176),0,Q176*ROUND(N176,2))</f>
        <v>#DIV/0!</v>
      </c>
      <c r="S176" s="24" t="e">
        <f>ROUND(P176,2)*Q176</f>
        <v>#DIV/0!</v>
      </c>
      <c r="T176" s="101" t="e">
        <f>Q176*dagenperjaar1</f>
        <v>#DIV/0!</v>
      </c>
      <c r="U176" s="25" t="e">
        <f>T176*ROUND(P176,2)</f>
        <v>#DIV/0!</v>
      </c>
    </row>
    <row r="177" spans="1:21" x14ac:dyDescent="0.2">
      <c r="A177" s="98" t="s">
        <v>519</v>
      </c>
      <c r="B177" s="99" t="s">
        <v>50</v>
      </c>
      <c r="C177" s="99" t="s">
        <v>345</v>
      </c>
      <c r="D177" s="99" t="s">
        <v>367</v>
      </c>
      <c r="E177" s="100" t="s">
        <v>529</v>
      </c>
      <c r="F177" s="99" t="s">
        <v>348</v>
      </c>
      <c r="G177" s="99" t="s">
        <v>262</v>
      </c>
      <c r="H177" s="99" t="s">
        <v>16</v>
      </c>
      <c r="I177" s="99" t="s">
        <v>246</v>
      </c>
      <c r="J177" s="99"/>
      <c r="K177" s="101">
        <v>30</v>
      </c>
      <c r="L177" s="101">
        <f>K177*VLOOKUP(H177,dagsoorttabel1,2,FALSE)</f>
        <v>17.647058823529413</v>
      </c>
      <c r="M177" s="102">
        <f>prodnorm55</f>
        <v>0</v>
      </c>
      <c r="N177" s="37">
        <f>dagwerk55</f>
        <v>0</v>
      </c>
      <c r="O177" s="99" t="s">
        <v>108</v>
      </c>
      <c r="P177" s="24">
        <f>uurtarief55</f>
        <v>0</v>
      </c>
      <c r="Q177" s="101" t="e">
        <f>IF(ISBLANK(M177),0,L177/ROUND(M177,4))</f>
        <v>#DIV/0!</v>
      </c>
      <c r="R177" s="101" t="e">
        <f>IF(ISBLANK(M177),0,Q177*ROUND(N177,2))</f>
        <v>#DIV/0!</v>
      </c>
      <c r="S177" s="24" t="e">
        <f>ROUND(P177,2)*Q177</f>
        <v>#DIV/0!</v>
      </c>
      <c r="T177" s="101" t="e">
        <f>Q177*dagenperjaar1</f>
        <v>#DIV/0!</v>
      </c>
      <c r="U177" s="25" t="e">
        <f>T177*ROUND(P177,2)</f>
        <v>#DIV/0!</v>
      </c>
    </row>
    <row r="178" spans="1:21" x14ac:dyDescent="0.2">
      <c r="A178" s="98" t="s">
        <v>519</v>
      </c>
      <c r="B178" s="99" t="s">
        <v>50</v>
      </c>
      <c r="C178" s="99" t="s">
        <v>345</v>
      </c>
      <c r="D178" s="99" t="s">
        <v>531</v>
      </c>
      <c r="E178" s="100" t="s">
        <v>527</v>
      </c>
      <c r="F178" s="99" t="s">
        <v>348</v>
      </c>
      <c r="G178" s="99" t="s">
        <v>251</v>
      </c>
      <c r="H178" s="99" t="s">
        <v>16</v>
      </c>
      <c r="I178" s="99" t="s">
        <v>246</v>
      </c>
      <c r="J178" s="99"/>
      <c r="K178" s="101">
        <v>17.75</v>
      </c>
      <c r="L178" s="101">
        <f>K178*VLOOKUP(H178,dagsoorttabel1,2,FALSE)</f>
        <v>10.441176470588236</v>
      </c>
      <c r="M178" s="102">
        <f>prodnorm37</f>
        <v>0</v>
      </c>
      <c r="N178" s="37">
        <f>dagwerk37</f>
        <v>0</v>
      </c>
      <c r="O178" s="99" t="s">
        <v>108</v>
      </c>
      <c r="P178" s="24">
        <f>uurtarief37</f>
        <v>0</v>
      </c>
      <c r="Q178" s="101" t="e">
        <f>IF(ISBLANK(M178),0,L178/ROUND(M178,4))</f>
        <v>#DIV/0!</v>
      </c>
      <c r="R178" s="101" t="e">
        <f>IF(ISBLANK(M178),0,Q178*ROUND(N178,2))</f>
        <v>#DIV/0!</v>
      </c>
      <c r="S178" s="24" t="e">
        <f>ROUND(P178,2)*Q178</f>
        <v>#DIV/0!</v>
      </c>
      <c r="T178" s="101" t="e">
        <f>Q178*dagenperjaar1</f>
        <v>#DIV/0!</v>
      </c>
      <c r="U178" s="25" t="e">
        <f>T178*ROUND(P178,2)</f>
        <v>#DIV/0!</v>
      </c>
    </row>
    <row r="179" spans="1:21" x14ac:dyDescent="0.2">
      <c r="A179" s="98" t="s">
        <v>519</v>
      </c>
      <c r="B179" s="99" t="s">
        <v>50</v>
      </c>
      <c r="C179" s="99" t="s">
        <v>345</v>
      </c>
      <c r="D179" s="99" t="s">
        <v>532</v>
      </c>
      <c r="E179" s="100" t="s">
        <v>380</v>
      </c>
      <c r="F179" s="99" t="s">
        <v>348</v>
      </c>
      <c r="G179" s="99" t="s">
        <v>270</v>
      </c>
      <c r="H179" s="99" t="s">
        <v>16</v>
      </c>
      <c r="I179" s="99" t="s">
        <v>246</v>
      </c>
      <c r="J179" s="99"/>
      <c r="K179" s="101">
        <v>1.25</v>
      </c>
      <c r="L179" s="101">
        <f>K179*VLOOKUP(H179,dagsoorttabel1,2,FALSE)</f>
        <v>0.73529411764705888</v>
      </c>
      <c r="M179" s="102">
        <f>prodnorm62</f>
        <v>0</v>
      </c>
      <c r="N179" s="37">
        <f>dagwerk62</f>
        <v>0</v>
      </c>
      <c r="O179" s="99" t="s">
        <v>108</v>
      </c>
      <c r="P179" s="24">
        <f>uurtarief62</f>
        <v>0</v>
      </c>
      <c r="Q179" s="101" t="e">
        <f>IF(ISBLANK(M179),0,L179/ROUND(M179,4))</f>
        <v>#DIV/0!</v>
      </c>
      <c r="R179" s="101" t="e">
        <f>IF(ISBLANK(M179),0,Q179*ROUND(N179,2))</f>
        <v>#DIV/0!</v>
      </c>
      <c r="S179" s="24" t="e">
        <f>ROUND(P179,2)*Q179</f>
        <v>#DIV/0!</v>
      </c>
      <c r="T179" s="101" t="e">
        <f>Q179*dagenperjaar1</f>
        <v>#DIV/0!</v>
      </c>
      <c r="U179" s="25" t="e">
        <f>T179*ROUND(P179,2)</f>
        <v>#DIV/0!</v>
      </c>
    </row>
    <row r="180" spans="1:21" x14ac:dyDescent="0.2">
      <c r="A180" s="98" t="s">
        <v>519</v>
      </c>
      <c r="B180" s="99" t="s">
        <v>50</v>
      </c>
      <c r="C180" s="99" t="s">
        <v>345</v>
      </c>
      <c r="D180" s="99" t="s">
        <v>533</v>
      </c>
      <c r="E180" s="100" t="s">
        <v>521</v>
      </c>
      <c r="F180" s="99" t="s">
        <v>534</v>
      </c>
      <c r="G180" s="99" t="s">
        <v>273</v>
      </c>
      <c r="H180" s="99" t="s">
        <v>16</v>
      </c>
      <c r="I180" s="99" t="s">
        <v>246</v>
      </c>
      <c r="J180" s="99"/>
      <c r="K180" s="101">
        <v>4.25</v>
      </c>
      <c r="L180" s="101">
        <f>K180*VLOOKUP(H180,dagsoorttabel1,2,FALSE)</f>
        <v>2.5</v>
      </c>
      <c r="M180" s="102">
        <f>prodnorm66</f>
        <v>0</v>
      </c>
      <c r="N180" s="37">
        <f>dagwerk66</f>
        <v>0</v>
      </c>
      <c r="O180" s="99" t="s">
        <v>108</v>
      </c>
      <c r="P180" s="24">
        <f>uurtarief66</f>
        <v>0</v>
      </c>
      <c r="Q180" s="101" t="e">
        <f>IF(ISBLANK(M180),0,L180/ROUND(M180,4))</f>
        <v>#DIV/0!</v>
      </c>
      <c r="R180" s="101" t="e">
        <f>IF(ISBLANK(M180),0,Q180*ROUND(N180,2))</f>
        <v>#DIV/0!</v>
      </c>
      <c r="S180" s="24" t="e">
        <f>ROUND(P180,2)*Q180</f>
        <v>#DIV/0!</v>
      </c>
      <c r="T180" s="101" t="e">
        <f>Q180*dagenperjaar1</f>
        <v>#DIV/0!</v>
      </c>
      <c r="U180" s="25" t="e">
        <f>T180*ROUND(P180,2)</f>
        <v>#DIV/0!</v>
      </c>
    </row>
    <row r="181" spans="1:21" x14ac:dyDescent="0.2">
      <c r="A181" s="98" t="s">
        <v>519</v>
      </c>
      <c r="B181" s="99" t="s">
        <v>50</v>
      </c>
      <c r="C181" s="99" t="s">
        <v>452</v>
      </c>
      <c r="D181" s="99" t="s">
        <v>453</v>
      </c>
      <c r="E181" s="100" t="s">
        <v>415</v>
      </c>
      <c r="F181" s="99" t="s">
        <v>423</v>
      </c>
      <c r="G181" s="99" t="s">
        <v>277</v>
      </c>
      <c r="H181" s="99" t="s">
        <v>16</v>
      </c>
      <c r="I181" s="99" t="s">
        <v>246</v>
      </c>
      <c r="J181" s="99"/>
      <c r="K181" s="101">
        <v>3.3699999999999997</v>
      </c>
      <c r="L181" s="101">
        <f>K181*VLOOKUP(H181,dagsoorttabel1,2,FALSE)</f>
        <v>1.9823529411764704</v>
      </c>
      <c r="M181" s="102">
        <f>prodnorm71</f>
        <v>0</v>
      </c>
      <c r="N181" s="37">
        <f>dagwerk71</f>
        <v>0</v>
      </c>
      <c r="O181" s="99" t="s">
        <v>108</v>
      </c>
      <c r="P181" s="24">
        <f>uurtarief71</f>
        <v>0</v>
      </c>
      <c r="Q181" s="101" t="e">
        <f>IF(ISBLANK(M181),0,L181/ROUND(M181,4))</f>
        <v>#DIV/0!</v>
      </c>
      <c r="R181" s="101" t="e">
        <f>IF(ISBLANK(M181),0,Q181*ROUND(N181,2))</f>
        <v>#DIV/0!</v>
      </c>
      <c r="S181" s="24" t="e">
        <f>ROUND(P181,2)*Q181</f>
        <v>#DIV/0!</v>
      </c>
      <c r="T181" s="101" t="e">
        <f>Q181*dagenperjaar1</f>
        <v>#DIV/0!</v>
      </c>
      <c r="U181" s="25" t="e">
        <f>T181*ROUND(P181,2)</f>
        <v>#DIV/0!</v>
      </c>
    </row>
    <row r="182" spans="1:21" x14ac:dyDescent="0.2">
      <c r="A182" s="98" t="s">
        <v>519</v>
      </c>
      <c r="B182" s="99" t="s">
        <v>50</v>
      </c>
      <c r="C182" s="99" t="s">
        <v>452</v>
      </c>
      <c r="D182" s="99" t="s">
        <v>535</v>
      </c>
      <c r="E182" s="100" t="s">
        <v>521</v>
      </c>
      <c r="F182" s="99" t="s">
        <v>534</v>
      </c>
      <c r="G182" s="99" t="s">
        <v>273</v>
      </c>
      <c r="H182" s="99" t="s">
        <v>16</v>
      </c>
      <c r="I182" s="99" t="s">
        <v>246</v>
      </c>
      <c r="J182" s="99"/>
      <c r="K182" s="101">
        <v>4</v>
      </c>
      <c r="L182" s="101">
        <f>K182*VLOOKUP(H182,dagsoorttabel1,2,FALSE)</f>
        <v>2.3529411764705883</v>
      </c>
      <c r="M182" s="102">
        <f>prodnorm66</f>
        <v>0</v>
      </c>
      <c r="N182" s="37">
        <f>dagwerk66</f>
        <v>0</v>
      </c>
      <c r="O182" s="99" t="s">
        <v>108</v>
      </c>
      <c r="P182" s="24">
        <f>uurtarief66</f>
        <v>0</v>
      </c>
      <c r="Q182" s="101" t="e">
        <f>IF(ISBLANK(M182),0,L182/ROUND(M182,4))</f>
        <v>#DIV/0!</v>
      </c>
      <c r="R182" s="101" t="e">
        <f>IF(ISBLANK(M182),0,Q182*ROUND(N182,2))</f>
        <v>#DIV/0!</v>
      </c>
      <c r="S182" s="24" t="e">
        <f>ROUND(P182,2)*Q182</f>
        <v>#DIV/0!</v>
      </c>
      <c r="T182" s="101" t="e">
        <f>Q182*dagenperjaar1</f>
        <v>#DIV/0!</v>
      </c>
      <c r="U182" s="25" t="e">
        <f>T182*ROUND(P182,2)</f>
        <v>#DIV/0!</v>
      </c>
    </row>
    <row r="183" spans="1:21" x14ac:dyDescent="0.2">
      <c r="A183" s="98" t="s">
        <v>519</v>
      </c>
      <c r="B183" s="99" t="s">
        <v>50</v>
      </c>
      <c r="C183" s="99" t="s">
        <v>452</v>
      </c>
      <c r="D183" s="99" t="s">
        <v>455</v>
      </c>
      <c r="E183" s="100" t="s">
        <v>536</v>
      </c>
      <c r="F183" s="99" t="s">
        <v>537</v>
      </c>
      <c r="G183" s="99" t="s">
        <v>259</v>
      </c>
      <c r="H183" s="99" t="s">
        <v>16</v>
      </c>
      <c r="I183" s="99" t="s">
        <v>246</v>
      </c>
      <c r="J183" s="99"/>
      <c r="K183" s="101">
        <v>1140</v>
      </c>
      <c r="L183" s="101">
        <f>K183*VLOOKUP(H183,dagsoorttabel1,2,FALSE)</f>
        <v>670.58823529411768</v>
      </c>
      <c r="M183" s="102">
        <f>prodnorm49</f>
        <v>0</v>
      </c>
      <c r="N183" s="37">
        <f>dagwerk49</f>
        <v>0</v>
      </c>
      <c r="O183" s="99" t="s">
        <v>108</v>
      </c>
      <c r="P183" s="24">
        <f>uurtarief49</f>
        <v>0</v>
      </c>
      <c r="Q183" s="101" t="e">
        <f>IF(ISBLANK(M183),0,L183/ROUND(M183,4))</f>
        <v>#DIV/0!</v>
      </c>
      <c r="R183" s="101" t="e">
        <f>IF(ISBLANK(M183),0,Q183*ROUND(N183,2))</f>
        <v>#DIV/0!</v>
      </c>
      <c r="S183" s="24" t="e">
        <f>ROUND(P183,2)*Q183</f>
        <v>#DIV/0!</v>
      </c>
      <c r="T183" s="101" t="e">
        <f>Q183*dagenperjaar1</f>
        <v>#DIV/0!</v>
      </c>
      <c r="U183" s="25" t="e">
        <f>T183*ROUND(P183,2)</f>
        <v>#DIV/0!</v>
      </c>
    </row>
    <row r="184" spans="1:21" x14ac:dyDescent="0.2">
      <c r="A184" s="98" t="s">
        <v>519</v>
      </c>
      <c r="B184" s="99" t="s">
        <v>50</v>
      </c>
      <c r="C184" s="99" t="s">
        <v>452</v>
      </c>
      <c r="D184" s="99" t="s">
        <v>456</v>
      </c>
      <c r="E184" s="100" t="s">
        <v>415</v>
      </c>
      <c r="F184" s="99" t="s">
        <v>538</v>
      </c>
      <c r="G184" s="99" t="s">
        <v>279</v>
      </c>
      <c r="H184" s="99" t="s">
        <v>16</v>
      </c>
      <c r="I184" s="99" t="s">
        <v>246</v>
      </c>
      <c r="J184" s="99"/>
      <c r="K184" s="101">
        <v>5.89</v>
      </c>
      <c r="L184" s="101">
        <f>K184*VLOOKUP(H184,dagsoorttabel1,2,FALSE)</f>
        <v>3.4647058823529413</v>
      </c>
      <c r="M184" s="102">
        <f>prodnorm78</f>
        <v>0</v>
      </c>
      <c r="N184" s="37">
        <f>dagwerk78</f>
        <v>0</v>
      </c>
      <c r="O184" s="99" t="s">
        <v>108</v>
      </c>
      <c r="P184" s="24">
        <f>uurtarief78</f>
        <v>0</v>
      </c>
      <c r="Q184" s="101" t="e">
        <f>IF(ISBLANK(M184),0,L184/ROUND(M184,4))</f>
        <v>#DIV/0!</v>
      </c>
      <c r="R184" s="101" t="e">
        <f>IF(ISBLANK(M184),0,Q184*ROUND(N184,2))</f>
        <v>#DIV/0!</v>
      </c>
      <c r="S184" s="24" t="e">
        <f>ROUND(P184,2)*Q184</f>
        <v>#DIV/0!</v>
      </c>
      <c r="T184" s="101" t="e">
        <f>Q184*dagenperjaar1</f>
        <v>#DIV/0!</v>
      </c>
      <c r="U184" s="25" t="e">
        <f>T184*ROUND(P184,2)</f>
        <v>#DIV/0!</v>
      </c>
    </row>
    <row r="185" spans="1:21" x14ac:dyDescent="0.2">
      <c r="A185" s="98" t="s">
        <v>519</v>
      </c>
      <c r="B185" s="99" t="s">
        <v>50</v>
      </c>
      <c r="C185" s="99" t="s">
        <v>452</v>
      </c>
      <c r="D185" s="99" t="s">
        <v>539</v>
      </c>
      <c r="E185" s="100" t="s">
        <v>521</v>
      </c>
      <c r="F185" s="99" t="s">
        <v>431</v>
      </c>
      <c r="G185" s="99" t="s">
        <v>273</v>
      </c>
      <c r="H185" s="99" t="s">
        <v>16</v>
      </c>
      <c r="I185" s="99" t="s">
        <v>246</v>
      </c>
      <c r="J185" s="99"/>
      <c r="K185" s="101">
        <v>7.5</v>
      </c>
      <c r="L185" s="101">
        <f>K185*VLOOKUP(H185,dagsoorttabel1,2,FALSE)</f>
        <v>4.4117647058823533</v>
      </c>
      <c r="M185" s="102">
        <f>prodnorm66</f>
        <v>0</v>
      </c>
      <c r="N185" s="37">
        <f>dagwerk66</f>
        <v>0</v>
      </c>
      <c r="O185" s="99" t="s">
        <v>108</v>
      </c>
      <c r="P185" s="24">
        <f>uurtarief66</f>
        <v>0</v>
      </c>
      <c r="Q185" s="101" t="e">
        <f>IF(ISBLANK(M185),0,L185/ROUND(M185,4))</f>
        <v>#DIV/0!</v>
      </c>
      <c r="R185" s="101" t="e">
        <f>IF(ISBLANK(M185),0,Q185*ROUND(N185,2))</f>
        <v>#DIV/0!</v>
      </c>
      <c r="S185" s="24" t="e">
        <f>ROUND(P185,2)*Q185</f>
        <v>#DIV/0!</v>
      </c>
      <c r="T185" s="101" t="e">
        <f>Q185*dagenperjaar1</f>
        <v>#DIV/0!</v>
      </c>
      <c r="U185" s="25" t="e">
        <f>T185*ROUND(P185,2)</f>
        <v>#DIV/0!</v>
      </c>
    </row>
    <row r="186" spans="1:21" x14ac:dyDescent="0.2">
      <c r="A186" s="98" t="s">
        <v>519</v>
      </c>
      <c r="B186" s="99" t="s">
        <v>50</v>
      </c>
      <c r="C186" s="99" t="s">
        <v>452</v>
      </c>
      <c r="D186" s="99" t="s">
        <v>457</v>
      </c>
      <c r="E186" s="100" t="s">
        <v>466</v>
      </c>
      <c r="F186" s="99" t="s">
        <v>537</v>
      </c>
      <c r="G186" s="99" t="s">
        <v>277</v>
      </c>
      <c r="H186" s="99" t="s">
        <v>28</v>
      </c>
      <c r="I186" s="99" t="s">
        <v>246</v>
      </c>
      <c r="J186" s="99"/>
      <c r="K186" s="101">
        <v>73.66</v>
      </c>
      <c r="L186" s="101">
        <f>K186*VLOOKUP(H186,dagsoorttabel1,2,FALSE)</f>
        <v>0.57772549019607844</v>
      </c>
      <c r="M186" s="102">
        <f>prodnorm76</f>
        <v>0</v>
      </c>
      <c r="N186" s="37">
        <f>dagwerk76</f>
        <v>0</v>
      </c>
      <c r="O186" s="99" t="s">
        <v>108</v>
      </c>
      <c r="P186" s="24">
        <f>uurtarief76</f>
        <v>0</v>
      </c>
      <c r="Q186" s="101" t="e">
        <f>IF(ISBLANK(M186),0,L186/ROUND(M186,4))</f>
        <v>#DIV/0!</v>
      </c>
      <c r="R186" s="101" t="e">
        <f>IF(ISBLANK(M186),0,Q186*ROUND(N186,2))</f>
        <v>#DIV/0!</v>
      </c>
      <c r="S186" s="24" t="e">
        <f>ROUND(P186,2)*Q186</f>
        <v>#DIV/0!</v>
      </c>
      <c r="T186" s="101" t="e">
        <f>Q186*dagenperjaar1</f>
        <v>#DIV/0!</v>
      </c>
      <c r="U186" s="25" t="e">
        <f>T186*ROUND(P186,2)</f>
        <v>#DIV/0!</v>
      </c>
    </row>
    <row r="187" spans="1:21" x14ac:dyDescent="0.2">
      <c r="A187" s="98" t="s">
        <v>519</v>
      </c>
      <c r="B187" s="99" t="s">
        <v>50</v>
      </c>
      <c r="C187" s="99" t="s">
        <v>452</v>
      </c>
      <c r="D187" s="99" t="s">
        <v>458</v>
      </c>
      <c r="E187" s="100" t="s">
        <v>540</v>
      </c>
      <c r="F187" s="99" t="s">
        <v>537</v>
      </c>
      <c r="G187" s="99" t="s">
        <v>259</v>
      </c>
      <c r="H187" s="99" t="s">
        <v>16</v>
      </c>
      <c r="I187" s="99" t="s">
        <v>246</v>
      </c>
      <c r="J187" s="99"/>
      <c r="K187" s="101">
        <v>100.75</v>
      </c>
      <c r="L187" s="101">
        <f>K187*VLOOKUP(H187,dagsoorttabel1,2,FALSE)</f>
        <v>59.264705882352942</v>
      </c>
      <c r="M187" s="102">
        <f>prodnorm49</f>
        <v>0</v>
      </c>
      <c r="N187" s="37">
        <f>dagwerk49</f>
        <v>0</v>
      </c>
      <c r="O187" s="99" t="s">
        <v>108</v>
      </c>
      <c r="P187" s="24">
        <f>uurtarief49</f>
        <v>0</v>
      </c>
      <c r="Q187" s="101" t="e">
        <f>IF(ISBLANK(M187),0,L187/ROUND(M187,4))</f>
        <v>#DIV/0!</v>
      </c>
      <c r="R187" s="101" t="e">
        <f>IF(ISBLANK(M187),0,Q187*ROUND(N187,2))</f>
        <v>#DIV/0!</v>
      </c>
      <c r="S187" s="24" t="e">
        <f>ROUND(P187,2)*Q187</f>
        <v>#DIV/0!</v>
      </c>
      <c r="T187" s="101" t="e">
        <f>Q187*dagenperjaar1</f>
        <v>#DIV/0!</v>
      </c>
      <c r="U187" s="25" t="e">
        <f>T187*ROUND(P187,2)</f>
        <v>#DIV/0!</v>
      </c>
    </row>
    <row r="188" spans="1:21" x14ac:dyDescent="0.2">
      <c r="A188" s="98" t="s">
        <v>519</v>
      </c>
      <c r="B188" s="99" t="s">
        <v>50</v>
      </c>
      <c r="C188" s="99" t="s">
        <v>496</v>
      </c>
      <c r="D188" s="99" t="s">
        <v>497</v>
      </c>
      <c r="E188" s="100" t="s">
        <v>415</v>
      </c>
      <c r="F188" s="99" t="s">
        <v>423</v>
      </c>
      <c r="G188" s="99" t="s">
        <v>277</v>
      </c>
      <c r="H188" s="99" t="s">
        <v>16</v>
      </c>
      <c r="I188" s="99" t="s">
        <v>246</v>
      </c>
      <c r="J188" s="99"/>
      <c r="K188" s="101">
        <v>36.82</v>
      </c>
      <c r="L188" s="101">
        <f>K188*VLOOKUP(H188,dagsoorttabel1,2,FALSE)</f>
        <v>21.658823529411766</v>
      </c>
      <c r="M188" s="102">
        <f>prodnorm71</f>
        <v>0</v>
      </c>
      <c r="N188" s="37">
        <f>dagwerk71</f>
        <v>0</v>
      </c>
      <c r="O188" s="99" t="s">
        <v>108</v>
      </c>
      <c r="P188" s="24">
        <f>uurtarief71</f>
        <v>0</v>
      </c>
      <c r="Q188" s="101" t="e">
        <f>IF(ISBLANK(M188),0,L188/ROUND(M188,4))</f>
        <v>#DIV/0!</v>
      </c>
      <c r="R188" s="101" t="e">
        <f>IF(ISBLANK(M188),0,Q188*ROUND(N188,2))</f>
        <v>#DIV/0!</v>
      </c>
      <c r="S188" s="24" t="e">
        <f>ROUND(P188,2)*Q188</f>
        <v>#DIV/0!</v>
      </c>
      <c r="T188" s="101" t="e">
        <f>Q188*dagenperjaar1</f>
        <v>#DIV/0!</v>
      </c>
      <c r="U188" s="25" t="e">
        <f>T188*ROUND(P188,2)</f>
        <v>#DIV/0!</v>
      </c>
    </row>
    <row r="189" spans="1:21" x14ac:dyDescent="0.2">
      <c r="A189" s="98" t="s">
        <v>519</v>
      </c>
      <c r="B189" s="99" t="s">
        <v>50</v>
      </c>
      <c r="C189" s="99" t="s">
        <v>496</v>
      </c>
      <c r="D189" s="99" t="s">
        <v>498</v>
      </c>
      <c r="E189" s="100" t="s">
        <v>541</v>
      </c>
      <c r="F189" s="99" t="s">
        <v>423</v>
      </c>
      <c r="G189" s="99" t="s">
        <v>259</v>
      </c>
      <c r="H189" s="99" t="s">
        <v>16</v>
      </c>
      <c r="I189" s="99" t="s">
        <v>246</v>
      </c>
      <c r="J189" s="99"/>
      <c r="K189" s="101">
        <v>74.09</v>
      </c>
      <c r="L189" s="101">
        <f>K189*VLOOKUP(H189,dagsoorttabel1,2,FALSE)</f>
        <v>43.582352941176474</v>
      </c>
      <c r="M189" s="102">
        <f>prodnorm49</f>
        <v>0</v>
      </c>
      <c r="N189" s="37">
        <f>dagwerk49</f>
        <v>0</v>
      </c>
      <c r="O189" s="99" t="s">
        <v>108</v>
      </c>
      <c r="P189" s="24">
        <f>uurtarief49</f>
        <v>0</v>
      </c>
      <c r="Q189" s="101" t="e">
        <f>IF(ISBLANK(M189),0,L189/ROUND(M189,4))</f>
        <v>#DIV/0!</v>
      </c>
      <c r="R189" s="101" t="e">
        <f>IF(ISBLANK(M189),0,Q189*ROUND(N189,2))</f>
        <v>#DIV/0!</v>
      </c>
      <c r="S189" s="24" t="e">
        <f>ROUND(P189,2)*Q189</f>
        <v>#DIV/0!</v>
      </c>
      <c r="T189" s="101" t="e">
        <f>Q189*dagenperjaar1</f>
        <v>#DIV/0!</v>
      </c>
      <c r="U189" s="25" t="e">
        <f>T189*ROUND(P189,2)</f>
        <v>#DIV/0!</v>
      </c>
    </row>
    <row r="190" spans="1:21" x14ac:dyDescent="0.2">
      <c r="A190" s="98" t="s">
        <v>519</v>
      </c>
      <c r="B190" s="99" t="s">
        <v>50</v>
      </c>
      <c r="C190" s="99" t="s">
        <v>496</v>
      </c>
      <c r="D190" s="99" t="s">
        <v>542</v>
      </c>
      <c r="E190" s="100" t="s">
        <v>411</v>
      </c>
      <c r="F190" s="99" t="s">
        <v>348</v>
      </c>
      <c r="G190" s="99" t="s">
        <v>277</v>
      </c>
      <c r="H190" s="99" t="s">
        <v>16</v>
      </c>
      <c r="I190" s="99" t="s">
        <v>246</v>
      </c>
      <c r="J190" s="99"/>
      <c r="K190" s="101">
        <v>39.74</v>
      </c>
      <c r="L190" s="101">
        <f>K190*VLOOKUP(H190,dagsoorttabel1,2,FALSE)</f>
        <v>23.376470588235296</v>
      </c>
      <c r="M190" s="102">
        <f>prodnorm71</f>
        <v>0</v>
      </c>
      <c r="N190" s="37">
        <f>dagwerk71</f>
        <v>0</v>
      </c>
      <c r="O190" s="99" t="s">
        <v>108</v>
      </c>
      <c r="P190" s="24">
        <f>uurtarief71</f>
        <v>0</v>
      </c>
      <c r="Q190" s="101" t="e">
        <f>IF(ISBLANK(M190),0,L190/ROUND(M190,4))</f>
        <v>#DIV/0!</v>
      </c>
      <c r="R190" s="101" t="e">
        <f>IF(ISBLANK(M190),0,Q190*ROUND(N190,2))</f>
        <v>#DIV/0!</v>
      </c>
      <c r="S190" s="24" t="e">
        <f>ROUND(P190,2)*Q190</f>
        <v>#DIV/0!</v>
      </c>
      <c r="T190" s="101" t="e">
        <f>Q190*dagenperjaar1</f>
        <v>#DIV/0!</v>
      </c>
      <c r="U190" s="25" t="e">
        <f>T190*ROUND(P190,2)</f>
        <v>#DIV/0!</v>
      </c>
    </row>
    <row r="191" spans="1:21" x14ac:dyDescent="0.2">
      <c r="A191" s="98" t="s">
        <v>519</v>
      </c>
      <c r="B191" s="99" t="s">
        <v>50</v>
      </c>
      <c r="C191" s="99" t="s">
        <v>496</v>
      </c>
      <c r="D191" s="99" t="s">
        <v>543</v>
      </c>
      <c r="E191" s="100" t="s">
        <v>411</v>
      </c>
      <c r="F191" s="99" t="s">
        <v>431</v>
      </c>
      <c r="G191" s="99" t="s">
        <v>277</v>
      </c>
      <c r="H191" s="99" t="s">
        <v>16</v>
      </c>
      <c r="I191" s="99" t="s">
        <v>246</v>
      </c>
      <c r="J191" s="99"/>
      <c r="K191" s="101">
        <v>60.54</v>
      </c>
      <c r="L191" s="101">
        <f>K191*VLOOKUP(H191,dagsoorttabel1,2,FALSE)</f>
        <v>35.611764705882351</v>
      </c>
      <c r="M191" s="102">
        <f>prodnorm71</f>
        <v>0</v>
      </c>
      <c r="N191" s="37">
        <f>dagwerk71</f>
        <v>0</v>
      </c>
      <c r="O191" s="99" t="s">
        <v>108</v>
      </c>
      <c r="P191" s="24">
        <f>uurtarief71</f>
        <v>0</v>
      </c>
      <c r="Q191" s="101" t="e">
        <f>IF(ISBLANK(M191),0,L191/ROUND(M191,4))</f>
        <v>#DIV/0!</v>
      </c>
      <c r="R191" s="101" t="e">
        <f>IF(ISBLANK(M191),0,Q191*ROUND(N191,2))</f>
        <v>#DIV/0!</v>
      </c>
      <c r="S191" s="24" t="e">
        <f>ROUND(P191,2)*Q191</f>
        <v>#DIV/0!</v>
      </c>
      <c r="T191" s="101" t="e">
        <f>Q191*dagenperjaar1</f>
        <v>#DIV/0!</v>
      </c>
      <c r="U191" s="25" t="e">
        <f>T191*ROUND(P191,2)</f>
        <v>#DIV/0!</v>
      </c>
    </row>
    <row r="192" spans="1:21" x14ac:dyDescent="0.2">
      <c r="A192" s="98" t="s">
        <v>519</v>
      </c>
      <c r="B192" s="99" t="s">
        <v>50</v>
      </c>
      <c r="C192" s="99" t="s">
        <v>496</v>
      </c>
      <c r="D192" s="99" t="s">
        <v>500</v>
      </c>
      <c r="E192" s="100" t="s">
        <v>415</v>
      </c>
      <c r="F192" s="99" t="s">
        <v>348</v>
      </c>
      <c r="G192" s="99" t="s">
        <v>277</v>
      </c>
      <c r="H192" s="99" t="s">
        <v>16</v>
      </c>
      <c r="I192" s="99" t="s">
        <v>246</v>
      </c>
      <c r="J192" s="99"/>
      <c r="K192" s="101">
        <v>9.5500000000000007</v>
      </c>
      <c r="L192" s="101">
        <f>K192*VLOOKUP(H192,dagsoorttabel1,2,FALSE)</f>
        <v>5.6176470588235299</v>
      </c>
      <c r="M192" s="102">
        <f>prodnorm71</f>
        <v>0</v>
      </c>
      <c r="N192" s="37">
        <f>dagwerk71</f>
        <v>0</v>
      </c>
      <c r="O192" s="99" t="s">
        <v>108</v>
      </c>
      <c r="P192" s="24">
        <f>uurtarief71</f>
        <v>0</v>
      </c>
      <c r="Q192" s="101" t="e">
        <f>IF(ISBLANK(M192),0,L192/ROUND(M192,4))</f>
        <v>#DIV/0!</v>
      </c>
      <c r="R192" s="101" t="e">
        <f>IF(ISBLANK(M192),0,Q192*ROUND(N192,2))</f>
        <v>#DIV/0!</v>
      </c>
      <c r="S192" s="24" t="e">
        <f>ROUND(P192,2)*Q192</f>
        <v>#DIV/0!</v>
      </c>
      <c r="T192" s="101" t="e">
        <f>Q192*dagenperjaar1</f>
        <v>#DIV/0!</v>
      </c>
      <c r="U192" s="25" t="e">
        <f>T192*ROUND(P192,2)</f>
        <v>#DIV/0!</v>
      </c>
    </row>
    <row r="193" spans="1:21" x14ac:dyDescent="0.2">
      <c r="A193" s="98" t="s">
        <v>519</v>
      </c>
      <c r="B193" s="99" t="s">
        <v>50</v>
      </c>
      <c r="C193" s="99" t="s">
        <v>496</v>
      </c>
      <c r="D193" s="99" t="s">
        <v>501</v>
      </c>
      <c r="E193" s="100" t="s">
        <v>415</v>
      </c>
      <c r="F193" s="99" t="s">
        <v>348</v>
      </c>
      <c r="G193" s="99" t="s">
        <v>277</v>
      </c>
      <c r="H193" s="99" t="s">
        <v>16</v>
      </c>
      <c r="I193" s="99" t="s">
        <v>246</v>
      </c>
      <c r="J193" s="99"/>
      <c r="K193" s="101">
        <v>19.36</v>
      </c>
      <c r="L193" s="101">
        <f>K193*VLOOKUP(H193,dagsoorttabel1,2,FALSE)</f>
        <v>11.388235294117647</v>
      </c>
      <c r="M193" s="102">
        <f>prodnorm71</f>
        <v>0</v>
      </c>
      <c r="N193" s="37">
        <f>dagwerk71</f>
        <v>0</v>
      </c>
      <c r="O193" s="99" t="s">
        <v>108</v>
      </c>
      <c r="P193" s="24">
        <f>uurtarief71</f>
        <v>0</v>
      </c>
      <c r="Q193" s="101" t="e">
        <f>IF(ISBLANK(M193),0,L193/ROUND(M193,4))</f>
        <v>#DIV/0!</v>
      </c>
      <c r="R193" s="101" t="e">
        <f>IF(ISBLANK(M193),0,Q193*ROUND(N193,2))</f>
        <v>#DIV/0!</v>
      </c>
      <c r="S193" s="24" t="e">
        <f>ROUND(P193,2)*Q193</f>
        <v>#DIV/0!</v>
      </c>
      <c r="T193" s="101" t="e">
        <f>Q193*dagenperjaar1</f>
        <v>#DIV/0!</v>
      </c>
      <c r="U193" s="25" t="e">
        <f>T193*ROUND(P193,2)</f>
        <v>#DIV/0!</v>
      </c>
    </row>
    <row r="194" spans="1:21" x14ac:dyDescent="0.2">
      <c r="A194" s="98" t="s">
        <v>519</v>
      </c>
      <c r="B194" s="99" t="s">
        <v>50</v>
      </c>
      <c r="C194" s="99" t="s">
        <v>496</v>
      </c>
      <c r="D194" s="99" t="s">
        <v>502</v>
      </c>
      <c r="E194" s="100" t="s">
        <v>523</v>
      </c>
      <c r="F194" s="99" t="s">
        <v>348</v>
      </c>
      <c r="G194" s="99" t="s">
        <v>270</v>
      </c>
      <c r="H194" s="99" t="s">
        <v>16</v>
      </c>
      <c r="I194" s="99" t="s">
        <v>246</v>
      </c>
      <c r="J194" s="99"/>
      <c r="K194" s="101">
        <v>2.5</v>
      </c>
      <c r="L194" s="101">
        <f>K194*VLOOKUP(H194,dagsoorttabel1,2,FALSE)</f>
        <v>1.4705882352941178</v>
      </c>
      <c r="M194" s="102">
        <f>prodnorm62</f>
        <v>0</v>
      </c>
      <c r="N194" s="37">
        <f>dagwerk62</f>
        <v>0</v>
      </c>
      <c r="O194" s="99" t="s">
        <v>108</v>
      </c>
      <c r="P194" s="24">
        <f>uurtarief62</f>
        <v>0</v>
      </c>
      <c r="Q194" s="101" t="e">
        <f>IF(ISBLANK(M194),0,L194/ROUND(M194,4))</f>
        <v>#DIV/0!</v>
      </c>
      <c r="R194" s="101" t="e">
        <f>IF(ISBLANK(M194),0,Q194*ROUND(N194,2))</f>
        <v>#DIV/0!</v>
      </c>
      <c r="S194" s="24" t="e">
        <f>ROUND(P194,2)*Q194</f>
        <v>#DIV/0!</v>
      </c>
      <c r="T194" s="101" t="e">
        <f>Q194*dagenperjaar1</f>
        <v>#DIV/0!</v>
      </c>
      <c r="U194" s="25" t="e">
        <f>T194*ROUND(P194,2)</f>
        <v>#DIV/0!</v>
      </c>
    </row>
    <row r="195" spans="1:21" x14ac:dyDescent="0.2">
      <c r="A195" s="98" t="s">
        <v>519</v>
      </c>
      <c r="B195" s="99" t="s">
        <v>50</v>
      </c>
      <c r="C195" s="99" t="s">
        <v>496</v>
      </c>
      <c r="D195" s="99" t="s">
        <v>503</v>
      </c>
      <c r="E195" s="100" t="s">
        <v>525</v>
      </c>
      <c r="F195" s="99" t="s">
        <v>348</v>
      </c>
      <c r="G195" s="99" t="s">
        <v>270</v>
      </c>
      <c r="H195" s="99" t="s">
        <v>16</v>
      </c>
      <c r="I195" s="99" t="s">
        <v>246</v>
      </c>
      <c r="J195" s="99"/>
      <c r="K195" s="101">
        <v>2.5</v>
      </c>
      <c r="L195" s="101">
        <f>K195*VLOOKUP(H195,dagsoorttabel1,2,FALSE)</f>
        <v>1.4705882352941178</v>
      </c>
      <c r="M195" s="102">
        <f>prodnorm62</f>
        <v>0</v>
      </c>
      <c r="N195" s="37">
        <f>dagwerk62</f>
        <v>0</v>
      </c>
      <c r="O195" s="99" t="s">
        <v>108</v>
      </c>
      <c r="P195" s="24">
        <f>uurtarief62</f>
        <v>0</v>
      </c>
      <c r="Q195" s="101" t="e">
        <f>IF(ISBLANK(M195),0,L195/ROUND(M195,4))</f>
        <v>#DIV/0!</v>
      </c>
      <c r="R195" s="101" t="e">
        <f>IF(ISBLANK(M195),0,Q195*ROUND(N195,2))</f>
        <v>#DIV/0!</v>
      </c>
      <c r="S195" s="24" t="e">
        <f>ROUND(P195,2)*Q195</f>
        <v>#DIV/0!</v>
      </c>
      <c r="T195" s="101" t="e">
        <f>Q195*dagenperjaar1</f>
        <v>#DIV/0!</v>
      </c>
      <c r="U195" s="25" t="e">
        <f>T195*ROUND(P195,2)</f>
        <v>#DIV/0!</v>
      </c>
    </row>
    <row r="196" spans="1:21" x14ac:dyDescent="0.2">
      <c r="A196" s="103" t="s">
        <v>519</v>
      </c>
      <c r="B196" s="104" t="s">
        <v>50</v>
      </c>
      <c r="C196" s="104" t="s">
        <v>496</v>
      </c>
      <c r="D196" s="104" t="s">
        <v>504</v>
      </c>
      <c r="E196" s="105" t="s">
        <v>524</v>
      </c>
      <c r="F196" s="104" t="s">
        <v>348</v>
      </c>
      <c r="G196" s="104" t="s">
        <v>270</v>
      </c>
      <c r="H196" s="104" t="s">
        <v>16</v>
      </c>
      <c r="I196" s="104" t="s">
        <v>246</v>
      </c>
      <c r="J196" s="104"/>
      <c r="K196" s="106">
        <v>4.1199999999999992</v>
      </c>
      <c r="L196" s="106">
        <f>K196*VLOOKUP(H196,dagsoorttabel1,2,FALSE)</f>
        <v>2.4235294117647057</v>
      </c>
      <c r="M196" s="107">
        <f>prodnorm62</f>
        <v>0</v>
      </c>
      <c r="N196" s="108">
        <f>dagwerk62</f>
        <v>0</v>
      </c>
      <c r="O196" s="104" t="s">
        <v>108</v>
      </c>
      <c r="P196" s="34">
        <f>uurtarief62</f>
        <v>0</v>
      </c>
      <c r="Q196" s="106" t="e">
        <f>IF(ISBLANK(M196),0,L196/ROUND(M196,4))</f>
        <v>#DIV/0!</v>
      </c>
      <c r="R196" s="106" t="e">
        <f>IF(ISBLANK(M196),0,Q196*ROUND(N196,2))</f>
        <v>#DIV/0!</v>
      </c>
      <c r="S196" s="34" t="e">
        <f>ROUND(P196,2)*Q196</f>
        <v>#DIV/0!</v>
      </c>
      <c r="T196" s="106" t="e">
        <f>Q196*dagenperjaar1</f>
        <v>#DIV/0!</v>
      </c>
      <c r="U196" s="35" t="e">
        <f>T196*ROUND(P196,2)</f>
        <v>#DIV/0!</v>
      </c>
    </row>
    <row r="197" spans="1:21" x14ac:dyDescent="0.2">
      <c r="A197" s="109" t="s">
        <v>403</v>
      </c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81" t="e">
        <f>IF(_xlfn.SINGLE(object4_urenjaar1)&gt;0,_xlfn.SINGLE(object4_prijsjaar1)/_xlfn.SINGLE(object4_urenjaar1),0)</f>
        <v>#DIV/0!</v>
      </c>
      <c r="Q197" s="80" t="e">
        <f>SUM(Q165:Q196)</f>
        <v>#DIV/0!</v>
      </c>
      <c r="R197" s="80" t="e">
        <f>SUM(R165:R196)</f>
        <v>#DIV/0!</v>
      </c>
      <c r="S197" s="81" t="e">
        <f>SUM(S165:S196)</f>
        <v>#DIV/0!</v>
      </c>
      <c r="T197" s="80" t="e">
        <f>SUM(T165:T196)</f>
        <v>#DIV/0!</v>
      </c>
      <c r="U197" s="82" t="e">
        <f>SUM(U165:U196)</f>
        <v>#DIV/0!</v>
      </c>
    </row>
    <row r="198" spans="1:21" x14ac:dyDescent="0.2">
      <c r="A198" s="88" t="s">
        <v>544</v>
      </c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77"/>
    </row>
    <row r="199" spans="1:21" x14ac:dyDescent="0.2">
      <c r="A199" s="90" t="s">
        <v>545</v>
      </c>
      <c r="B199" s="91" t="s">
        <v>50</v>
      </c>
      <c r="C199" s="91" t="s">
        <v>345</v>
      </c>
      <c r="D199" s="91" t="s">
        <v>346</v>
      </c>
      <c r="E199" s="92" t="s">
        <v>418</v>
      </c>
      <c r="F199" s="91" t="s">
        <v>348</v>
      </c>
      <c r="G199" s="91" t="s">
        <v>253</v>
      </c>
      <c r="H199" s="91" t="s">
        <v>11</v>
      </c>
      <c r="I199" s="91" t="s">
        <v>246</v>
      </c>
      <c r="J199" s="91"/>
      <c r="K199" s="93">
        <v>10</v>
      </c>
      <c r="L199" s="93">
        <f>K199*VLOOKUP(H199,dagsoorttabel1,2,FALSE)</f>
        <v>8.8235294117647065</v>
      </c>
      <c r="M199" s="94">
        <f>prodnorm43</f>
        <v>0</v>
      </c>
      <c r="N199" s="95">
        <f>dagwerk43</f>
        <v>0</v>
      </c>
      <c r="O199" s="91" t="s">
        <v>108</v>
      </c>
      <c r="P199" s="96">
        <f>uurtarief43</f>
        <v>0</v>
      </c>
      <c r="Q199" s="93" t="e">
        <f>IF(ISBLANK(M199),0,L199/ROUND(M199,4))</f>
        <v>#DIV/0!</v>
      </c>
      <c r="R199" s="93" t="e">
        <f>IF(ISBLANK(M199),0,Q199*ROUND(N199,2))</f>
        <v>#DIV/0!</v>
      </c>
      <c r="S199" s="96" t="e">
        <f>ROUND(P199,2)*Q199</f>
        <v>#DIV/0!</v>
      </c>
      <c r="T199" s="93" t="e">
        <f>Q199*dagenperjaar1</f>
        <v>#DIV/0!</v>
      </c>
      <c r="U199" s="97" t="e">
        <f>T199*ROUND(P199,2)</f>
        <v>#DIV/0!</v>
      </c>
    </row>
    <row r="200" spans="1:21" x14ac:dyDescent="0.2">
      <c r="A200" s="98" t="s">
        <v>545</v>
      </c>
      <c r="B200" s="99" t="s">
        <v>50</v>
      </c>
      <c r="C200" s="99" t="s">
        <v>345</v>
      </c>
      <c r="D200" s="99" t="s">
        <v>349</v>
      </c>
      <c r="E200" s="100" t="s">
        <v>426</v>
      </c>
      <c r="F200" s="99" t="s">
        <v>546</v>
      </c>
      <c r="G200" s="99" t="s">
        <v>262</v>
      </c>
      <c r="H200" s="99" t="s">
        <v>11</v>
      </c>
      <c r="I200" s="99" t="s">
        <v>246</v>
      </c>
      <c r="J200" s="99"/>
      <c r="K200" s="101">
        <v>20</v>
      </c>
      <c r="L200" s="101">
        <f>K200*VLOOKUP(H200,dagsoorttabel1,2,FALSE)</f>
        <v>17.647058823529413</v>
      </c>
      <c r="M200" s="102">
        <f>prodnorm58</f>
        <v>0</v>
      </c>
      <c r="N200" s="37">
        <f>dagwerk58</f>
        <v>0</v>
      </c>
      <c r="O200" s="99" t="s">
        <v>108</v>
      </c>
      <c r="P200" s="24">
        <f>uurtarief58</f>
        <v>0</v>
      </c>
      <c r="Q200" s="101" t="e">
        <f>IF(ISBLANK(M200),0,L200/ROUND(M200,4))</f>
        <v>#DIV/0!</v>
      </c>
      <c r="R200" s="101" t="e">
        <f>IF(ISBLANK(M200),0,Q200*ROUND(N200,2))</f>
        <v>#DIV/0!</v>
      </c>
      <c r="S200" s="24" t="e">
        <f>ROUND(P200,2)*Q200</f>
        <v>#DIV/0!</v>
      </c>
      <c r="T200" s="101" t="e">
        <f>Q200*dagenperjaar1</f>
        <v>#DIV/0!</v>
      </c>
      <c r="U200" s="25" t="e">
        <f>T200*ROUND(P200,2)</f>
        <v>#DIV/0!</v>
      </c>
    </row>
    <row r="201" spans="1:21" x14ac:dyDescent="0.2">
      <c r="A201" s="98" t="s">
        <v>545</v>
      </c>
      <c r="B201" s="99" t="s">
        <v>50</v>
      </c>
      <c r="C201" s="99" t="s">
        <v>345</v>
      </c>
      <c r="D201" s="99" t="s">
        <v>351</v>
      </c>
      <c r="E201" s="100" t="s">
        <v>547</v>
      </c>
      <c r="F201" s="99" t="s">
        <v>348</v>
      </c>
      <c r="G201" s="99" t="s">
        <v>251</v>
      </c>
      <c r="H201" s="99" t="s">
        <v>11</v>
      </c>
      <c r="I201" s="99" t="s">
        <v>246</v>
      </c>
      <c r="J201" s="99"/>
      <c r="K201" s="101">
        <v>7.5</v>
      </c>
      <c r="L201" s="101">
        <f>K201*VLOOKUP(H201,dagsoorttabel1,2,FALSE)</f>
        <v>6.617647058823529</v>
      </c>
      <c r="M201" s="102">
        <f>prodnorm40</f>
        <v>0</v>
      </c>
      <c r="N201" s="37">
        <f>dagwerk40</f>
        <v>0</v>
      </c>
      <c r="O201" s="99" t="s">
        <v>108</v>
      </c>
      <c r="P201" s="24">
        <f>uurtarief40</f>
        <v>0</v>
      </c>
      <c r="Q201" s="101" t="e">
        <f>IF(ISBLANK(M201),0,L201/ROUND(M201,4))</f>
        <v>#DIV/0!</v>
      </c>
      <c r="R201" s="101" t="e">
        <f>IF(ISBLANK(M201),0,Q201*ROUND(N201,2))</f>
        <v>#DIV/0!</v>
      </c>
      <c r="S201" s="24" t="e">
        <f>ROUND(P201,2)*Q201</f>
        <v>#DIV/0!</v>
      </c>
      <c r="T201" s="101" t="e">
        <f>Q201*dagenperjaar1</f>
        <v>#DIV/0!</v>
      </c>
      <c r="U201" s="25" t="e">
        <f>T201*ROUND(P201,2)</f>
        <v>#DIV/0!</v>
      </c>
    </row>
    <row r="202" spans="1:21" x14ac:dyDescent="0.2">
      <c r="A202" s="98" t="s">
        <v>545</v>
      </c>
      <c r="B202" s="99" t="s">
        <v>50</v>
      </c>
      <c r="C202" s="99" t="s">
        <v>345</v>
      </c>
      <c r="D202" s="99" t="s">
        <v>353</v>
      </c>
      <c r="E202" s="100" t="s">
        <v>421</v>
      </c>
      <c r="F202" s="99" t="s">
        <v>348</v>
      </c>
      <c r="G202" s="99" t="s">
        <v>277</v>
      </c>
      <c r="H202" s="99" t="s">
        <v>11</v>
      </c>
      <c r="I202" s="99" t="s">
        <v>246</v>
      </c>
      <c r="J202" s="99"/>
      <c r="K202" s="101">
        <v>8.5</v>
      </c>
      <c r="L202" s="101">
        <f>K202*VLOOKUP(H202,dagsoorttabel1,2,FALSE)</f>
        <v>7.5</v>
      </c>
      <c r="M202" s="102">
        <f>prodnorm74</f>
        <v>0</v>
      </c>
      <c r="N202" s="37">
        <f>dagwerk74</f>
        <v>0</v>
      </c>
      <c r="O202" s="99" t="s">
        <v>108</v>
      </c>
      <c r="P202" s="24">
        <f>uurtarief74</f>
        <v>0</v>
      </c>
      <c r="Q202" s="101" t="e">
        <f>IF(ISBLANK(M202),0,L202/ROUND(M202,4))</f>
        <v>#DIV/0!</v>
      </c>
      <c r="R202" s="101" t="e">
        <f>IF(ISBLANK(M202),0,Q202*ROUND(N202,2))</f>
        <v>#DIV/0!</v>
      </c>
      <c r="S202" s="24" t="e">
        <f>ROUND(P202,2)*Q202</f>
        <v>#DIV/0!</v>
      </c>
      <c r="T202" s="101" t="e">
        <f>Q202*dagenperjaar1</f>
        <v>#DIV/0!</v>
      </c>
      <c r="U202" s="25" t="e">
        <f>T202*ROUND(P202,2)</f>
        <v>#DIV/0!</v>
      </c>
    </row>
    <row r="203" spans="1:21" x14ac:dyDescent="0.2">
      <c r="A203" s="98" t="s">
        <v>545</v>
      </c>
      <c r="B203" s="99" t="s">
        <v>50</v>
      </c>
      <c r="C203" s="99" t="s">
        <v>345</v>
      </c>
      <c r="D203" s="99" t="s">
        <v>355</v>
      </c>
      <c r="E203" s="100" t="s">
        <v>430</v>
      </c>
      <c r="F203" s="99" t="s">
        <v>548</v>
      </c>
      <c r="G203" s="99" t="s">
        <v>273</v>
      </c>
      <c r="H203" s="99" t="s">
        <v>11</v>
      </c>
      <c r="I203" s="99" t="s">
        <v>246</v>
      </c>
      <c r="J203" s="99"/>
      <c r="K203" s="101">
        <v>5.5</v>
      </c>
      <c r="L203" s="101">
        <f>K203*VLOOKUP(H203,dagsoorttabel1,2,FALSE)</f>
        <v>4.8529411764705879</v>
      </c>
      <c r="M203" s="102">
        <f>prodnorm69</f>
        <v>0</v>
      </c>
      <c r="N203" s="37">
        <f>dagwerk69</f>
        <v>0</v>
      </c>
      <c r="O203" s="99" t="s">
        <v>108</v>
      </c>
      <c r="P203" s="24">
        <f>uurtarief69</f>
        <v>0</v>
      </c>
      <c r="Q203" s="101" t="e">
        <f>IF(ISBLANK(M203),0,L203/ROUND(M203,4))</f>
        <v>#DIV/0!</v>
      </c>
      <c r="R203" s="101" t="e">
        <f>IF(ISBLANK(M203),0,Q203*ROUND(N203,2))</f>
        <v>#DIV/0!</v>
      </c>
      <c r="S203" s="24" t="e">
        <f>ROUND(P203,2)*Q203</f>
        <v>#DIV/0!</v>
      </c>
      <c r="T203" s="101" t="e">
        <f>Q203*dagenperjaar1</f>
        <v>#DIV/0!</v>
      </c>
      <c r="U203" s="25" t="e">
        <f>T203*ROUND(P203,2)</f>
        <v>#DIV/0!</v>
      </c>
    </row>
    <row r="204" spans="1:21" x14ac:dyDescent="0.2">
      <c r="A204" s="98" t="s">
        <v>545</v>
      </c>
      <c r="B204" s="99" t="s">
        <v>50</v>
      </c>
      <c r="C204" s="99" t="s">
        <v>345</v>
      </c>
      <c r="D204" s="99" t="s">
        <v>357</v>
      </c>
      <c r="E204" s="100" t="s">
        <v>549</v>
      </c>
      <c r="F204" s="99" t="s">
        <v>443</v>
      </c>
      <c r="G204" s="99" t="s">
        <v>259</v>
      </c>
      <c r="H204" s="99" t="s">
        <v>11</v>
      </c>
      <c r="I204" s="99" t="s">
        <v>246</v>
      </c>
      <c r="J204" s="99"/>
      <c r="K204" s="101">
        <v>162</v>
      </c>
      <c r="L204" s="101">
        <f>K204*VLOOKUP(H204,dagsoorttabel1,2,FALSE)</f>
        <v>142.94117647058823</v>
      </c>
      <c r="M204" s="102">
        <f>prodnorm52</f>
        <v>0</v>
      </c>
      <c r="N204" s="37">
        <f>dagwerk52</f>
        <v>0</v>
      </c>
      <c r="O204" s="99" t="s">
        <v>108</v>
      </c>
      <c r="P204" s="24">
        <f>uurtarief52</f>
        <v>0</v>
      </c>
      <c r="Q204" s="101" t="e">
        <f>IF(ISBLANK(M204),0,L204/ROUND(M204,4))</f>
        <v>#DIV/0!</v>
      </c>
      <c r="R204" s="101" t="e">
        <f>IF(ISBLANK(M204),0,Q204*ROUND(N204,2))</f>
        <v>#DIV/0!</v>
      </c>
      <c r="S204" s="24" t="e">
        <f>ROUND(P204,2)*Q204</f>
        <v>#DIV/0!</v>
      </c>
      <c r="T204" s="101" t="e">
        <f>Q204*dagenperjaar1</f>
        <v>#DIV/0!</v>
      </c>
      <c r="U204" s="25" t="e">
        <f>T204*ROUND(P204,2)</f>
        <v>#DIV/0!</v>
      </c>
    </row>
    <row r="205" spans="1:21" x14ac:dyDescent="0.2">
      <c r="A205" s="98" t="s">
        <v>545</v>
      </c>
      <c r="B205" s="99" t="s">
        <v>50</v>
      </c>
      <c r="C205" s="99" t="s">
        <v>345</v>
      </c>
      <c r="D205" s="99" t="s">
        <v>359</v>
      </c>
      <c r="E205" s="100" t="s">
        <v>408</v>
      </c>
      <c r="F205" s="99" t="s">
        <v>348</v>
      </c>
      <c r="G205" s="99" t="s">
        <v>270</v>
      </c>
      <c r="H205" s="99" t="s">
        <v>11</v>
      </c>
      <c r="I205" s="99" t="s">
        <v>246</v>
      </c>
      <c r="J205" s="99"/>
      <c r="K205" s="101">
        <v>1.5</v>
      </c>
      <c r="L205" s="101">
        <f>K205*VLOOKUP(H205,dagsoorttabel1,2,FALSE)</f>
        <v>1.3235294117647058</v>
      </c>
      <c r="M205" s="102">
        <f>prodnorm65</f>
        <v>0</v>
      </c>
      <c r="N205" s="37">
        <f>dagwerk65</f>
        <v>0</v>
      </c>
      <c r="O205" s="99" t="s">
        <v>108</v>
      </c>
      <c r="P205" s="24">
        <f>uurtarief65</f>
        <v>0</v>
      </c>
      <c r="Q205" s="101" t="e">
        <f>IF(ISBLANK(M205),0,L205/ROUND(M205,4))</f>
        <v>#DIV/0!</v>
      </c>
      <c r="R205" s="101" t="e">
        <f>IF(ISBLANK(M205),0,Q205*ROUND(N205,2))</f>
        <v>#DIV/0!</v>
      </c>
      <c r="S205" s="24" t="e">
        <f>ROUND(P205,2)*Q205</f>
        <v>#DIV/0!</v>
      </c>
      <c r="T205" s="101" t="e">
        <f>Q205*dagenperjaar1</f>
        <v>#DIV/0!</v>
      </c>
      <c r="U205" s="25" t="e">
        <f>T205*ROUND(P205,2)</f>
        <v>#DIV/0!</v>
      </c>
    </row>
    <row r="206" spans="1:21" x14ac:dyDescent="0.2">
      <c r="A206" s="98" t="s">
        <v>545</v>
      </c>
      <c r="B206" s="99" t="s">
        <v>50</v>
      </c>
      <c r="C206" s="99" t="s">
        <v>345</v>
      </c>
      <c r="D206" s="99" t="s">
        <v>361</v>
      </c>
      <c r="E206" s="100" t="s">
        <v>426</v>
      </c>
      <c r="F206" s="99" t="s">
        <v>348</v>
      </c>
      <c r="G206" s="99" t="s">
        <v>262</v>
      </c>
      <c r="H206" s="99" t="s">
        <v>11</v>
      </c>
      <c r="I206" s="99" t="s">
        <v>246</v>
      </c>
      <c r="J206" s="99"/>
      <c r="K206" s="101">
        <v>25</v>
      </c>
      <c r="L206" s="101">
        <f>K206*VLOOKUP(H206,dagsoorttabel1,2,FALSE)</f>
        <v>22.058823529411764</v>
      </c>
      <c r="M206" s="102">
        <f>prodnorm58</f>
        <v>0</v>
      </c>
      <c r="N206" s="37">
        <f>dagwerk58</f>
        <v>0</v>
      </c>
      <c r="O206" s="99" t="s">
        <v>108</v>
      </c>
      <c r="P206" s="24">
        <f>uurtarief58</f>
        <v>0</v>
      </c>
      <c r="Q206" s="101" t="e">
        <f>IF(ISBLANK(M206),0,L206/ROUND(M206,4))</f>
        <v>#DIV/0!</v>
      </c>
      <c r="R206" s="101" t="e">
        <f>IF(ISBLANK(M206),0,Q206*ROUND(N206,2))</f>
        <v>#DIV/0!</v>
      </c>
      <c r="S206" s="24" t="e">
        <f>ROUND(P206,2)*Q206</f>
        <v>#DIV/0!</v>
      </c>
      <c r="T206" s="101" t="e">
        <f>Q206*dagenperjaar1</f>
        <v>#DIV/0!</v>
      </c>
      <c r="U206" s="25" t="e">
        <f>T206*ROUND(P206,2)</f>
        <v>#DIV/0!</v>
      </c>
    </row>
    <row r="207" spans="1:21" x14ac:dyDescent="0.2">
      <c r="A207" s="98" t="s">
        <v>545</v>
      </c>
      <c r="B207" s="99" t="s">
        <v>50</v>
      </c>
      <c r="C207" s="99" t="s">
        <v>345</v>
      </c>
      <c r="D207" s="99" t="s">
        <v>363</v>
      </c>
      <c r="E207" s="100" t="s">
        <v>547</v>
      </c>
      <c r="F207" s="99" t="s">
        <v>348</v>
      </c>
      <c r="G207" s="99" t="s">
        <v>251</v>
      </c>
      <c r="H207" s="99" t="s">
        <v>11</v>
      </c>
      <c r="I207" s="99" t="s">
        <v>246</v>
      </c>
      <c r="J207" s="99"/>
      <c r="K207" s="101">
        <v>20</v>
      </c>
      <c r="L207" s="101">
        <f>K207*VLOOKUP(H207,dagsoorttabel1,2,FALSE)</f>
        <v>17.647058823529413</v>
      </c>
      <c r="M207" s="102">
        <f>prodnorm40</f>
        <v>0</v>
      </c>
      <c r="N207" s="37">
        <f>dagwerk40</f>
        <v>0</v>
      </c>
      <c r="O207" s="99" t="s">
        <v>108</v>
      </c>
      <c r="P207" s="24">
        <f>uurtarief40</f>
        <v>0</v>
      </c>
      <c r="Q207" s="101" t="e">
        <f>IF(ISBLANK(M207),0,L207/ROUND(M207,4))</f>
        <v>#DIV/0!</v>
      </c>
      <c r="R207" s="101" t="e">
        <f>IF(ISBLANK(M207),0,Q207*ROUND(N207,2))</f>
        <v>#DIV/0!</v>
      </c>
      <c r="S207" s="24" t="e">
        <f>ROUND(P207,2)*Q207</f>
        <v>#DIV/0!</v>
      </c>
      <c r="T207" s="101" t="e">
        <f>Q207*dagenperjaar1</f>
        <v>#DIV/0!</v>
      </c>
      <c r="U207" s="25" t="e">
        <f>T207*ROUND(P207,2)</f>
        <v>#DIV/0!</v>
      </c>
    </row>
    <row r="208" spans="1:21" x14ac:dyDescent="0.2">
      <c r="A208" s="103" t="s">
        <v>545</v>
      </c>
      <c r="B208" s="104" t="s">
        <v>50</v>
      </c>
      <c r="C208" s="104" t="s">
        <v>345</v>
      </c>
      <c r="D208" s="104" t="s">
        <v>365</v>
      </c>
      <c r="E208" s="105" t="s">
        <v>550</v>
      </c>
      <c r="F208" s="104" t="s">
        <v>348</v>
      </c>
      <c r="G208" s="104" t="s">
        <v>270</v>
      </c>
      <c r="H208" s="104" t="s">
        <v>11</v>
      </c>
      <c r="I208" s="104" t="s">
        <v>246</v>
      </c>
      <c r="J208" s="104"/>
      <c r="K208" s="106">
        <v>1.5</v>
      </c>
      <c r="L208" s="106">
        <f>K208*VLOOKUP(H208,dagsoorttabel1,2,FALSE)</f>
        <v>1.3235294117647058</v>
      </c>
      <c r="M208" s="107">
        <f>prodnorm65</f>
        <v>0</v>
      </c>
      <c r="N208" s="108">
        <f>dagwerk65</f>
        <v>0</v>
      </c>
      <c r="O208" s="104" t="s">
        <v>108</v>
      </c>
      <c r="P208" s="34">
        <f>uurtarief65</f>
        <v>0</v>
      </c>
      <c r="Q208" s="106" t="e">
        <f>IF(ISBLANK(M208),0,L208/ROUND(M208,4))</f>
        <v>#DIV/0!</v>
      </c>
      <c r="R208" s="106" t="e">
        <f>IF(ISBLANK(M208),0,Q208*ROUND(N208,2))</f>
        <v>#DIV/0!</v>
      </c>
      <c r="S208" s="34" t="e">
        <f>ROUND(P208,2)*Q208</f>
        <v>#DIV/0!</v>
      </c>
      <c r="T208" s="106" t="e">
        <f>Q208*dagenperjaar1</f>
        <v>#DIV/0!</v>
      </c>
      <c r="U208" s="35" t="e">
        <f>T208*ROUND(P208,2)</f>
        <v>#DIV/0!</v>
      </c>
    </row>
    <row r="209" spans="1:21" x14ac:dyDescent="0.2">
      <c r="A209" s="109" t="s">
        <v>403</v>
      </c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81" t="e">
        <f>IF(_xlfn.SINGLE(object5_urenjaar1)&gt;0,_xlfn.SINGLE(object5_prijsjaar1)/_xlfn.SINGLE(object5_urenjaar1),0)</f>
        <v>#DIV/0!</v>
      </c>
      <c r="Q209" s="80" t="e">
        <f>SUM(Q199:Q208)</f>
        <v>#DIV/0!</v>
      </c>
      <c r="R209" s="80" t="e">
        <f>SUM(R199:R208)</f>
        <v>#DIV/0!</v>
      </c>
      <c r="S209" s="81" t="e">
        <f>SUM(S199:S208)</f>
        <v>#DIV/0!</v>
      </c>
      <c r="T209" s="80" t="e">
        <f>SUM(T199:T208)</f>
        <v>#DIV/0!</v>
      </c>
      <c r="U209" s="82" t="e">
        <f>SUM(U199:U208)</f>
        <v>#DIV/0!</v>
      </c>
    </row>
    <row r="210" spans="1:21" x14ac:dyDescent="0.2">
      <c r="A210" s="88" t="s">
        <v>551</v>
      </c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77"/>
    </row>
    <row r="211" spans="1:21" x14ac:dyDescent="0.2">
      <c r="A211" s="90" t="s">
        <v>552</v>
      </c>
      <c r="B211" s="91" t="s">
        <v>50</v>
      </c>
      <c r="C211" s="91" t="s">
        <v>345</v>
      </c>
      <c r="D211" s="91" t="s">
        <v>346</v>
      </c>
      <c r="E211" s="92" t="s">
        <v>418</v>
      </c>
      <c r="F211" s="91" t="s">
        <v>348</v>
      </c>
      <c r="G211" s="91" t="s">
        <v>253</v>
      </c>
      <c r="H211" s="91" t="s">
        <v>11</v>
      </c>
      <c r="I211" s="91" t="s">
        <v>246</v>
      </c>
      <c r="J211" s="91"/>
      <c r="K211" s="93">
        <v>11.5</v>
      </c>
      <c r="L211" s="93">
        <f>K211*VLOOKUP(H211,dagsoorttabel1,2,FALSE)</f>
        <v>10.147058823529411</v>
      </c>
      <c r="M211" s="94">
        <f>prodnorm43</f>
        <v>0</v>
      </c>
      <c r="N211" s="95">
        <f>dagwerk43</f>
        <v>0</v>
      </c>
      <c r="O211" s="91" t="s">
        <v>108</v>
      </c>
      <c r="P211" s="96">
        <f>uurtarief43</f>
        <v>0</v>
      </c>
      <c r="Q211" s="93" t="e">
        <f>IF(ISBLANK(M211),0,L211/ROUND(M211,4))</f>
        <v>#DIV/0!</v>
      </c>
      <c r="R211" s="93" t="e">
        <f>IF(ISBLANK(M211),0,Q211*ROUND(N211,2))</f>
        <v>#DIV/0!</v>
      </c>
      <c r="S211" s="96" t="e">
        <f>ROUND(P211,2)*Q211</f>
        <v>#DIV/0!</v>
      </c>
      <c r="T211" s="93" t="e">
        <f>Q211*dagenperjaar1</f>
        <v>#DIV/0!</v>
      </c>
      <c r="U211" s="97" t="e">
        <f>T211*ROUND(P211,2)</f>
        <v>#DIV/0!</v>
      </c>
    </row>
    <row r="212" spans="1:21" x14ac:dyDescent="0.2">
      <c r="A212" s="98" t="s">
        <v>552</v>
      </c>
      <c r="B212" s="99" t="s">
        <v>50</v>
      </c>
      <c r="C212" s="99" t="s">
        <v>345</v>
      </c>
      <c r="D212" s="99" t="s">
        <v>349</v>
      </c>
      <c r="E212" s="100" t="s">
        <v>426</v>
      </c>
      <c r="F212" s="99" t="s">
        <v>348</v>
      </c>
      <c r="G212" s="99" t="s">
        <v>262</v>
      </c>
      <c r="H212" s="99" t="s">
        <v>11</v>
      </c>
      <c r="I212" s="99" t="s">
        <v>246</v>
      </c>
      <c r="J212" s="99"/>
      <c r="K212" s="101">
        <v>30</v>
      </c>
      <c r="L212" s="101">
        <f>K212*VLOOKUP(H212,dagsoorttabel1,2,FALSE)</f>
        <v>26.470588235294116</v>
      </c>
      <c r="M212" s="102">
        <f>prodnorm58</f>
        <v>0</v>
      </c>
      <c r="N212" s="37">
        <f>dagwerk58</f>
        <v>0</v>
      </c>
      <c r="O212" s="99" t="s">
        <v>108</v>
      </c>
      <c r="P212" s="24">
        <f>uurtarief58</f>
        <v>0</v>
      </c>
      <c r="Q212" s="101" t="e">
        <f>IF(ISBLANK(M212),0,L212/ROUND(M212,4))</f>
        <v>#DIV/0!</v>
      </c>
      <c r="R212" s="101" t="e">
        <f>IF(ISBLANK(M212),0,Q212*ROUND(N212,2))</f>
        <v>#DIV/0!</v>
      </c>
      <c r="S212" s="24" t="e">
        <f>ROUND(P212,2)*Q212</f>
        <v>#DIV/0!</v>
      </c>
      <c r="T212" s="101" t="e">
        <f>Q212*dagenperjaar1</f>
        <v>#DIV/0!</v>
      </c>
      <c r="U212" s="25" t="e">
        <f>T212*ROUND(P212,2)</f>
        <v>#DIV/0!</v>
      </c>
    </row>
    <row r="213" spans="1:21" x14ac:dyDescent="0.2">
      <c r="A213" s="98" t="s">
        <v>552</v>
      </c>
      <c r="B213" s="99" t="s">
        <v>50</v>
      </c>
      <c r="C213" s="99" t="s">
        <v>345</v>
      </c>
      <c r="D213" s="99" t="s">
        <v>351</v>
      </c>
      <c r="E213" s="100" t="s">
        <v>547</v>
      </c>
      <c r="F213" s="99" t="s">
        <v>348</v>
      </c>
      <c r="G213" s="99" t="s">
        <v>251</v>
      </c>
      <c r="H213" s="99" t="s">
        <v>11</v>
      </c>
      <c r="I213" s="99" t="s">
        <v>246</v>
      </c>
      <c r="J213" s="99"/>
      <c r="K213" s="101">
        <v>17.5</v>
      </c>
      <c r="L213" s="101">
        <f>K213*VLOOKUP(H213,dagsoorttabel1,2,FALSE)</f>
        <v>15.441176470588236</v>
      </c>
      <c r="M213" s="102">
        <f>prodnorm40</f>
        <v>0</v>
      </c>
      <c r="N213" s="37">
        <f>dagwerk40</f>
        <v>0</v>
      </c>
      <c r="O213" s="99" t="s">
        <v>108</v>
      </c>
      <c r="P213" s="24">
        <f>uurtarief40</f>
        <v>0</v>
      </c>
      <c r="Q213" s="101" t="e">
        <f>IF(ISBLANK(M213),0,L213/ROUND(M213,4))</f>
        <v>#DIV/0!</v>
      </c>
      <c r="R213" s="101" t="e">
        <f>IF(ISBLANK(M213),0,Q213*ROUND(N213,2))</f>
        <v>#DIV/0!</v>
      </c>
      <c r="S213" s="24" t="e">
        <f>ROUND(P213,2)*Q213</f>
        <v>#DIV/0!</v>
      </c>
      <c r="T213" s="101" t="e">
        <f>Q213*dagenperjaar1</f>
        <v>#DIV/0!</v>
      </c>
      <c r="U213" s="25" t="e">
        <f>T213*ROUND(P213,2)</f>
        <v>#DIV/0!</v>
      </c>
    </row>
    <row r="214" spans="1:21" x14ac:dyDescent="0.2">
      <c r="A214" s="98" t="s">
        <v>552</v>
      </c>
      <c r="B214" s="99" t="s">
        <v>50</v>
      </c>
      <c r="C214" s="99" t="s">
        <v>345</v>
      </c>
      <c r="D214" s="99" t="s">
        <v>353</v>
      </c>
      <c r="E214" s="100" t="s">
        <v>421</v>
      </c>
      <c r="F214" s="99" t="s">
        <v>348</v>
      </c>
      <c r="G214" s="99" t="s">
        <v>277</v>
      </c>
      <c r="H214" s="99" t="s">
        <v>11</v>
      </c>
      <c r="I214" s="99" t="s">
        <v>246</v>
      </c>
      <c r="J214" s="99"/>
      <c r="K214" s="101">
        <v>22</v>
      </c>
      <c r="L214" s="101">
        <f>K214*VLOOKUP(H214,dagsoorttabel1,2,FALSE)</f>
        <v>19.411764705882351</v>
      </c>
      <c r="M214" s="102">
        <f>prodnorm74</f>
        <v>0</v>
      </c>
      <c r="N214" s="37">
        <f>dagwerk74</f>
        <v>0</v>
      </c>
      <c r="O214" s="99" t="s">
        <v>108</v>
      </c>
      <c r="P214" s="24">
        <f>uurtarief74</f>
        <v>0</v>
      </c>
      <c r="Q214" s="101" t="e">
        <f>IF(ISBLANK(M214),0,L214/ROUND(M214,4))</f>
        <v>#DIV/0!</v>
      </c>
      <c r="R214" s="101" t="e">
        <f>IF(ISBLANK(M214),0,Q214*ROUND(N214,2))</f>
        <v>#DIV/0!</v>
      </c>
      <c r="S214" s="24" t="e">
        <f>ROUND(P214,2)*Q214</f>
        <v>#DIV/0!</v>
      </c>
      <c r="T214" s="101" t="e">
        <f>Q214*dagenperjaar1</f>
        <v>#DIV/0!</v>
      </c>
      <c r="U214" s="25" t="e">
        <f>T214*ROUND(P214,2)</f>
        <v>#DIV/0!</v>
      </c>
    </row>
    <row r="215" spans="1:21" x14ac:dyDescent="0.2">
      <c r="A215" s="98" t="s">
        <v>552</v>
      </c>
      <c r="B215" s="99" t="s">
        <v>50</v>
      </c>
      <c r="C215" s="99" t="s">
        <v>345</v>
      </c>
      <c r="D215" s="99" t="s">
        <v>355</v>
      </c>
      <c r="E215" s="100" t="s">
        <v>430</v>
      </c>
      <c r="F215" s="99" t="s">
        <v>548</v>
      </c>
      <c r="G215" s="99" t="s">
        <v>273</v>
      </c>
      <c r="H215" s="99" t="s">
        <v>11</v>
      </c>
      <c r="I215" s="99" t="s">
        <v>246</v>
      </c>
      <c r="J215" s="99"/>
      <c r="K215" s="101">
        <v>5.5</v>
      </c>
      <c r="L215" s="101">
        <f>K215*VLOOKUP(H215,dagsoorttabel1,2,FALSE)</f>
        <v>4.8529411764705879</v>
      </c>
      <c r="M215" s="102">
        <f>prodnorm69</f>
        <v>0</v>
      </c>
      <c r="N215" s="37">
        <f>dagwerk69</f>
        <v>0</v>
      </c>
      <c r="O215" s="99" t="s">
        <v>108</v>
      </c>
      <c r="P215" s="24">
        <f>uurtarief69</f>
        <v>0</v>
      </c>
      <c r="Q215" s="101" t="e">
        <f>IF(ISBLANK(M215),0,L215/ROUND(M215,4))</f>
        <v>#DIV/0!</v>
      </c>
      <c r="R215" s="101" t="e">
        <f>IF(ISBLANK(M215),0,Q215*ROUND(N215,2))</f>
        <v>#DIV/0!</v>
      </c>
      <c r="S215" s="24" t="e">
        <f>ROUND(P215,2)*Q215</f>
        <v>#DIV/0!</v>
      </c>
      <c r="T215" s="101" t="e">
        <f>Q215*dagenperjaar1</f>
        <v>#DIV/0!</v>
      </c>
      <c r="U215" s="25" t="e">
        <f>T215*ROUND(P215,2)</f>
        <v>#DIV/0!</v>
      </c>
    </row>
    <row r="216" spans="1:21" x14ac:dyDescent="0.2">
      <c r="A216" s="98" t="s">
        <v>552</v>
      </c>
      <c r="B216" s="99" t="s">
        <v>50</v>
      </c>
      <c r="C216" s="99" t="s">
        <v>345</v>
      </c>
      <c r="D216" s="99" t="s">
        <v>357</v>
      </c>
      <c r="E216" s="100" t="s">
        <v>549</v>
      </c>
      <c r="F216" s="99" t="s">
        <v>443</v>
      </c>
      <c r="G216" s="99" t="s">
        <v>259</v>
      </c>
      <c r="H216" s="99" t="s">
        <v>11</v>
      </c>
      <c r="I216" s="99" t="s">
        <v>246</v>
      </c>
      <c r="J216" s="99"/>
      <c r="K216" s="101">
        <v>244</v>
      </c>
      <c r="L216" s="101">
        <f>K216*VLOOKUP(H216,dagsoorttabel1,2,FALSE)</f>
        <v>215.29411764705881</v>
      </c>
      <c r="M216" s="102">
        <f>prodnorm52</f>
        <v>0</v>
      </c>
      <c r="N216" s="37">
        <f>dagwerk52</f>
        <v>0</v>
      </c>
      <c r="O216" s="99" t="s">
        <v>108</v>
      </c>
      <c r="P216" s="24">
        <f>uurtarief52</f>
        <v>0</v>
      </c>
      <c r="Q216" s="101" t="e">
        <f>IF(ISBLANK(M216),0,L216/ROUND(M216,4))</f>
        <v>#DIV/0!</v>
      </c>
      <c r="R216" s="101" t="e">
        <f>IF(ISBLANK(M216),0,Q216*ROUND(N216,2))</f>
        <v>#DIV/0!</v>
      </c>
      <c r="S216" s="24" t="e">
        <f>ROUND(P216,2)*Q216</f>
        <v>#DIV/0!</v>
      </c>
      <c r="T216" s="101" t="e">
        <f>Q216*dagenperjaar1</f>
        <v>#DIV/0!</v>
      </c>
      <c r="U216" s="25" t="e">
        <f>T216*ROUND(P216,2)</f>
        <v>#DIV/0!</v>
      </c>
    </row>
    <row r="217" spans="1:21" x14ac:dyDescent="0.2">
      <c r="A217" s="98" t="s">
        <v>552</v>
      </c>
      <c r="B217" s="99" t="s">
        <v>50</v>
      </c>
      <c r="C217" s="99" t="s">
        <v>345</v>
      </c>
      <c r="D217" s="99" t="s">
        <v>359</v>
      </c>
      <c r="E217" s="100" t="s">
        <v>426</v>
      </c>
      <c r="F217" s="99" t="s">
        <v>348</v>
      </c>
      <c r="G217" s="99" t="s">
        <v>262</v>
      </c>
      <c r="H217" s="99" t="s">
        <v>11</v>
      </c>
      <c r="I217" s="99" t="s">
        <v>246</v>
      </c>
      <c r="J217" s="99"/>
      <c r="K217" s="101">
        <v>30</v>
      </c>
      <c r="L217" s="101">
        <f>K217*VLOOKUP(H217,dagsoorttabel1,2,FALSE)</f>
        <v>26.470588235294116</v>
      </c>
      <c r="M217" s="102">
        <f>prodnorm58</f>
        <v>0</v>
      </c>
      <c r="N217" s="37">
        <f>dagwerk58</f>
        <v>0</v>
      </c>
      <c r="O217" s="99" t="s">
        <v>108</v>
      </c>
      <c r="P217" s="24">
        <f>uurtarief58</f>
        <v>0</v>
      </c>
      <c r="Q217" s="101" t="e">
        <f>IF(ISBLANK(M217),0,L217/ROUND(M217,4))</f>
        <v>#DIV/0!</v>
      </c>
      <c r="R217" s="101" t="e">
        <f>IF(ISBLANK(M217),0,Q217*ROUND(N217,2))</f>
        <v>#DIV/0!</v>
      </c>
      <c r="S217" s="24" t="e">
        <f>ROUND(P217,2)*Q217</f>
        <v>#DIV/0!</v>
      </c>
      <c r="T217" s="101" t="e">
        <f>Q217*dagenperjaar1</f>
        <v>#DIV/0!</v>
      </c>
      <c r="U217" s="25" t="e">
        <f>T217*ROUND(P217,2)</f>
        <v>#DIV/0!</v>
      </c>
    </row>
    <row r="218" spans="1:21" x14ac:dyDescent="0.2">
      <c r="A218" s="98" t="s">
        <v>552</v>
      </c>
      <c r="B218" s="99" t="s">
        <v>50</v>
      </c>
      <c r="C218" s="99" t="s">
        <v>345</v>
      </c>
      <c r="D218" s="99" t="s">
        <v>361</v>
      </c>
      <c r="E218" s="100" t="s">
        <v>547</v>
      </c>
      <c r="F218" s="99" t="s">
        <v>348</v>
      </c>
      <c r="G218" s="99" t="s">
        <v>251</v>
      </c>
      <c r="H218" s="99" t="s">
        <v>11</v>
      </c>
      <c r="I218" s="99" t="s">
        <v>246</v>
      </c>
      <c r="J218" s="99"/>
      <c r="K218" s="101">
        <v>17.5</v>
      </c>
      <c r="L218" s="101">
        <f>K218*VLOOKUP(H218,dagsoorttabel1,2,FALSE)</f>
        <v>15.441176470588236</v>
      </c>
      <c r="M218" s="102">
        <f>prodnorm40</f>
        <v>0</v>
      </c>
      <c r="N218" s="37">
        <f>dagwerk40</f>
        <v>0</v>
      </c>
      <c r="O218" s="99" t="s">
        <v>108</v>
      </c>
      <c r="P218" s="24">
        <f>uurtarief40</f>
        <v>0</v>
      </c>
      <c r="Q218" s="101" t="e">
        <f>IF(ISBLANK(M218),0,L218/ROUND(M218,4))</f>
        <v>#DIV/0!</v>
      </c>
      <c r="R218" s="101" t="e">
        <f>IF(ISBLANK(M218),0,Q218*ROUND(N218,2))</f>
        <v>#DIV/0!</v>
      </c>
      <c r="S218" s="24" t="e">
        <f>ROUND(P218,2)*Q218</f>
        <v>#DIV/0!</v>
      </c>
      <c r="T218" s="101" t="e">
        <f>Q218*dagenperjaar1</f>
        <v>#DIV/0!</v>
      </c>
      <c r="U218" s="25" t="e">
        <f>T218*ROUND(P218,2)</f>
        <v>#DIV/0!</v>
      </c>
    </row>
    <row r="219" spans="1:21" x14ac:dyDescent="0.2">
      <c r="A219" s="103" t="s">
        <v>552</v>
      </c>
      <c r="B219" s="104" t="s">
        <v>50</v>
      </c>
      <c r="C219" s="104" t="s">
        <v>345</v>
      </c>
      <c r="D219" s="104" t="s">
        <v>363</v>
      </c>
      <c r="E219" s="105" t="s">
        <v>429</v>
      </c>
      <c r="F219" s="104" t="s">
        <v>348</v>
      </c>
      <c r="G219" s="104" t="s">
        <v>277</v>
      </c>
      <c r="H219" s="104" t="s">
        <v>11</v>
      </c>
      <c r="I219" s="104" t="s">
        <v>246</v>
      </c>
      <c r="J219" s="104"/>
      <c r="K219" s="106">
        <v>11.5</v>
      </c>
      <c r="L219" s="106">
        <f>K219*VLOOKUP(H219,dagsoorttabel1,2,FALSE)</f>
        <v>10.147058823529411</v>
      </c>
      <c r="M219" s="107">
        <f>prodnorm74</f>
        <v>0</v>
      </c>
      <c r="N219" s="108">
        <f>dagwerk74</f>
        <v>0</v>
      </c>
      <c r="O219" s="104" t="s">
        <v>108</v>
      </c>
      <c r="P219" s="34">
        <f>uurtarief74</f>
        <v>0</v>
      </c>
      <c r="Q219" s="106" t="e">
        <f>IF(ISBLANK(M219),0,L219/ROUND(M219,4))</f>
        <v>#DIV/0!</v>
      </c>
      <c r="R219" s="106" t="e">
        <f>IF(ISBLANK(M219),0,Q219*ROUND(N219,2))</f>
        <v>#DIV/0!</v>
      </c>
      <c r="S219" s="34" t="e">
        <f>ROUND(P219,2)*Q219</f>
        <v>#DIV/0!</v>
      </c>
      <c r="T219" s="106" t="e">
        <f>Q219*dagenperjaar1</f>
        <v>#DIV/0!</v>
      </c>
      <c r="U219" s="35" t="e">
        <f>T219*ROUND(P219,2)</f>
        <v>#DIV/0!</v>
      </c>
    </row>
    <row r="220" spans="1:21" x14ac:dyDescent="0.2">
      <c r="A220" s="109" t="s">
        <v>403</v>
      </c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81" t="e">
        <f>IF(_xlfn.SINGLE(object6_urenjaar1)&gt;0,_xlfn.SINGLE(object6_prijsjaar1)/_xlfn.SINGLE(object6_urenjaar1),0)</f>
        <v>#DIV/0!</v>
      </c>
      <c r="Q220" s="80" t="e">
        <f>SUM(Q211:Q219)</f>
        <v>#DIV/0!</v>
      </c>
      <c r="R220" s="80" t="e">
        <f>SUM(R211:R219)</f>
        <v>#DIV/0!</v>
      </c>
      <c r="S220" s="81" t="e">
        <f>SUM(S211:S219)</f>
        <v>#DIV/0!</v>
      </c>
      <c r="T220" s="80" t="e">
        <f>SUM(T211:T219)</f>
        <v>#DIV/0!</v>
      </c>
      <c r="U220" s="82" t="e">
        <f>SUM(U211:U219)</f>
        <v>#DIV/0!</v>
      </c>
    </row>
    <row r="221" spans="1:21" x14ac:dyDescent="0.2">
      <c r="A221" s="88" t="s">
        <v>553</v>
      </c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77"/>
    </row>
    <row r="222" spans="1:21" x14ac:dyDescent="0.2">
      <c r="A222" s="90" t="s">
        <v>554</v>
      </c>
      <c r="B222" s="91" t="s">
        <v>50</v>
      </c>
      <c r="C222" s="91" t="s">
        <v>345</v>
      </c>
      <c r="D222" s="91" t="s">
        <v>346</v>
      </c>
      <c r="E222" s="92" t="s">
        <v>418</v>
      </c>
      <c r="F222" s="91" t="s">
        <v>348</v>
      </c>
      <c r="G222" s="91" t="s">
        <v>253</v>
      </c>
      <c r="H222" s="91" t="s">
        <v>11</v>
      </c>
      <c r="I222" s="91" t="s">
        <v>246</v>
      </c>
      <c r="J222" s="91"/>
      <c r="K222" s="93">
        <v>19</v>
      </c>
      <c r="L222" s="93">
        <f>K222*VLOOKUP(H222,dagsoorttabel1,2,FALSE)</f>
        <v>16.764705882352942</v>
      </c>
      <c r="M222" s="94">
        <f>prodnorm43</f>
        <v>0</v>
      </c>
      <c r="N222" s="95">
        <f>dagwerk43</f>
        <v>0</v>
      </c>
      <c r="O222" s="91" t="s">
        <v>108</v>
      </c>
      <c r="P222" s="96">
        <f>uurtarief43</f>
        <v>0</v>
      </c>
      <c r="Q222" s="93" t="e">
        <f>IF(ISBLANK(M222),0,L222/ROUND(M222,4))</f>
        <v>#DIV/0!</v>
      </c>
      <c r="R222" s="93" t="e">
        <f>IF(ISBLANK(M222),0,Q222*ROUND(N222,2))</f>
        <v>#DIV/0!</v>
      </c>
      <c r="S222" s="96" t="e">
        <f>ROUND(P222,2)*Q222</f>
        <v>#DIV/0!</v>
      </c>
      <c r="T222" s="93" t="e">
        <f>Q222*dagenperjaar1</f>
        <v>#DIV/0!</v>
      </c>
      <c r="U222" s="97" t="e">
        <f>T222*ROUND(P222,2)</f>
        <v>#DIV/0!</v>
      </c>
    </row>
    <row r="223" spans="1:21" x14ac:dyDescent="0.2">
      <c r="A223" s="98" t="s">
        <v>554</v>
      </c>
      <c r="B223" s="99" t="s">
        <v>50</v>
      </c>
      <c r="C223" s="99" t="s">
        <v>345</v>
      </c>
      <c r="D223" s="99" t="s">
        <v>349</v>
      </c>
      <c r="E223" s="100" t="s">
        <v>512</v>
      </c>
      <c r="F223" s="99" t="s">
        <v>348</v>
      </c>
      <c r="G223" s="99" t="s">
        <v>248</v>
      </c>
      <c r="H223" s="99" t="s">
        <v>11</v>
      </c>
      <c r="I223" s="99" t="s">
        <v>246</v>
      </c>
      <c r="J223" s="99"/>
      <c r="K223" s="101">
        <v>8</v>
      </c>
      <c r="L223" s="101">
        <f>K223*VLOOKUP(H223,dagsoorttabel1,2,FALSE)</f>
        <v>7.0588235294117645</v>
      </c>
      <c r="M223" s="102">
        <f>prodnorm36</f>
        <v>0</v>
      </c>
      <c r="N223" s="37">
        <f>dagwerk36</f>
        <v>0</v>
      </c>
      <c r="O223" s="99" t="s">
        <v>108</v>
      </c>
      <c r="P223" s="24">
        <f>uurtarief36</f>
        <v>0</v>
      </c>
      <c r="Q223" s="101" t="e">
        <f>IF(ISBLANK(M223),0,L223/ROUND(M223,4))</f>
        <v>#DIV/0!</v>
      </c>
      <c r="R223" s="101" t="e">
        <f>IF(ISBLANK(M223),0,Q223*ROUND(N223,2))</f>
        <v>#DIV/0!</v>
      </c>
      <c r="S223" s="24" t="e">
        <f>ROUND(P223,2)*Q223</f>
        <v>#DIV/0!</v>
      </c>
      <c r="T223" s="101" t="e">
        <f>Q223*dagenperjaar1</f>
        <v>#DIV/0!</v>
      </c>
      <c r="U223" s="25" t="e">
        <f>T223*ROUND(P223,2)</f>
        <v>#DIV/0!</v>
      </c>
    </row>
    <row r="224" spans="1:21" x14ac:dyDescent="0.2">
      <c r="A224" s="98" t="s">
        <v>554</v>
      </c>
      <c r="B224" s="99" t="s">
        <v>50</v>
      </c>
      <c r="C224" s="99" t="s">
        <v>345</v>
      </c>
      <c r="D224" s="99" t="s">
        <v>351</v>
      </c>
      <c r="E224" s="100" t="s">
        <v>547</v>
      </c>
      <c r="F224" s="99" t="s">
        <v>348</v>
      </c>
      <c r="G224" s="99" t="s">
        <v>251</v>
      </c>
      <c r="H224" s="99" t="s">
        <v>11</v>
      </c>
      <c r="I224" s="99" t="s">
        <v>246</v>
      </c>
      <c r="J224" s="99"/>
      <c r="K224" s="101">
        <v>1.5</v>
      </c>
      <c r="L224" s="101">
        <f>K224*VLOOKUP(H224,dagsoorttabel1,2,FALSE)</f>
        <v>1.3235294117647058</v>
      </c>
      <c r="M224" s="102">
        <f>prodnorm40</f>
        <v>0</v>
      </c>
      <c r="N224" s="37">
        <f>dagwerk40</f>
        <v>0</v>
      </c>
      <c r="O224" s="99" t="s">
        <v>108</v>
      </c>
      <c r="P224" s="24">
        <f>uurtarief40</f>
        <v>0</v>
      </c>
      <c r="Q224" s="101" t="e">
        <f>IF(ISBLANK(M224),0,L224/ROUND(M224,4))</f>
        <v>#DIV/0!</v>
      </c>
      <c r="R224" s="101" t="e">
        <f>IF(ISBLANK(M224),0,Q224*ROUND(N224,2))</f>
        <v>#DIV/0!</v>
      </c>
      <c r="S224" s="24" t="e">
        <f>ROUND(P224,2)*Q224</f>
        <v>#DIV/0!</v>
      </c>
      <c r="T224" s="101" t="e">
        <f>Q224*dagenperjaar1</f>
        <v>#DIV/0!</v>
      </c>
      <c r="U224" s="25" t="e">
        <f>T224*ROUND(P224,2)</f>
        <v>#DIV/0!</v>
      </c>
    </row>
    <row r="225" spans="1:21" x14ac:dyDescent="0.2">
      <c r="A225" s="98" t="s">
        <v>554</v>
      </c>
      <c r="B225" s="99" t="s">
        <v>50</v>
      </c>
      <c r="C225" s="99" t="s">
        <v>345</v>
      </c>
      <c r="D225" s="99" t="s">
        <v>353</v>
      </c>
      <c r="E225" s="100" t="s">
        <v>426</v>
      </c>
      <c r="F225" s="99" t="s">
        <v>348</v>
      </c>
      <c r="G225" s="99" t="s">
        <v>262</v>
      </c>
      <c r="H225" s="99" t="s">
        <v>11</v>
      </c>
      <c r="I225" s="99" t="s">
        <v>246</v>
      </c>
      <c r="J225" s="99"/>
      <c r="K225" s="101">
        <v>61</v>
      </c>
      <c r="L225" s="101">
        <f>K225*VLOOKUP(H225,dagsoorttabel1,2,FALSE)</f>
        <v>53.823529411764703</v>
      </c>
      <c r="M225" s="102">
        <f>prodnorm58</f>
        <v>0</v>
      </c>
      <c r="N225" s="37">
        <f>dagwerk58</f>
        <v>0</v>
      </c>
      <c r="O225" s="99" t="s">
        <v>108</v>
      </c>
      <c r="P225" s="24">
        <f>uurtarief58</f>
        <v>0</v>
      </c>
      <c r="Q225" s="101" t="e">
        <f>IF(ISBLANK(M225),0,L225/ROUND(M225,4))</f>
        <v>#DIV/0!</v>
      </c>
      <c r="R225" s="101" t="e">
        <f>IF(ISBLANK(M225),0,Q225*ROUND(N225,2))</f>
        <v>#DIV/0!</v>
      </c>
      <c r="S225" s="24" t="e">
        <f>ROUND(P225,2)*Q225</f>
        <v>#DIV/0!</v>
      </c>
      <c r="T225" s="101" t="e">
        <f>Q225*dagenperjaar1</f>
        <v>#DIV/0!</v>
      </c>
      <c r="U225" s="25" t="e">
        <f>T225*ROUND(P225,2)</f>
        <v>#DIV/0!</v>
      </c>
    </row>
    <row r="226" spans="1:21" x14ac:dyDescent="0.2">
      <c r="A226" s="98" t="s">
        <v>554</v>
      </c>
      <c r="B226" s="99" t="s">
        <v>50</v>
      </c>
      <c r="C226" s="99" t="s">
        <v>345</v>
      </c>
      <c r="D226" s="99" t="s">
        <v>355</v>
      </c>
      <c r="E226" s="100" t="s">
        <v>420</v>
      </c>
      <c r="F226" s="99" t="s">
        <v>348</v>
      </c>
      <c r="G226" s="99" t="s">
        <v>270</v>
      </c>
      <c r="H226" s="99" t="s">
        <v>11</v>
      </c>
      <c r="I226" s="99" t="s">
        <v>246</v>
      </c>
      <c r="J226" s="99"/>
      <c r="K226" s="101">
        <v>1.5</v>
      </c>
      <c r="L226" s="101">
        <f>K226*VLOOKUP(H226,dagsoorttabel1,2,FALSE)</f>
        <v>1.3235294117647058</v>
      </c>
      <c r="M226" s="102">
        <f>prodnorm65</f>
        <v>0</v>
      </c>
      <c r="N226" s="37">
        <f>dagwerk65</f>
        <v>0</v>
      </c>
      <c r="O226" s="99" t="s">
        <v>108</v>
      </c>
      <c r="P226" s="24">
        <f>uurtarief65</f>
        <v>0</v>
      </c>
      <c r="Q226" s="101" t="e">
        <f>IF(ISBLANK(M226),0,L226/ROUND(M226,4))</f>
        <v>#DIV/0!</v>
      </c>
      <c r="R226" s="101" t="e">
        <f>IF(ISBLANK(M226),0,Q226*ROUND(N226,2))</f>
        <v>#DIV/0!</v>
      </c>
      <c r="S226" s="24" t="e">
        <f>ROUND(P226,2)*Q226</f>
        <v>#DIV/0!</v>
      </c>
      <c r="T226" s="101" t="e">
        <f>Q226*dagenperjaar1</f>
        <v>#DIV/0!</v>
      </c>
      <c r="U226" s="25" t="e">
        <f>T226*ROUND(P226,2)</f>
        <v>#DIV/0!</v>
      </c>
    </row>
    <row r="227" spans="1:21" x14ac:dyDescent="0.2">
      <c r="A227" s="98" t="s">
        <v>554</v>
      </c>
      <c r="B227" s="99" t="s">
        <v>50</v>
      </c>
      <c r="C227" s="99" t="s">
        <v>345</v>
      </c>
      <c r="D227" s="99" t="s">
        <v>357</v>
      </c>
      <c r="E227" s="100" t="s">
        <v>420</v>
      </c>
      <c r="F227" s="99" t="s">
        <v>348</v>
      </c>
      <c r="G227" s="99" t="s">
        <v>270</v>
      </c>
      <c r="H227" s="99" t="s">
        <v>11</v>
      </c>
      <c r="I227" s="99" t="s">
        <v>246</v>
      </c>
      <c r="J227" s="99"/>
      <c r="K227" s="101">
        <v>1.5</v>
      </c>
      <c r="L227" s="101">
        <f>K227*VLOOKUP(H227,dagsoorttabel1,2,FALSE)</f>
        <v>1.3235294117647058</v>
      </c>
      <c r="M227" s="102">
        <f>prodnorm65</f>
        <v>0</v>
      </c>
      <c r="N227" s="37">
        <f>dagwerk65</f>
        <v>0</v>
      </c>
      <c r="O227" s="99" t="s">
        <v>108</v>
      </c>
      <c r="P227" s="24">
        <f>uurtarief65</f>
        <v>0</v>
      </c>
      <c r="Q227" s="101" t="e">
        <f>IF(ISBLANK(M227),0,L227/ROUND(M227,4))</f>
        <v>#DIV/0!</v>
      </c>
      <c r="R227" s="101" t="e">
        <f>IF(ISBLANK(M227),0,Q227*ROUND(N227,2))</f>
        <v>#DIV/0!</v>
      </c>
      <c r="S227" s="24" t="e">
        <f>ROUND(P227,2)*Q227</f>
        <v>#DIV/0!</v>
      </c>
      <c r="T227" s="101" t="e">
        <f>Q227*dagenperjaar1</f>
        <v>#DIV/0!</v>
      </c>
      <c r="U227" s="25" t="e">
        <f>T227*ROUND(P227,2)</f>
        <v>#DIV/0!</v>
      </c>
    </row>
    <row r="228" spans="1:21" x14ac:dyDescent="0.2">
      <c r="A228" s="98" t="s">
        <v>554</v>
      </c>
      <c r="B228" s="99" t="s">
        <v>50</v>
      </c>
      <c r="C228" s="99" t="s">
        <v>345</v>
      </c>
      <c r="D228" s="99" t="s">
        <v>359</v>
      </c>
      <c r="E228" s="100" t="s">
        <v>420</v>
      </c>
      <c r="F228" s="99" t="s">
        <v>348</v>
      </c>
      <c r="G228" s="99" t="s">
        <v>270</v>
      </c>
      <c r="H228" s="99" t="s">
        <v>11</v>
      </c>
      <c r="I228" s="99" t="s">
        <v>246</v>
      </c>
      <c r="J228" s="99"/>
      <c r="K228" s="101">
        <v>1.5</v>
      </c>
      <c r="L228" s="101">
        <f>K228*VLOOKUP(H228,dagsoorttabel1,2,FALSE)</f>
        <v>1.3235294117647058</v>
      </c>
      <c r="M228" s="102">
        <f>prodnorm65</f>
        <v>0</v>
      </c>
      <c r="N228" s="37">
        <f>dagwerk65</f>
        <v>0</v>
      </c>
      <c r="O228" s="99" t="s">
        <v>108</v>
      </c>
      <c r="P228" s="24">
        <f>uurtarief65</f>
        <v>0</v>
      </c>
      <c r="Q228" s="101" t="e">
        <f>IF(ISBLANK(M228),0,L228/ROUND(M228,4))</f>
        <v>#DIV/0!</v>
      </c>
      <c r="R228" s="101" t="e">
        <f>IF(ISBLANK(M228),0,Q228*ROUND(N228,2))</f>
        <v>#DIV/0!</v>
      </c>
      <c r="S228" s="24" t="e">
        <f>ROUND(P228,2)*Q228</f>
        <v>#DIV/0!</v>
      </c>
      <c r="T228" s="101" t="e">
        <f>Q228*dagenperjaar1</f>
        <v>#DIV/0!</v>
      </c>
      <c r="U228" s="25" t="e">
        <f>T228*ROUND(P228,2)</f>
        <v>#DIV/0!</v>
      </c>
    </row>
    <row r="229" spans="1:21" x14ac:dyDescent="0.2">
      <c r="A229" s="98" t="s">
        <v>554</v>
      </c>
      <c r="B229" s="99" t="s">
        <v>50</v>
      </c>
      <c r="C229" s="99" t="s">
        <v>345</v>
      </c>
      <c r="D229" s="99" t="s">
        <v>361</v>
      </c>
      <c r="E229" s="100" t="s">
        <v>420</v>
      </c>
      <c r="F229" s="99" t="s">
        <v>348</v>
      </c>
      <c r="G229" s="99" t="s">
        <v>270</v>
      </c>
      <c r="H229" s="99" t="s">
        <v>11</v>
      </c>
      <c r="I229" s="99" t="s">
        <v>246</v>
      </c>
      <c r="J229" s="99"/>
      <c r="K229" s="101">
        <v>1.5</v>
      </c>
      <c r="L229" s="101">
        <f>K229*VLOOKUP(H229,dagsoorttabel1,2,FALSE)</f>
        <v>1.3235294117647058</v>
      </c>
      <c r="M229" s="102">
        <f>prodnorm65</f>
        <v>0</v>
      </c>
      <c r="N229" s="37">
        <f>dagwerk65</f>
        <v>0</v>
      </c>
      <c r="O229" s="99" t="s">
        <v>108</v>
      </c>
      <c r="P229" s="24">
        <f>uurtarief65</f>
        <v>0</v>
      </c>
      <c r="Q229" s="101" t="e">
        <f>IF(ISBLANK(M229),0,L229/ROUND(M229,4))</f>
        <v>#DIV/0!</v>
      </c>
      <c r="R229" s="101" t="e">
        <f>IF(ISBLANK(M229),0,Q229*ROUND(N229,2))</f>
        <v>#DIV/0!</v>
      </c>
      <c r="S229" s="24" t="e">
        <f>ROUND(P229,2)*Q229</f>
        <v>#DIV/0!</v>
      </c>
      <c r="T229" s="101" t="e">
        <f>Q229*dagenperjaar1</f>
        <v>#DIV/0!</v>
      </c>
      <c r="U229" s="25" t="e">
        <f>T229*ROUND(P229,2)</f>
        <v>#DIV/0!</v>
      </c>
    </row>
    <row r="230" spans="1:21" x14ac:dyDescent="0.2">
      <c r="A230" s="98" t="s">
        <v>554</v>
      </c>
      <c r="B230" s="99" t="s">
        <v>50</v>
      </c>
      <c r="C230" s="99" t="s">
        <v>345</v>
      </c>
      <c r="D230" s="99" t="s">
        <v>363</v>
      </c>
      <c r="E230" s="100" t="s">
        <v>549</v>
      </c>
      <c r="F230" s="99" t="s">
        <v>443</v>
      </c>
      <c r="G230" s="99" t="s">
        <v>259</v>
      </c>
      <c r="H230" s="99" t="s">
        <v>11</v>
      </c>
      <c r="I230" s="99" t="s">
        <v>246</v>
      </c>
      <c r="J230" s="99"/>
      <c r="K230" s="101">
        <v>200</v>
      </c>
      <c r="L230" s="101">
        <f>K230*VLOOKUP(H230,dagsoorttabel1,2,FALSE)</f>
        <v>176.47058823529412</v>
      </c>
      <c r="M230" s="102">
        <f>prodnorm52</f>
        <v>0</v>
      </c>
      <c r="N230" s="37">
        <f>dagwerk52</f>
        <v>0</v>
      </c>
      <c r="O230" s="99" t="s">
        <v>108</v>
      </c>
      <c r="P230" s="24">
        <f>uurtarief52</f>
        <v>0</v>
      </c>
      <c r="Q230" s="101" t="e">
        <f>IF(ISBLANK(M230),0,L230/ROUND(M230,4))</f>
        <v>#DIV/0!</v>
      </c>
      <c r="R230" s="101" t="e">
        <f>IF(ISBLANK(M230),0,Q230*ROUND(N230,2))</f>
        <v>#DIV/0!</v>
      </c>
      <c r="S230" s="24" t="e">
        <f>ROUND(P230,2)*Q230</f>
        <v>#DIV/0!</v>
      </c>
      <c r="T230" s="101" t="e">
        <f>Q230*dagenperjaar1</f>
        <v>#DIV/0!</v>
      </c>
      <c r="U230" s="25" t="e">
        <f>T230*ROUND(P230,2)</f>
        <v>#DIV/0!</v>
      </c>
    </row>
    <row r="231" spans="1:21" x14ac:dyDescent="0.2">
      <c r="A231" s="103" t="s">
        <v>554</v>
      </c>
      <c r="B231" s="104" t="s">
        <v>50</v>
      </c>
      <c r="C231" s="104" t="s">
        <v>345</v>
      </c>
      <c r="D231" s="104" t="s">
        <v>365</v>
      </c>
      <c r="E231" s="105" t="s">
        <v>464</v>
      </c>
      <c r="F231" s="104" t="s">
        <v>348</v>
      </c>
      <c r="G231" s="104" t="s">
        <v>277</v>
      </c>
      <c r="H231" s="104" t="s">
        <v>28</v>
      </c>
      <c r="I231" s="104" t="s">
        <v>246</v>
      </c>
      <c r="J231" s="104"/>
      <c r="K231" s="106">
        <v>40</v>
      </c>
      <c r="L231" s="106">
        <f>K231*VLOOKUP(H231,dagsoorttabel1,2,FALSE)</f>
        <v>0.31372549019607843</v>
      </c>
      <c r="M231" s="107">
        <f>prodnorm76</f>
        <v>0</v>
      </c>
      <c r="N231" s="108">
        <f>dagwerk76</f>
        <v>0</v>
      </c>
      <c r="O231" s="104" t="s">
        <v>108</v>
      </c>
      <c r="P231" s="34">
        <f>uurtarief76</f>
        <v>0</v>
      </c>
      <c r="Q231" s="106" t="e">
        <f>IF(ISBLANK(M231),0,L231/ROUND(M231,4))</f>
        <v>#DIV/0!</v>
      </c>
      <c r="R231" s="106" t="e">
        <f>IF(ISBLANK(M231),0,Q231*ROUND(N231,2))</f>
        <v>#DIV/0!</v>
      </c>
      <c r="S231" s="34" t="e">
        <f>ROUND(P231,2)*Q231</f>
        <v>#DIV/0!</v>
      </c>
      <c r="T231" s="106" t="e">
        <f>Q231*dagenperjaar1</f>
        <v>#DIV/0!</v>
      </c>
      <c r="U231" s="35" t="e">
        <f>T231*ROUND(P231,2)</f>
        <v>#DIV/0!</v>
      </c>
    </row>
    <row r="232" spans="1:21" x14ac:dyDescent="0.2">
      <c r="A232" s="109" t="s">
        <v>403</v>
      </c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81" t="e">
        <f>IF(_xlfn.SINGLE(object7_urenjaar1)&gt;0,_xlfn.SINGLE(object7_prijsjaar1)/_xlfn.SINGLE(object7_urenjaar1),0)</f>
        <v>#DIV/0!</v>
      </c>
      <c r="Q232" s="80" t="e">
        <f>SUM(Q222:Q231)</f>
        <v>#DIV/0!</v>
      </c>
      <c r="R232" s="80" t="e">
        <f>SUM(R222:R231)</f>
        <v>#DIV/0!</v>
      </c>
      <c r="S232" s="81" t="e">
        <f>SUM(S222:S231)</f>
        <v>#DIV/0!</v>
      </c>
      <c r="T232" s="80" t="e">
        <f>SUM(T222:T231)</f>
        <v>#DIV/0!</v>
      </c>
      <c r="U232" s="82" t="e">
        <f>SUM(U222:U231)</f>
        <v>#DIV/0!</v>
      </c>
    </row>
    <row r="233" spans="1:21" x14ac:dyDescent="0.2">
      <c r="A233" s="88" t="s">
        <v>555</v>
      </c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77"/>
    </row>
    <row r="234" spans="1:21" x14ac:dyDescent="0.2">
      <c r="A234" s="90" t="s">
        <v>556</v>
      </c>
      <c r="B234" s="91" t="s">
        <v>50</v>
      </c>
      <c r="C234" s="91" t="s">
        <v>345</v>
      </c>
      <c r="D234" s="91" t="s">
        <v>346</v>
      </c>
      <c r="E234" s="92" t="s">
        <v>418</v>
      </c>
      <c r="F234" s="91" t="s">
        <v>348</v>
      </c>
      <c r="G234" s="91" t="s">
        <v>253</v>
      </c>
      <c r="H234" s="91" t="s">
        <v>11</v>
      </c>
      <c r="I234" s="91" t="s">
        <v>246</v>
      </c>
      <c r="J234" s="91"/>
      <c r="K234" s="93">
        <v>19</v>
      </c>
      <c r="L234" s="93">
        <f>K234*VLOOKUP(H234,dagsoorttabel1,2,FALSE)</f>
        <v>16.764705882352942</v>
      </c>
      <c r="M234" s="94">
        <f>prodnorm43</f>
        <v>0</v>
      </c>
      <c r="N234" s="95">
        <f>dagwerk43</f>
        <v>0</v>
      </c>
      <c r="O234" s="91" t="s">
        <v>108</v>
      </c>
      <c r="P234" s="96">
        <f>uurtarief43</f>
        <v>0</v>
      </c>
      <c r="Q234" s="93" t="e">
        <f>IF(ISBLANK(M234),0,L234/ROUND(M234,4))</f>
        <v>#DIV/0!</v>
      </c>
      <c r="R234" s="93" t="e">
        <f>IF(ISBLANK(M234),0,Q234*ROUND(N234,2))</f>
        <v>#DIV/0!</v>
      </c>
      <c r="S234" s="96" t="e">
        <f>ROUND(P234,2)*Q234</f>
        <v>#DIV/0!</v>
      </c>
      <c r="T234" s="93" t="e">
        <f>Q234*dagenperjaar1</f>
        <v>#DIV/0!</v>
      </c>
      <c r="U234" s="97" t="e">
        <f>T234*ROUND(P234,2)</f>
        <v>#DIV/0!</v>
      </c>
    </row>
    <row r="235" spans="1:21" x14ac:dyDescent="0.2">
      <c r="A235" s="98" t="s">
        <v>556</v>
      </c>
      <c r="B235" s="99" t="s">
        <v>50</v>
      </c>
      <c r="C235" s="99" t="s">
        <v>345</v>
      </c>
      <c r="D235" s="99" t="s">
        <v>349</v>
      </c>
      <c r="E235" s="100" t="s">
        <v>420</v>
      </c>
      <c r="F235" s="99" t="s">
        <v>348</v>
      </c>
      <c r="G235" s="99" t="s">
        <v>270</v>
      </c>
      <c r="H235" s="99" t="s">
        <v>11</v>
      </c>
      <c r="I235" s="99" t="s">
        <v>246</v>
      </c>
      <c r="J235" s="99"/>
      <c r="K235" s="101">
        <v>1.5</v>
      </c>
      <c r="L235" s="101">
        <f>K235*VLOOKUP(H235,dagsoorttabel1,2,FALSE)</f>
        <v>1.3235294117647058</v>
      </c>
      <c r="M235" s="102">
        <f>prodnorm65</f>
        <v>0</v>
      </c>
      <c r="N235" s="37">
        <f>dagwerk65</f>
        <v>0</v>
      </c>
      <c r="O235" s="99" t="s">
        <v>108</v>
      </c>
      <c r="P235" s="24">
        <f>uurtarief65</f>
        <v>0</v>
      </c>
      <c r="Q235" s="101" t="e">
        <f>IF(ISBLANK(M235),0,L235/ROUND(M235,4))</f>
        <v>#DIV/0!</v>
      </c>
      <c r="R235" s="101" t="e">
        <f>IF(ISBLANK(M235),0,Q235*ROUND(N235,2))</f>
        <v>#DIV/0!</v>
      </c>
      <c r="S235" s="24" t="e">
        <f>ROUND(P235,2)*Q235</f>
        <v>#DIV/0!</v>
      </c>
      <c r="T235" s="101" t="e">
        <f>Q235*dagenperjaar1</f>
        <v>#DIV/0!</v>
      </c>
      <c r="U235" s="25" t="e">
        <f>T235*ROUND(P235,2)</f>
        <v>#DIV/0!</v>
      </c>
    </row>
    <row r="236" spans="1:21" x14ac:dyDescent="0.2">
      <c r="A236" s="98" t="s">
        <v>556</v>
      </c>
      <c r="B236" s="99" t="s">
        <v>50</v>
      </c>
      <c r="C236" s="99" t="s">
        <v>345</v>
      </c>
      <c r="D236" s="99" t="s">
        <v>351</v>
      </c>
      <c r="E236" s="100" t="s">
        <v>426</v>
      </c>
      <c r="F236" s="99" t="s">
        <v>348</v>
      </c>
      <c r="G236" s="99" t="s">
        <v>262</v>
      </c>
      <c r="H236" s="99" t="s">
        <v>11</v>
      </c>
      <c r="I236" s="99" t="s">
        <v>246</v>
      </c>
      <c r="J236" s="99"/>
      <c r="K236" s="101">
        <v>29</v>
      </c>
      <c r="L236" s="101">
        <f>K236*VLOOKUP(H236,dagsoorttabel1,2,FALSE)</f>
        <v>25.588235294117645</v>
      </c>
      <c r="M236" s="102">
        <f>prodnorm58</f>
        <v>0</v>
      </c>
      <c r="N236" s="37">
        <f>dagwerk58</f>
        <v>0</v>
      </c>
      <c r="O236" s="99" t="s">
        <v>108</v>
      </c>
      <c r="P236" s="24">
        <f>uurtarief58</f>
        <v>0</v>
      </c>
      <c r="Q236" s="101" t="e">
        <f>IF(ISBLANK(M236),0,L236/ROUND(M236,4))</f>
        <v>#DIV/0!</v>
      </c>
      <c r="R236" s="101" t="e">
        <f>IF(ISBLANK(M236),0,Q236*ROUND(N236,2))</f>
        <v>#DIV/0!</v>
      </c>
      <c r="S236" s="24" t="e">
        <f>ROUND(P236,2)*Q236</f>
        <v>#DIV/0!</v>
      </c>
      <c r="T236" s="101" t="e">
        <f>Q236*dagenperjaar1</f>
        <v>#DIV/0!</v>
      </c>
      <c r="U236" s="25" t="e">
        <f>T236*ROUND(P236,2)</f>
        <v>#DIV/0!</v>
      </c>
    </row>
    <row r="237" spans="1:21" x14ac:dyDescent="0.2">
      <c r="A237" s="98" t="s">
        <v>556</v>
      </c>
      <c r="B237" s="99" t="s">
        <v>50</v>
      </c>
      <c r="C237" s="99" t="s">
        <v>345</v>
      </c>
      <c r="D237" s="99" t="s">
        <v>353</v>
      </c>
      <c r="E237" s="100" t="s">
        <v>420</v>
      </c>
      <c r="F237" s="99" t="s">
        <v>348</v>
      </c>
      <c r="G237" s="99" t="s">
        <v>270</v>
      </c>
      <c r="H237" s="99" t="s">
        <v>11</v>
      </c>
      <c r="I237" s="99" t="s">
        <v>246</v>
      </c>
      <c r="J237" s="99"/>
      <c r="K237" s="101">
        <v>1.5</v>
      </c>
      <c r="L237" s="101">
        <f>K237*VLOOKUP(H237,dagsoorttabel1,2,FALSE)</f>
        <v>1.3235294117647058</v>
      </c>
      <c r="M237" s="102">
        <f>prodnorm65</f>
        <v>0</v>
      </c>
      <c r="N237" s="37">
        <f>dagwerk65</f>
        <v>0</v>
      </c>
      <c r="O237" s="99" t="s">
        <v>108</v>
      </c>
      <c r="P237" s="24">
        <f>uurtarief65</f>
        <v>0</v>
      </c>
      <c r="Q237" s="101" t="e">
        <f>IF(ISBLANK(M237),0,L237/ROUND(M237,4))</f>
        <v>#DIV/0!</v>
      </c>
      <c r="R237" s="101" t="e">
        <f>IF(ISBLANK(M237),0,Q237*ROUND(N237,2))</f>
        <v>#DIV/0!</v>
      </c>
      <c r="S237" s="24" t="e">
        <f>ROUND(P237,2)*Q237</f>
        <v>#DIV/0!</v>
      </c>
      <c r="T237" s="101" t="e">
        <f>Q237*dagenperjaar1</f>
        <v>#DIV/0!</v>
      </c>
      <c r="U237" s="25" t="e">
        <f>T237*ROUND(P237,2)</f>
        <v>#DIV/0!</v>
      </c>
    </row>
    <row r="238" spans="1:21" x14ac:dyDescent="0.2">
      <c r="A238" s="98" t="s">
        <v>556</v>
      </c>
      <c r="B238" s="99" t="s">
        <v>50</v>
      </c>
      <c r="C238" s="99" t="s">
        <v>345</v>
      </c>
      <c r="D238" s="99" t="s">
        <v>355</v>
      </c>
      <c r="E238" s="100" t="s">
        <v>547</v>
      </c>
      <c r="F238" s="99" t="s">
        <v>348</v>
      </c>
      <c r="G238" s="99" t="s">
        <v>251</v>
      </c>
      <c r="H238" s="99" t="s">
        <v>11</v>
      </c>
      <c r="I238" s="99" t="s">
        <v>246</v>
      </c>
      <c r="J238" s="99"/>
      <c r="K238" s="101">
        <v>13</v>
      </c>
      <c r="L238" s="101">
        <f>K238*VLOOKUP(H238,dagsoorttabel1,2,FALSE)</f>
        <v>11.470588235294118</v>
      </c>
      <c r="M238" s="102">
        <f>prodnorm40</f>
        <v>0</v>
      </c>
      <c r="N238" s="37">
        <f>dagwerk40</f>
        <v>0</v>
      </c>
      <c r="O238" s="99" t="s">
        <v>108</v>
      </c>
      <c r="P238" s="24">
        <f>uurtarief40</f>
        <v>0</v>
      </c>
      <c r="Q238" s="101" t="e">
        <f>IF(ISBLANK(M238),0,L238/ROUND(M238,4))</f>
        <v>#DIV/0!</v>
      </c>
      <c r="R238" s="101" t="e">
        <f>IF(ISBLANK(M238),0,Q238*ROUND(N238,2))</f>
        <v>#DIV/0!</v>
      </c>
      <c r="S238" s="24" t="e">
        <f>ROUND(P238,2)*Q238</f>
        <v>#DIV/0!</v>
      </c>
      <c r="T238" s="101" t="e">
        <f>Q238*dagenperjaar1</f>
        <v>#DIV/0!</v>
      </c>
      <c r="U238" s="25" t="e">
        <f>T238*ROUND(P238,2)</f>
        <v>#DIV/0!</v>
      </c>
    </row>
    <row r="239" spans="1:21" x14ac:dyDescent="0.2">
      <c r="A239" s="98" t="s">
        <v>556</v>
      </c>
      <c r="B239" s="99" t="s">
        <v>50</v>
      </c>
      <c r="C239" s="99" t="s">
        <v>345</v>
      </c>
      <c r="D239" s="99" t="s">
        <v>357</v>
      </c>
      <c r="E239" s="100" t="s">
        <v>426</v>
      </c>
      <c r="F239" s="99" t="s">
        <v>348</v>
      </c>
      <c r="G239" s="99" t="s">
        <v>262</v>
      </c>
      <c r="H239" s="99" t="s">
        <v>11</v>
      </c>
      <c r="I239" s="99" t="s">
        <v>246</v>
      </c>
      <c r="J239" s="99"/>
      <c r="K239" s="101">
        <v>29</v>
      </c>
      <c r="L239" s="101">
        <f>K239*VLOOKUP(H239,dagsoorttabel1,2,FALSE)</f>
        <v>25.588235294117645</v>
      </c>
      <c r="M239" s="102">
        <f>prodnorm58</f>
        <v>0</v>
      </c>
      <c r="N239" s="37">
        <f>dagwerk58</f>
        <v>0</v>
      </c>
      <c r="O239" s="99" t="s">
        <v>108</v>
      </c>
      <c r="P239" s="24">
        <f>uurtarief58</f>
        <v>0</v>
      </c>
      <c r="Q239" s="101" t="e">
        <f>IF(ISBLANK(M239),0,L239/ROUND(M239,4))</f>
        <v>#DIV/0!</v>
      </c>
      <c r="R239" s="101" t="e">
        <f>IF(ISBLANK(M239),0,Q239*ROUND(N239,2))</f>
        <v>#DIV/0!</v>
      </c>
      <c r="S239" s="24" t="e">
        <f>ROUND(P239,2)*Q239</f>
        <v>#DIV/0!</v>
      </c>
      <c r="T239" s="101" t="e">
        <f>Q239*dagenperjaar1</f>
        <v>#DIV/0!</v>
      </c>
      <c r="U239" s="25" t="e">
        <f>T239*ROUND(P239,2)</f>
        <v>#DIV/0!</v>
      </c>
    </row>
    <row r="240" spans="1:21" x14ac:dyDescent="0.2">
      <c r="A240" s="98" t="s">
        <v>556</v>
      </c>
      <c r="B240" s="99" t="s">
        <v>50</v>
      </c>
      <c r="C240" s="99" t="s">
        <v>345</v>
      </c>
      <c r="D240" s="99" t="s">
        <v>359</v>
      </c>
      <c r="E240" s="100" t="s">
        <v>420</v>
      </c>
      <c r="F240" s="99" t="s">
        <v>348</v>
      </c>
      <c r="G240" s="99" t="s">
        <v>270</v>
      </c>
      <c r="H240" s="99" t="s">
        <v>11</v>
      </c>
      <c r="I240" s="99" t="s">
        <v>246</v>
      </c>
      <c r="J240" s="99"/>
      <c r="K240" s="101">
        <v>1.5</v>
      </c>
      <c r="L240" s="101">
        <f>K240*VLOOKUP(H240,dagsoorttabel1,2,FALSE)</f>
        <v>1.3235294117647058</v>
      </c>
      <c r="M240" s="102">
        <f>prodnorm65</f>
        <v>0</v>
      </c>
      <c r="N240" s="37">
        <f>dagwerk65</f>
        <v>0</v>
      </c>
      <c r="O240" s="99" t="s">
        <v>108</v>
      </c>
      <c r="P240" s="24">
        <f>uurtarief65</f>
        <v>0</v>
      </c>
      <c r="Q240" s="101" t="e">
        <f>IF(ISBLANK(M240),0,L240/ROUND(M240,4))</f>
        <v>#DIV/0!</v>
      </c>
      <c r="R240" s="101" t="e">
        <f>IF(ISBLANK(M240),0,Q240*ROUND(N240,2))</f>
        <v>#DIV/0!</v>
      </c>
      <c r="S240" s="24" t="e">
        <f>ROUND(P240,2)*Q240</f>
        <v>#DIV/0!</v>
      </c>
      <c r="T240" s="101" t="e">
        <f>Q240*dagenperjaar1</f>
        <v>#DIV/0!</v>
      </c>
      <c r="U240" s="25" t="e">
        <f>T240*ROUND(P240,2)</f>
        <v>#DIV/0!</v>
      </c>
    </row>
    <row r="241" spans="1:21" x14ac:dyDescent="0.2">
      <c r="A241" s="98" t="s">
        <v>556</v>
      </c>
      <c r="B241" s="99" t="s">
        <v>50</v>
      </c>
      <c r="C241" s="99" t="s">
        <v>345</v>
      </c>
      <c r="D241" s="99" t="s">
        <v>361</v>
      </c>
      <c r="E241" s="100" t="s">
        <v>427</v>
      </c>
      <c r="F241" s="99" t="s">
        <v>348</v>
      </c>
      <c r="G241" s="99" t="s">
        <v>251</v>
      </c>
      <c r="H241" s="99" t="s">
        <v>11</v>
      </c>
      <c r="I241" s="99" t="s">
        <v>246</v>
      </c>
      <c r="J241" s="99"/>
      <c r="K241" s="101">
        <v>13</v>
      </c>
      <c r="L241" s="101">
        <f>K241*VLOOKUP(H241,dagsoorttabel1,2,FALSE)</f>
        <v>11.470588235294118</v>
      </c>
      <c r="M241" s="102">
        <f>prodnorm40</f>
        <v>0</v>
      </c>
      <c r="N241" s="37">
        <f>dagwerk40</f>
        <v>0</v>
      </c>
      <c r="O241" s="99" t="s">
        <v>108</v>
      </c>
      <c r="P241" s="24">
        <f>uurtarief40</f>
        <v>0</v>
      </c>
      <c r="Q241" s="101" t="e">
        <f>IF(ISBLANK(M241),0,L241/ROUND(M241,4))</f>
        <v>#DIV/0!</v>
      </c>
      <c r="R241" s="101" t="e">
        <f>IF(ISBLANK(M241),0,Q241*ROUND(N241,2))</f>
        <v>#DIV/0!</v>
      </c>
      <c r="S241" s="24" t="e">
        <f>ROUND(P241,2)*Q241</f>
        <v>#DIV/0!</v>
      </c>
      <c r="T241" s="101" t="e">
        <f>Q241*dagenperjaar1</f>
        <v>#DIV/0!</v>
      </c>
      <c r="U241" s="25" t="e">
        <f>T241*ROUND(P241,2)</f>
        <v>#DIV/0!</v>
      </c>
    </row>
    <row r="242" spans="1:21" x14ac:dyDescent="0.2">
      <c r="A242" s="98" t="s">
        <v>556</v>
      </c>
      <c r="B242" s="99" t="s">
        <v>50</v>
      </c>
      <c r="C242" s="99" t="s">
        <v>345</v>
      </c>
      <c r="D242" s="99" t="s">
        <v>363</v>
      </c>
      <c r="E242" s="100" t="s">
        <v>549</v>
      </c>
      <c r="F242" s="99" t="s">
        <v>443</v>
      </c>
      <c r="G242" s="99" t="s">
        <v>259</v>
      </c>
      <c r="H242" s="99" t="s">
        <v>11</v>
      </c>
      <c r="I242" s="99" t="s">
        <v>246</v>
      </c>
      <c r="J242" s="99"/>
      <c r="K242" s="101">
        <v>185</v>
      </c>
      <c r="L242" s="101">
        <f>K242*VLOOKUP(H242,dagsoorttabel1,2,FALSE)</f>
        <v>163.23529411764704</v>
      </c>
      <c r="M242" s="102">
        <f>prodnorm52</f>
        <v>0</v>
      </c>
      <c r="N242" s="37">
        <f>dagwerk52</f>
        <v>0</v>
      </c>
      <c r="O242" s="99" t="s">
        <v>108</v>
      </c>
      <c r="P242" s="24">
        <f>uurtarief52</f>
        <v>0</v>
      </c>
      <c r="Q242" s="101" t="e">
        <f>IF(ISBLANK(M242),0,L242/ROUND(M242,4))</f>
        <v>#DIV/0!</v>
      </c>
      <c r="R242" s="101" t="e">
        <f>IF(ISBLANK(M242),0,Q242*ROUND(N242,2))</f>
        <v>#DIV/0!</v>
      </c>
      <c r="S242" s="24" t="e">
        <f>ROUND(P242,2)*Q242</f>
        <v>#DIV/0!</v>
      </c>
      <c r="T242" s="101" t="e">
        <f>Q242*dagenperjaar1</f>
        <v>#DIV/0!</v>
      </c>
      <c r="U242" s="25" t="e">
        <f>T242*ROUND(P242,2)</f>
        <v>#DIV/0!</v>
      </c>
    </row>
    <row r="243" spans="1:21" x14ac:dyDescent="0.2">
      <c r="A243" s="98" t="s">
        <v>556</v>
      </c>
      <c r="B243" s="99" t="s">
        <v>50</v>
      </c>
      <c r="C243" s="99" t="s">
        <v>345</v>
      </c>
      <c r="D243" s="99" t="s">
        <v>365</v>
      </c>
      <c r="E243" s="100" t="s">
        <v>464</v>
      </c>
      <c r="F243" s="99" t="s">
        <v>348</v>
      </c>
      <c r="G243" s="99" t="s">
        <v>277</v>
      </c>
      <c r="H243" s="99" t="s">
        <v>28</v>
      </c>
      <c r="I243" s="99" t="s">
        <v>246</v>
      </c>
      <c r="J243" s="99"/>
      <c r="K243" s="101">
        <v>31.5</v>
      </c>
      <c r="L243" s="101">
        <f>K243*VLOOKUP(H243,dagsoorttabel1,2,FALSE)</f>
        <v>0.24705882352941178</v>
      </c>
      <c r="M243" s="102">
        <f>prodnorm76</f>
        <v>0</v>
      </c>
      <c r="N243" s="37">
        <f>dagwerk76</f>
        <v>0</v>
      </c>
      <c r="O243" s="99" t="s">
        <v>108</v>
      </c>
      <c r="P243" s="24">
        <f>uurtarief76</f>
        <v>0</v>
      </c>
      <c r="Q243" s="101" t="e">
        <f>IF(ISBLANK(M243),0,L243/ROUND(M243,4))</f>
        <v>#DIV/0!</v>
      </c>
      <c r="R243" s="101" t="e">
        <f>IF(ISBLANK(M243),0,Q243*ROUND(N243,2))</f>
        <v>#DIV/0!</v>
      </c>
      <c r="S243" s="24" t="e">
        <f>ROUND(P243,2)*Q243</f>
        <v>#DIV/0!</v>
      </c>
      <c r="T243" s="101" t="e">
        <f>Q243*dagenperjaar1</f>
        <v>#DIV/0!</v>
      </c>
      <c r="U243" s="25" t="e">
        <f>T243*ROUND(P243,2)</f>
        <v>#DIV/0!</v>
      </c>
    </row>
    <row r="244" spans="1:21" x14ac:dyDescent="0.2">
      <c r="A244" s="98" t="s">
        <v>556</v>
      </c>
      <c r="B244" s="99" t="s">
        <v>50</v>
      </c>
      <c r="C244" s="99" t="s">
        <v>345</v>
      </c>
      <c r="D244" s="99" t="s">
        <v>367</v>
      </c>
      <c r="E244" s="100" t="s">
        <v>512</v>
      </c>
      <c r="F244" s="99" t="s">
        <v>348</v>
      </c>
      <c r="G244" s="99" t="s">
        <v>248</v>
      </c>
      <c r="H244" s="99" t="s">
        <v>11</v>
      </c>
      <c r="I244" s="99" t="s">
        <v>246</v>
      </c>
      <c r="J244" s="99"/>
      <c r="K244" s="101">
        <v>5</v>
      </c>
      <c r="L244" s="101">
        <f>K244*VLOOKUP(H244,dagsoorttabel1,2,FALSE)</f>
        <v>4.4117647058823533</v>
      </c>
      <c r="M244" s="102">
        <f>prodnorm36</f>
        <v>0</v>
      </c>
      <c r="N244" s="37">
        <f>dagwerk36</f>
        <v>0</v>
      </c>
      <c r="O244" s="99" t="s">
        <v>108</v>
      </c>
      <c r="P244" s="24">
        <f>uurtarief36</f>
        <v>0</v>
      </c>
      <c r="Q244" s="101" t="e">
        <f>IF(ISBLANK(M244),0,L244/ROUND(M244,4))</f>
        <v>#DIV/0!</v>
      </c>
      <c r="R244" s="101" t="e">
        <f>IF(ISBLANK(M244),0,Q244*ROUND(N244,2))</f>
        <v>#DIV/0!</v>
      </c>
      <c r="S244" s="24" t="e">
        <f>ROUND(P244,2)*Q244</f>
        <v>#DIV/0!</v>
      </c>
      <c r="T244" s="101" t="e">
        <f>Q244*dagenperjaar1</f>
        <v>#DIV/0!</v>
      </c>
      <c r="U244" s="25" t="e">
        <f>T244*ROUND(P244,2)</f>
        <v>#DIV/0!</v>
      </c>
    </row>
    <row r="245" spans="1:21" x14ac:dyDescent="0.2">
      <c r="A245" s="103" t="s">
        <v>556</v>
      </c>
      <c r="B245" s="104" t="s">
        <v>50</v>
      </c>
      <c r="C245" s="104" t="s">
        <v>345</v>
      </c>
      <c r="D245" s="104" t="s">
        <v>369</v>
      </c>
      <c r="E245" s="105" t="s">
        <v>547</v>
      </c>
      <c r="F245" s="104" t="s">
        <v>348</v>
      </c>
      <c r="G245" s="104" t="s">
        <v>251</v>
      </c>
      <c r="H245" s="104" t="s">
        <v>11</v>
      </c>
      <c r="I245" s="104" t="s">
        <v>246</v>
      </c>
      <c r="J245" s="104"/>
      <c r="K245" s="106">
        <v>1.5</v>
      </c>
      <c r="L245" s="106">
        <f>K245*VLOOKUP(H245,dagsoorttabel1,2,FALSE)</f>
        <v>1.3235294117647058</v>
      </c>
      <c r="M245" s="107">
        <f>prodnorm40</f>
        <v>0</v>
      </c>
      <c r="N245" s="108">
        <f>dagwerk40</f>
        <v>0</v>
      </c>
      <c r="O245" s="104" t="s">
        <v>108</v>
      </c>
      <c r="P245" s="34">
        <f>uurtarief40</f>
        <v>0</v>
      </c>
      <c r="Q245" s="106" t="e">
        <f>IF(ISBLANK(M245),0,L245/ROUND(M245,4))</f>
        <v>#DIV/0!</v>
      </c>
      <c r="R245" s="106" t="e">
        <f>IF(ISBLANK(M245),0,Q245*ROUND(N245,2))</f>
        <v>#DIV/0!</v>
      </c>
      <c r="S245" s="34" t="e">
        <f>ROUND(P245,2)*Q245</f>
        <v>#DIV/0!</v>
      </c>
      <c r="T245" s="106" t="e">
        <f>Q245*dagenperjaar1</f>
        <v>#DIV/0!</v>
      </c>
      <c r="U245" s="35" t="e">
        <f>T245*ROUND(P245,2)</f>
        <v>#DIV/0!</v>
      </c>
    </row>
    <row r="246" spans="1:21" x14ac:dyDescent="0.2">
      <c r="A246" s="109" t="s">
        <v>403</v>
      </c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81" t="e">
        <f>IF(_xlfn.SINGLE(object8_urenjaar1)&gt;0,_xlfn.SINGLE(object8_prijsjaar1)/_xlfn.SINGLE(object8_urenjaar1),0)</f>
        <v>#DIV/0!</v>
      </c>
      <c r="Q246" s="80" t="e">
        <f>SUM(Q234:Q245)</f>
        <v>#DIV/0!</v>
      </c>
      <c r="R246" s="80" t="e">
        <f>SUM(R234:R245)</f>
        <v>#DIV/0!</v>
      </c>
      <c r="S246" s="81" t="e">
        <f>SUM(S234:S245)</f>
        <v>#DIV/0!</v>
      </c>
      <c r="T246" s="80" t="e">
        <f>SUM(T234:T245)</f>
        <v>#DIV/0!</v>
      </c>
      <c r="U246" s="82" t="e">
        <f>SUM(U234:U245)</f>
        <v>#DIV/0!</v>
      </c>
    </row>
    <row r="247" spans="1:21" x14ac:dyDescent="0.2">
      <c r="A247" s="88" t="s">
        <v>557</v>
      </c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77"/>
    </row>
    <row r="248" spans="1:21" x14ac:dyDescent="0.2">
      <c r="A248" s="90" t="s">
        <v>558</v>
      </c>
      <c r="B248" s="91" t="s">
        <v>50</v>
      </c>
      <c r="C248" s="91" t="s">
        <v>345</v>
      </c>
      <c r="D248" s="91" t="s">
        <v>346</v>
      </c>
      <c r="E248" s="92" t="s">
        <v>418</v>
      </c>
      <c r="F248" s="91" t="s">
        <v>348</v>
      </c>
      <c r="G248" s="91" t="s">
        <v>253</v>
      </c>
      <c r="H248" s="91" t="s">
        <v>11</v>
      </c>
      <c r="I248" s="91" t="s">
        <v>246</v>
      </c>
      <c r="J248" s="91"/>
      <c r="K248" s="93">
        <v>3</v>
      </c>
      <c r="L248" s="93">
        <f>K248*VLOOKUP(H248,dagsoorttabel1,2,FALSE)</f>
        <v>2.6470588235294117</v>
      </c>
      <c r="M248" s="94">
        <f>prodnorm43</f>
        <v>0</v>
      </c>
      <c r="N248" s="95">
        <f>dagwerk43</f>
        <v>0</v>
      </c>
      <c r="O248" s="91" t="s">
        <v>108</v>
      </c>
      <c r="P248" s="96">
        <f>uurtarief43</f>
        <v>0</v>
      </c>
      <c r="Q248" s="93" t="e">
        <f>IF(ISBLANK(M248),0,L248/ROUND(M248,4))</f>
        <v>#DIV/0!</v>
      </c>
      <c r="R248" s="93" t="e">
        <f>IF(ISBLANK(M248),0,Q248*ROUND(N248,2))</f>
        <v>#DIV/0!</v>
      </c>
      <c r="S248" s="96" t="e">
        <f>ROUND(P248,2)*Q248</f>
        <v>#DIV/0!</v>
      </c>
      <c r="T248" s="93" t="e">
        <f>Q248*dagenperjaar1</f>
        <v>#DIV/0!</v>
      </c>
      <c r="U248" s="97" t="e">
        <f>T248*ROUND(P248,2)</f>
        <v>#DIV/0!</v>
      </c>
    </row>
    <row r="249" spans="1:21" x14ac:dyDescent="0.2">
      <c r="A249" s="98" t="s">
        <v>558</v>
      </c>
      <c r="B249" s="99" t="s">
        <v>50</v>
      </c>
      <c r="C249" s="99" t="s">
        <v>345</v>
      </c>
      <c r="D249" s="99" t="s">
        <v>349</v>
      </c>
      <c r="E249" s="100" t="s">
        <v>421</v>
      </c>
      <c r="F249" s="99" t="s">
        <v>348</v>
      </c>
      <c r="G249" s="99" t="s">
        <v>277</v>
      </c>
      <c r="H249" s="99" t="s">
        <v>11</v>
      </c>
      <c r="I249" s="99" t="s">
        <v>246</v>
      </c>
      <c r="J249" s="99"/>
      <c r="K249" s="101">
        <v>30</v>
      </c>
      <c r="L249" s="101">
        <f>K249*VLOOKUP(H249,dagsoorttabel1,2,FALSE)</f>
        <v>26.470588235294116</v>
      </c>
      <c r="M249" s="102">
        <f>prodnorm74</f>
        <v>0</v>
      </c>
      <c r="N249" s="37">
        <f>dagwerk74</f>
        <v>0</v>
      </c>
      <c r="O249" s="99" t="s">
        <v>108</v>
      </c>
      <c r="P249" s="24">
        <f>uurtarief74</f>
        <v>0</v>
      </c>
      <c r="Q249" s="101" t="e">
        <f>IF(ISBLANK(M249),0,L249/ROUND(M249,4))</f>
        <v>#DIV/0!</v>
      </c>
      <c r="R249" s="101" t="e">
        <f>IF(ISBLANK(M249),0,Q249*ROUND(N249,2))</f>
        <v>#DIV/0!</v>
      </c>
      <c r="S249" s="24" t="e">
        <f>ROUND(P249,2)*Q249</f>
        <v>#DIV/0!</v>
      </c>
      <c r="T249" s="101" t="e">
        <f>Q249*dagenperjaar1</f>
        <v>#DIV/0!</v>
      </c>
      <c r="U249" s="25" t="e">
        <f>T249*ROUND(P249,2)</f>
        <v>#DIV/0!</v>
      </c>
    </row>
    <row r="250" spans="1:21" x14ac:dyDescent="0.2">
      <c r="A250" s="98" t="s">
        <v>558</v>
      </c>
      <c r="B250" s="99" t="s">
        <v>50</v>
      </c>
      <c r="C250" s="99" t="s">
        <v>345</v>
      </c>
      <c r="D250" s="99" t="s">
        <v>351</v>
      </c>
      <c r="E250" s="100" t="s">
        <v>420</v>
      </c>
      <c r="F250" s="99" t="s">
        <v>348</v>
      </c>
      <c r="G250" s="99" t="s">
        <v>270</v>
      </c>
      <c r="H250" s="99" t="s">
        <v>11</v>
      </c>
      <c r="I250" s="99" t="s">
        <v>246</v>
      </c>
      <c r="J250" s="99"/>
      <c r="K250" s="101">
        <v>4</v>
      </c>
      <c r="L250" s="101">
        <f>K250*VLOOKUP(H250,dagsoorttabel1,2,FALSE)</f>
        <v>3.5294117647058822</v>
      </c>
      <c r="M250" s="102">
        <f>prodnorm65</f>
        <v>0</v>
      </c>
      <c r="N250" s="37">
        <f>dagwerk65</f>
        <v>0</v>
      </c>
      <c r="O250" s="99" t="s">
        <v>108</v>
      </c>
      <c r="P250" s="24">
        <f>uurtarief65</f>
        <v>0</v>
      </c>
      <c r="Q250" s="101" t="e">
        <f>IF(ISBLANK(M250),0,L250/ROUND(M250,4))</f>
        <v>#DIV/0!</v>
      </c>
      <c r="R250" s="101" t="e">
        <f>IF(ISBLANK(M250),0,Q250*ROUND(N250,2))</f>
        <v>#DIV/0!</v>
      </c>
      <c r="S250" s="24" t="e">
        <f>ROUND(P250,2)*Q250</f>
        <v>#DIV/0!</v>
      </c>
      <c r="T250" s="101" t="e">
        <f>Q250*dagenperjaar1</f>
        <v>#DIV/0!</v>
      </c>
      <c r="U250" s="25" t="e">
        <f>T250*ROUND(P250,2)</f>
        <v>#DIV/0!</v>
      </c>
    </row>
    <row r="251" spans="1:21" x14ac:dyDescent="0.2">
      <c r="A251" s="98" t="s">
        <v>558</v>
      </c>
      <c r="B251" s="99" t="s">
        <v>50</v>
      </c>
      <c r="C251" s="99" t="s">
        <v>345</v>
      </c>
      <c r="D251" s="99" t="s">
        <v>353</v>
      </c>
      <c r="E251" s="100" t="s">
        <v>426</v>
      </c>
      <c r="F251" s="99" t="s">
        <v>348</v>
      </c>
      <c r="G251" s="99" t="s">
        <v>262</v>
      </c>
      <c r="H251" s="99" t="s">
        <v>11</v>
      </c>
      <c r="I251" s="99" t="s">
        <v>246</v>
      </c>
      <c r="J251" s="99"/>
      <c r="K251" s="101">
        <v>11</v>
      </c>
      <c r="L251" s="101">
        <f>K251*VLOOKUP(H251,dagsoorttabel1,2,FALSE)</f>
        <v>9.7058823529411757</v>
      </c>
      <c r="M251" s="102">
        <f>prodnorm58</f>
        <v>0</v>
      </c>
      <c r="N251" s="37">
        <f>dagwerk58</f>
        <v>0</v>
      </c>
      <c r="O251" s="99" t="s">
        <v>108</v>
      </c>
      <c r="P251" s="24">
        <f>uurtarief58</f>
        <v>0</v>
      </c>
      <c r="Q251" s="101" t="e">
        <f>IF(ISBLANK(M251),0,L251/ROUND(M251,4))</f>
        <v>#DIV/0!</v>
      </c>
      <c r="R251" s="101" t="e">
        <f>IF(ISBLANK(M251),0,Q251*ROUND(N251,2))</f>
        <v>#DIV/0!</v>
      </c>
      <c r="S251" s="24" t="e">
        <f>ROUND(P251,2)*Q251</f>
        <v>#DIV/0!</v>
      </c>
      <c r="T251" s="101" t="e">
        <f>Q251*dagenperjaar1</f>
        <v>#DIV/0!</v>
      </c>
      <c r="U251" s="25" t="e">
        <f>T251*ROUND(P251,2)</f>
        <v>#DIV/0!</v>
      </c>
    </row>
    <row r="252" spans="1:21" x14ac:dyDescent="0.2">
      <c r="A252" s="98" t="s">
        <v>558</v>
      </c>
      <c r="B252" s="99" t="s">
        <v>50</v>
      </c>
      <c r="C252" s="99" t="s">
        <v>345</v>
      </c>
      <c r="D252" s="99" t="s">
        <v>355</v>
      </c>
      <c r="E252" s="100" t="s">
        <v>547</v>
      </c>
      <c r="F252" s="99" t="s">
        <v>348</v>
      </c>
      <c r="G252" s="99" t="s">
        <v>251</v>
      </c>
      <c r="H252" s="99" t="s">
        <v>11</v>
      </c>
      <c r="I252" s="99" t="s">
        <v>246</v>
      </c>
      <c r="J252" s="99"/>
      <c r="K252" s="101">
        <v>7</v>
      </c>
      <c r="L252" s="101">
        <f>K252*VLOOKUP(H252,dagsoorttabel1,2,FALSE)</f>
        <v>6.1764705882352935</v>
      </c>
      <c r="M252" s="102">
        <f>prodnorm40</f>
        <v>0</v>
      </c>
      <c r="N252" s="37">
        <f>dagwerk40</f>
        <v>0</v>
      </c>
      <c r="O252" s="99" t="s">
        <v>108</v>
      </c>
      <c r="P252" s="24">
        <f>uurtarief40</f>
        <v>0</v>
      </c>
      <c r="Q252" s="101" t="e">
        <f>IF(ISBLANK(M252),0,L252/ROUND(M252,4))</f>
        <v>#DIV/0!</v>
      </c>
      <c r="R252" s="101" t="e">
        <f>IF(ISBLANK(M252),0,Q252*ROUND(N252,2))</f>
        <v>#DIV/0!</v>
      </c>
      <c r="S252" s="24" t="e">
        <f>ROUND(P252,2)*Q252</f>
        <v>#DIV/0!</v>
      </c>
      <c r="T252" s="101" t="e">
        <f>Q252*dagenperjaar1</f>
        <v>#DIV/0!</v>
      </c>
      <c r="U252" s="25" t="e">
        <f>T252*ROUND(P252,2)</f>
        <v>#DIV/0!</v>
      </c>
    </row>
    <row r="253" spans="1:21" x14ac:dyDescent="0.2">
      <c r="A253" s="98" t="s">
        <v>558</v>
      </c>
      <c r="B253" s="99" t="s">
        <v>50</v>
      </c>
      <c r="C253" s="99" t="s">
        <v>345</v>
      </c>
      <c r="D253" s="99" t="s">
        <v>357</v>
      </c>
      <c r="E253" s="100" t="s">
        <v>420</v>
      </c>
      <c r="F253" s="99" t="s">
        <v>348</v>
      </c>
      <c r="G253" s="99" t="s">
        <v>270</v>
      </c>
      <c r="H253" s="99" t="s">
        <v>11</v>
      </c>
      <c r="I253" s="99" t="s">
        <v>246</v>
      </c>
      <c r="J253" s="99"/>
      <c r="K253" s="101">
        <v>2</v>
      </c>
      <c r="L253" s="101">
        <f>K253*VLOOKUP(H253,dagsoorttabel1,2,FALSE)</f>
        <v>1.7647058823529411</v>
      </c>
      <c r="M253" s="102">
        <f>prodnorm65</f>
        <v>0</v>
      </c>
      <c r="N253" s="37">
        <f>dagwerk65</f>
        <v>0</v>
      </c>
      <c r="O253" s="99" t="s">
        <v>108</v>
      </c>
      <c r="P253" s="24">
        <f>uurtarief65</f>
        <v>0</v>
      </c>
      <c r="Q253" s="101" t="e">
        <f>IF(ISBLANK(M253),0,L253/ROUND(M253,4))</f>
        <v>#DIV/0!</v>
      </c>
      <c r="R253" s="101" t="e">
        <f>IF(ISBLANK(M253),0,Q253*ROUND(N253,2))</f>
        <v>#DIV/0!</v>
      </c>
      <c r="S253" s="24" t="e">
        <f>ROUND(P253,2)*Q253</f>
        <v>#DIV/0!</v>
      </c>
      <c r="T253" s="101" t="e">
        <f>Q253*dagenperjaar1</f>
        <v>#DIV/0!</v>
      </c>
      <c r="U253" s="25" t="e">
        <f>T253*ROUND(P253,2)</f>
        <v>#DIV/0!</v>
      </c>
    </row>
    <row r="254" spans="1:21" x14ac:dyDescent="0.2">
      <c r="A254" s="98" t="s">
        <v>558</v>
      </c>
      <c r="B254" s="99" t="s">
        <v>50</v>
      </c>
      <c r="C254" s="99" t="s">
        <v>345</v>
      </c>
      <c r="D254" s="99" t="s">
        <v>359</v>
      </c>
      <c r="E254" s="100" t="s">
        <v>426</v>
      </c>
      <c r="F254" s="99" t="s">
        <v>348</v>
      </c>
      <c r="G254" s="99" t="s">
        <v>262</v>
      </c>
      <c r="H254" s="99" t="s">
        <v>11</v>
      </c>
      <c r="I254" s="99" t="s">
        <v>246</v>
      </c>
      <c r="J254" s="99"/>
      <c r="K254" s="101">
        <v>18</v>
      </c>
      <c r="L254" s="101">
        <f>K254*VLOOKUP(H254,dagsoorttabel1,2,FALSE)</f>
        <v>15.882352941176471</v>
      </c>
      <c r="M254" s="102">
        <f>prodnorm58</f>
        <v>0</v>
      </c>
      <c r="N254" s="37">
        <f>dagwerk58</f>
        <v>0</v>
      </c>
      <c r="O254" s="99" t="s">
        <v>108</v>
      </c>
      <c r="P254" s="24">
        <f>uurtarief58</f>
        <v>0</v>
      </c>
      <c r="Q254" s="101" t="e">
        <f>IF(ISBLANK(M254),0,L254/ROUND(M254,4))</f>
        <v>#DIV/0!</v>
      </c>
      <c r="R254" s="101" t="e">
        <f>IF(ISBLANK(M254),0,Q254*ROUND(N254,2))</f>
        <v>#DIV/0!</v>
      </c>
      <c r="S254" s="24" t="e">
        <f>ROUND(P254,2)*Q254</f>
        <v>#DIV/0!</v>
      </c>
      <c r="T254" s="101" t="e">
        <f>Q254*dagenperjaar1</f>
        <v>#DIV/0!</v>
      </c>
      <c r="U254" s="25" t="e">
        <f>T254*ROUND(P254,2)</f>
        <v>#DIV/0!</v>
      </c>
    </row>
    <row r="255" spans="1:21" x14ac:dyDescent="0.2">
      <c r="A255" s="98" t="s">
        <v>558</v>
      </c>
      <c r="B255" s="99" t="s">
        <v>50</v>
      </c>
      <c r="C255" s="99" t="s">
        <v>345</v>
      </c>
      <c r="D255" s="99" t="s">
        <v>361</v>
      </c>
      <c r="E255" s="100" t="s">
        <v>547</v>
      </c>
      <c r="F255" s="99" t="s">
        <v>348</v>
      </c>
      <c r="G255" s="99" t="s">
        <v>251</v>
      </c>
      <c r="H255" s="99" t="s">
        <v>11</v>
      </c>
      <c r="I255" s="99" t="s">
        <v>246</v>
      </c>
      <c r="J255" s="99"/>
      <c r="K255" s="101">
        <v>10</v>
      </c>
      <c r="L255" s="101">
        <f>K255*VLOOKUP(H255,dagsoorttabel1,2,FALSE)</f>
        <v>8.8235294117647065</v>
      </c>
      <c r="M255" s="102">
        <f>prodnorm40</f>
        <v>0</v>
      </c>
      <c r="N255" s="37">
        <f>dagwerk40</f>
        <v>0</v>
      </c>
      <c r="O255" s="99" t="s">
        <v>108</v>
      </c>
      <c r="P255" s="24">
        <f>uurtarief40</f>
        <v>0</v>
      </c>
      <c r="Q255" s="101" t="e">
        <f>IF(ISBLANK(M255),0,L255/ROUND(M255,4))</f>
        <v>#DIV/0!</v>
      </c>
      <c r="R255" s="101" t="e">
        <f>IF(ISBLANK(M255),0,Q255*ROUND(N255,2))</f>
        <v>#DIV/0!</v>
      </c>
      <c r="S255" s="24" t="e">
        <f>ROUND(P255,2)*Q255</f>
        <v>#DIV/0!</v>
      </c>
      <c r="T255" s="101" t="e">
        <f>Q255*dagenperjaar1</f>
        <v>#DIV/0!</v>
      </c>
      <c r="U255" s="25" t="e">
        <f>T255*ROUND(P255,2)</f>
        <v>#DIV/0!</v>
      </c>
    </row>
    <row r="256" spans="1:21" x14ac:dyDescent="0.2">
      <c r="A256" s="98" t="s">
        <v>558</v>
      </c>
      <c r="B256" s="99" t="s">
        <v>50</v>
      </c>
      <c r="C256" s="99" t="s">
        <v>345</v>
      </c>
      <c r="D256" s="99" t="s">
        <v>363</v>
      </c>
      <c r="E256" s="100" t="s">
        <v>420</v>
      </c>
      <c r="F256" s="99" t="s">
        <v>348</v>
      </c>
      <c r="G256" s="99" t="s">
        <v>270</v>
      </c>
      <c r="H256" s="99" t="s">
        <v>11</v>
      </c>
      <c r="I256" s="99" t="s">
        <v>246</v>
      </c>
      <c r="J256" s="99"/>
      <c r="K256" s="101">
        <v>2</v>
      </c>
      <c r="L256" s="101">
        <f>K256*VLOOKUP(H256,dagsoorttabel1,2,FALSE)</f>
        <v>1.7647058823529411</v>
      </c>
      <c r="M256" s="102">
        <f>prodnorm65</f>
        <v>0</v>
      </c>
      <c r="N256" s="37">
        <f>dagwerk65</f>
        <v>0</v>
      </c>
      <c r="O256" s="99" t="s">
        <v>108</v>
      </c>
      <c r="P256" s="24">
        <f>uurtarief65</f>
        <v>0</v>
      </c>
      <c r="Q256" s="101" t="e">
        <f>IF(ISBLANK(M256),0,L256/ROUND(M256,4))</f>
        <v>#DIV/0!</v>
      </c>
      <c r="R256" s="101" t="e">
        <f>IF(ISBLANK(M256),0,Q256*ROUND(N256,2))</f>
        <v>#DIV/0!</v>
      </c>
      <c r="S256" s="24" t="e">
        <f>ROUND(P256,2)*Q256</f>
        <v>#DIV/0!</v>
      </c>
      <c r="T256" s="101" t="e">
        <f>Q256*dagenperjaar1</f>
        <v>#DIV/0!</v>
      </c>
      <c r="U256" s="25" t="e">
        <f>T256*ROUND(P256,2)</f>
        <v>#DIV/0!</v>
      </c>
    </row>
    <row r="257" spans="1:21" x14ac:dyDescent="0.2">
      <c r="A257" s="98" t="s">
        <v>558</v>
      </c>
      <c r="B257" s="99" t="s">
        <v>50</v>
      </c>
      <c r="C257" s="99" t="s">
        <v>345</v>
      </c>
      <c r="D257" s="99" t="s">
        <v>365</v>
      </c>
      <c r="E257" s="100" t="s">
        <v>396</v>
      </c>
      <c r="F257" s="99" t="s">
        <v>348</v>
      </c>
      <c r="G257" s="99" t="s">
        <v>248</v>
      </c>
      <c r="H257" s="99" t="s">
        <v>11</v>
      </c>
      <c r="I257" s="99" t="s">
        <v>246</v>
      </c>
      <c r="J257" s="99"/>
      <c r="K257" s="101">
        <v>6</v>
      </c>
      <c r="L257" s="101">
        <f>K257*VLOOKUP(H257,dagsoorttabel1,2,FALSE)</f>
        <v>5.2941176470588234</v>
      </c>
      <c r="M257" s="102">
        <f>prodnorm36</f>
        <v>0</v>
      </c>
      <c r="N257" s="37">
        <f>dagwerk36</f>
        <v>0</v>
      </c>
      <c r="O257" s="99" t="s">
        <v>108</v>
      </c>
      <c r="P257" s="24">
        <f>uurtarief36</f>
        <v>0</v>
      </c>
      <c r="Q257" s="101" t="e">
        <f>IF(ISBLANK(M257),0,L257/ROUND(M257,4))</f>
        <v>#DIV/0!</v>
      </c>
      <c r="R257" s="101" t="e">
        <f>IF(ISBLANK(M257),0,Q257*ROUND(N257,2))</f>
        <v>#DIV/0!</v>
      </c>
      <c r="S257" s="24" t="e">
        <f>ROUND(P257,2)*Q257</f>
        <v>#DIV/0!</v>
      </c>
      <c r="T257" s="101" t="e">
        <f>Q257*dagenperjaar1</f>
        <v>#DIV/0!</v>
      </c>
      <c r="U257" s="25" t="e">
        <f>T257*ROUND(P257,2)</f>
        <v>#DIV/0!</v>
      </c>
    </row>
    <row r="258" spans="1:21" x14ac:dyDescent="0.2">
      <c r="A258" s="98" t="s">
        <v>558</v>
      </c>
      <c r="B258" s="99" t="s">
        <v>50</v>
      </c>
      <c r="C258" s="99" t="s">
        <v>345</v>
      </c>
      <c r="D258" s="99" t="s">
        <v>367</v>
      </c>
      <c r="E258" s="100" t="s">
        <v>420</v>
      </c>
      <c r="F258" s="99" t="s">
        <v>348</v>
      </c>
      <c r="G258" s="99" t="s">
        <v>270</v>
      </c>
      <c r="H258" s="99" t="s">
        <v>11</v>
      </c>
      <c r="I258" s="99" t="s">
        <v>246</v>
      </c>
      <c r="J258" s="99"/>
      <c r="K258" s="101">
        <v>6</v>
      </c>
      <c r="L258" s="101">
        <f>K258*VLOOKUP(H258,dagsoorttabel1,2,FALSE)</f>
        <v>5.2941176470588234</v>
      </c>
      <c r="M258" s="102">
        <f>prodnorm65</f>
        <v>0</v>
      </c>
      <c r="N258" s="37">
        <f>dagwerk65</f>
        <v>0</v>
      </c>
      <c r="O258" s="99" t="s">
        <v>108</v>
      </c>
      <c r="P258" s="24">
        <f>uurtarief65</f>
        <v>0</v>
      </c>
      <c r="Q258" s="101" t="e">
        <f>IF(ISBLANK(M258),0,L258/ROUND(M258,4))</f>
        <v>#DIV/0!</v>
      </c>
      <c r="R258" s="101" t="e">
        <f>IF(ISBLANK(M258),0,Q258*ROUND(N258,2))</f>
        <v>#DIV/0!</v>
      </c>
      <c r="S258" s="24" t="e">
        <f>ROUND(P258,2)*Q258</f>
        <v>#DIV/0!</v>
      </c>
      <c r="T258" s="101" t="e">
        <f>Q258*dagenperjaar1</f>
        <v>#DIV/0!</v>
      </c>
      <c r="U258" s="25" t="e">
        <f>T258*ROUND(P258,2)</f>
        <v>#DIV/0!</v>
      </c>
    </row>
    <row r="259" spans="1:21" x14ac:dyDescent="0.2">
      <c r="A259" s="98" t="s">
        <v>558</v>
      </c>
      <c r="B259" s="99" t="s">
        <v>50</v>
      </c>
      <c r="C259" s="99" t="s">
        <v>345</v>
      </c>
      <c r="D259" s="99" t="s">
        <v>369</v>
      </c>
      <c r="E259" s="100" t="s">
        <v>559</v>
      </c>
      <c r="F259" s="99" t="s">
        <v>443</v>
      </c>
      <c r="G259" s="99" t="s">
        <v>259</v>
      </c>
      <c r="H259" s="99" t="s">
        <v>11</v>
      </c>
      <c r="I259" s="99" t="s">
        <v>246</v>
      </c>
      <c r="J259" s="99"/>
      <c r="K259" s="101">
        <v>239</v>
      </c>
      <c r="L259" s="101">
        <f>K259*VLOOKUP(H259,dagsoorttabel1,2,FALSE)</f>
        <v>210.88235294117646</v>
      </c>
      <c r="M259" s="102">
        <f>prodnorm52</f>
        <v>0</v>
      </c>
      <c r="N259" s="37">
        <f>dagwerk52</f>
        <v>0</v>
      </c>
      <c r="O259" s="99" t="s">
        <v>108</v>
      </c>
      <c r="P259" s="24">
        <f>uurtarief52</f>
        <v>0</v>
      </c>
      <c r="Q259" s="101" t="e">
        <f>IF(ISBLANK(M259),0,L259/ROUND(M259,4))</f>
        <v>#DIV/0!</v>
      </c>
      <c r="R259" s="101" t="e">
        <f>IF(ISBLANK(M259),0,Q259*ROUND(N259,2))</f>
        <v>#DIV/0!</v>
      </c>
      <c r="S259" s="24" t="e">
        <f>ROUND(P259,2)*Q259</f>
        <v>#DIV/0!</v>
      </c>
      <c r="T259" s="101" t="e">
        <f>Q259*dagenperjaar1</f>
        <v>#DIV/0!</v>
      </c>
      <c r="U259" s="25" t="e">
        <f>T259*ROUND(P259,2)</f>
        <v>#DIV/0!</v>
      </c>
    </row>
    <row r="260" spans="1:21" x14ac:dyDescent="0.2">
      <c r="A260" s="103" t="s">
        <v>558</v>
      </c>
      <c r="B260" s="104" t="s">
        <v>50</v>
      </c>
      <c r="C260" s="104" t="s">
        <v>345</v>
      </c>
      <c r="D260" s="104" t="s">
        <v>371</v>
      </c>
      <c r="E260" s="105" t="s">
        <v>466</v>
      </c>
      <c r="F260" s="104" t="s">
        <v>443</v>
      </c>
      <c r="G260" s="104" t="s">
        <v>259</v>
      </c>
      <c r="H260" s="104" t="s">
        <v>28</v>
      </c>
      <c r="I260" s="104" t="s">
        <v>246</v>
      </c>
      <c r="J260" s="104"/>
      <c r="K260" s="106">
        <v>18</v>
      </c>
      <c r="L260" s="106">
        <f>K260*VLOOKUP(H260,dagsoorttabel1,2,FALSE)</f>
        <v>0.14117647058823529</v>
      </c>
      <c r="M260" s="107">
        <f>prodnorm53</f>
        <v>0</v>
      </c>
      <c r="N260" s="108">
        <f>dagwerk53</f>
        <v>0</v>
      </c>
      <c r="O260" s="104" t="s">
        <v>108</v>
      </c>
      <c r="P260" s="34">
        <f>uurtarief53</f>
        <v>0</v>
      </c>
      <c r="Q260" s="106" t="e">
        <f>IF(ISBLANK(M260),0,L260/ROUND(M260,4))</f>
        <v>#DIV/0!</v>
      </c>
      <c r="R260" s="106" t="e">
        <f>IF(ISBLANK(M260),0,Q260*ROUND(N260,2))</f>
        <v>#DIV/0!</v>
      </c>
      <c r="S260" s="34" t="e">
        <f>ROUND(P260,2)*Q260</f>
        <v>#DIV/0!</v>
      </c>
      <c r="T260" s="106" t="e">
        <f>Q260*dagenperjaar1</f>
        <v>#DIV/0!</v>
      </c>
      <c r="U260" s="35" t="e">
        <f>T260*ROUND(P260,2)</f>
        <v>#DIV/0!</v>
      </c>
    </row>
    <row r="261" spans="1:21" x14ac:dyDescent="0.2">
      <c r="A261" s="109" t="s">
        <v>403</v>
      </c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81" t="e">
        <f>IF(_xlfn.SINGLE(object9_urenjaar1)&gt;0,_xlfn.SINGLE(object9_prijsjaar1)/_xlfn.SINGLE(object9_urenjaar1),0)</f>
        <v>#DIV/0!</v>
      </c>
      <c r="Q261" s="80" t="e">
        <f>SUM(Q248:Q260)</f>
        <v>#DIV/0!</v>
      </c>
      <c r="R261" s="80" t="e">
        <f>SUM(R248:R260)</f>
        <v>#DIV/0!</v>
      </c>
      <c r="S261" s="81" t="e">
        <f>SUM(S248:S260)</f>
        <v>#DIV/0!</v>
      </c>
      <c r="T261" s="80" t="e">
        <f>SUM(T248:T260)</f>
        <v>#DIV/0!</v>
      </c>
      <c r="U261" s="82" t="e">
        <f>SUM(U248:U260)</f>
        <v>#DIV/0!</v>
      </c>
    </row>
    <row r="262" spans="1:21" x14ac:dyDescent="0.2">
      <c r="A262" s="88" t="s">
        <v>560</v>
      </c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77"/>
    </row>
    <row r="263" spans="1:21" x14ac:dyDescent="0.2">
      <c r="A263" s="90" t="s">
        <v>561</v>
      </c>
      <c r="B263" s="91" t="s">
        <v>50</v>
      </c>
      <c r="C263" s="91" t="s">
        <v>345</v>
      </c>
      <c r="D263" s="91" t="s">
        <v>346</v>
      </c>
      <c r="E263" s="92" t="s">
        <v>418</v>
      </c>
      <c r="F263" s="91" t="s">
        <v>348</v>
      </c>
      <c r="G263" s="91" t="s">
        <v>253</v>
      </c>
      <c r="H263" s="91" t="s">
        <v>11</v>
      </c>
      <c r="I263" s="91" t="s">
        <v>246</v>
      </c>
      <c r="J263" s="91"/>
      <c r="K263" s="93">
        <v>3</v>
      </c>
      <c r="L263" s="93">
        <f>K263*VLOOKUP(H263,dagsoorttabel1,2,FALSE)</f>
        <v>2.6470588235294117</v>
      </c>
      <c r="M263" s="94">
        <f>prodnorm43</f>
        <v>0</v>
      </c>
      <c r="N263" s="95">
        <f>dagwerk43</f>
        <v>0</v>
      </c>
      <c r="O263" s="91" t="s">
        <v>108</v>
      </c>
      <c r="P263" s="96">
        <f>uurtarief43</f>
        <v>0</v>
      </c>
      <c r="Q263" s="93" t="e">
        <f>IF(ISBLANK(M263),0,L263/ROUND(M263,4))</f>
        <v>#DIV/0!</v>
      </c>
      <c r="R263" s="93" t="e">
        <f>IF(ISBLANK(M263),0,Q263*ROUND(N263,2))</f>
        <v>#DIV/0!</v>
      </c>
      <c r="S263" s="96" t="e">
        <f>ROUND(P263,2)*Q263</f>
        <v>#DIV/0!</v>
      </c>
      <c r="T263" s="93" t="e">
        <f>Q263*dagenperjaar1</f>
        <v>#DIV/0!</v>
      </c>
      <c r="U263" s="97" t="e">
        <f>T263*ROUND(P263,2)</f>
        <v>#DIV/0!</v>
      </c>
    </row>
    <row r="264" spans="1:21" x14ac:dyDescent="0.2">
      <c r="A264" s="98" t="s">
        <v>561</v>
      </c>
      <c r="B264" s="99" t="s">
        <v>50</v>
      </c>
      <c r="C264" s="99" t="s">
        <v>345</v>
      </c>
      <c r="D264" s="99" t="s">
        <v>349</v>
      </c>
      <c r="E264" s="100" t="s">
        <v>421</v>
      </c>
      <c r="F264" s="99" t="s">
        <v>348</v>
      </c>
      <c r="G264" s="99" t="s">
        <v>277</v>
      </c>
      <c r="H264" s="99" t="s">
        <v>11</v>
      </c>
      <c r="I264" s="99" t="s">
        <v>246</v>
      </c>
      <c r="J264" s="99"/>
      <c r="K264" s="101">
        <v>25</v>
      </c>
      <c r="L264" s="101">
        <f>K264*VLOOKUP(H264,dagsoorttabel1,2,FALSE)</f>
        <v>22.058823529411764</v>
      </c>
      <c r="M264" s="102">
        <f>prodnorm74</f>
        <v>0</v>
      </c>
      <c r="N264" s="37">
        <f>dagwerk74</f>
        <v>0</v>
      </c>
      <c r="O264" s="99" t="s">
        <v>108</v>
      </c>
      <c r="P264" s="24">
        <f>uurtarief74</f>
        <v>0</v>
      </c>
      <c r="Q264" s="101" t="e">
        <f>IF(ISBLANK(M264),0,L264/ROUND(M264,4))</f>
        <v>#DIV/0!</v>
      </c>
      <c r="R264" s="101" t="e">
        <f>IF(ISBLANK(M264),0,Q264*ROUND(N264,2))</f>
        <v>#DIV/0!</v>
      </c>
      <c r="S264" s="24" t="e">
        <f>ROUND(P264,2)*Q264</f>
        <v>#DIV/0!</v>
      </c>
      <c r="T264" s="101" t="e">
        <f>Q264*dagenperjaar1</f>
        <v>#DIV/0!</v>
      </c>
      <c r="U264" s="25" t="e">
        <f>T264*ROUND(P264,2)</f>
        <v>#DIV/0!</v>
      </c>
    </row>
    <row r="265" spans="1:21" x14ac:dyDescent="0.2">
      <c r="A265" s="98" t="s">
        <v>561</v>
      </c>
      <c r="B265" s="99" t="s">
        <v>50</v>
      </c>
      <c r="C265" s="99" t="s">
        <v>345</v>
      </c>
      <c r="D265" s="99" t="s">
        <v>351</v>
      </c>
      <c r="E265" s="100" t="s">
        <v>420</v>
      </c>
      <c r="F265" s="99" t="s">
        <v>348</v>
      </c>
      <c r="G265" s="99" t="s">
        <v>270</v>
      </c>
      <c r="H265" s="99" t="s">
        <v>11</v>
      </c>
      <c r="I265" s="99" t="s">
        <v>246</v>
      </c>
      <c r="J265" s="99"/>
      <c r="K265" s="101">
        <v>2</v>
      </c>
      <c r="L265" s="101">
        <f>K265*VLOOKUP(H265,dagsoorttabel1,2,FALSE)</f>
        <v>1.7647058823529411</v>
      </c>
      <c r="M265" s="102">
        <f>prodnorm65</f>
        <v>0</v>
      </c>
      <c r="N265" s="37">
        <f>dagwerk65</f>
        <v>0</v>
      </c>
      <c r="O265" s="99" t="s">
        <v>108</v>
      </c>
      <c r="P265" s="24">
        <f>uurtarief65</f>
        <v>0</v>
      </c>
      <c r="Q265" s="101" t="e">
        <f>IF(ISBLANK(M265),0,L265/ROUND(M265,4))</f>
        <v>#DIV/0!</v>
      </c>
      <c r="R265" s="101" t="e">
        <f>IF(ISBLANK(M265),0,Q265*ROUND(N265,2))</f>
        <v>#DIV/0!</v>
      </c>
      <c r="S265" s="24" t="e">
        <f>ROUND(P265,2)*Q265</f>
        <v>#DIV/0!</v>
      </c>
      <c r="T265" s="101" t="e">
        <f>Q265*dagenperjaar1</f>
        <v>#DIV/0!</v>
      </c>
      <c r="U265" s="25" t="e">
        <f>T265*ROUND(P265,2)</f>
        <v>#DIV/0!</v>
      </c>
    </row>
    <row r="266" spans="1:21" x14ac:dyDescent="0.2">
      <c r="A266" s="98" t="s">
        <v>561</v>
      </c>
      <c r="B266" s="99" t="s">
        <v>50</v>
      </c>
      <c r="C266" s="99" t="s">
        <v>345</v>
      </c>
      <c r="D266" s="99" t="s">
        <v>353</v>
      </c>
      <c r="E266" s="100" t="s">
        <v>426</v>
      </c>
      <c r="F266" s="99" t="s">
        <v>348</v>
      </c>
      <c r="G266" s="99" t="s">
        <v>262</v>
      </c>
      <c r="H266" s="99" t="s">
        <v>11</v>
      </c>
      <c r="I266" s="99" t="s">
        <v>246</v>
      </c>
      <c r="J266" s="99"/>
      <c r="K266" s="101">
        <v>62</v>
      </c>
      <c r="L266" s="101">
        <f>K266*VLOOKUP(H266,dagsoorttabel1,2,FALSE)</f>
        <v>54.705882352941174</v>
      </c>
      <c r="M266" s="102">
        <f>prodnorm58</f>
        <v>0</v>
      </c>
      <c r="N266" s="37">
        <f>dagwerk58</f>
        <v>0</v>
      </c>
      <c r="O266" s="99" t="s">
        <v>108</v>
      </c>
      <c r="P266" s="24">
        <f>uurtarief58</f>
        <v>0</v>
      </c>
      <c r="Q266" s="101" t="e">
        <f>IF(ISBLANK(M266),0,L266/ROUND(M266,4))</f>
        <v>#DIV/0!</v>
      </c>
      <c r="R266" s="101" t="e">
        <f>IF(ISBLANK(M266),0,Q266*ROUND(N266,2))</f>
        <v>#DIV/0!</v>
      </c>
      <c r="S266" s="24" t="e">
        <f>ROUND(P266,2)*Q266</f>
        <v>#DIV/0!</v>
      </c>
      <c r="T266" s="101" t="e">
        <f>Q266*dagenperjaar1</f>
        <v>#DIV/0!</v>
      </c>
      <c r="U266" s="25" t="e">
        <f>T266*ROUND(P266,2)</f>
        <v>#DIV/0!</v>
      </c>
    </row>
    <row r="267" spans="1:21" x14ac:dyDescent="0.2">
      <c r="A267" s="98" t="s">
        <v>561</v>
      </c>
      <c r="B267" s="99" t="s">
        <v>50</v>
      </c>
      <c r="C267" s="99" t="s">
        <v>345</v>
      </c>
      <c r="D267" s="99" t="s">
        <v>355</v>
      </c>
      <c r="E267" s="100" t="s">
        <v>547</v>
      </c>
      <c r="F267" s="99" t="s">
        <v>348</v>
      </c>
      <c r="G267" s="99" t="s">
        <v>251</v>
      </c>
      <c r="H267" s="99" t="s">
        <v>11</v>
      </c>
      <c r="I267" s="99" t="s">
        <v>246</v>
      </c>
      <c r="J267" s="99"/>
      <c r="K267" s="101">
        <v>20</v>
      </c>
      <c r="L267" s="101">
        <f>K267*VLOOKUP(H267,dagsoorttabel1,2,FALSE)</f>
        <v>17.647058823529413</v>
      </c>
      <c r="M267" s="102">
        <f>prodnorm40</f>
        <v>0</v>
      </c>
      <c r="N267" s="37">
        <f>dagwerk40</f>
        <v>0</v>
      </c>
      <c r="O267" s="99" t="s">
        <v>108</v>
      </c>
      <c r="P267" s="24">
        <f>uurtarief40</f>
        <v>0</v>
      </c>
      <c r="Q267" s="101" t="e">
        <f>IF(ISBLANK(M267),0,L267/ROUND(M267,4))</f>
        <v>#DIV/0!</v>
      </c>
      <c r="R267" s="101" t="e">
        <f>IF(ISBLANK(M267),0,Q267*ROUND(N267,2))</f>
        <v>#DIV/0!</v>
      </c>
      <c r="S267" s="24" t="e">
        <f>ROUND(P267,2)*Q267</f>
        <v>#DIV/0!</v>
      </c>
      <c r="T267" s="101" t="e">
        <f>Q267*dagenperjaar1</f>
        <v>#DIV/0!</v>
      </c>
      <c r="U267" s="25" t="e">
        <f>T267*ROUND(P267,2)</f>
        <v>#DIV/0!</v>
      </c>
    </row>
    <row r="268" spans="1:21" x14ac:dyDescent="0.2">
      <c r="A268" s="98" t="s">
        <v>561</v>
      </c>
      <c r="B268" s="99" t="s">
        <v>50</v>
      </c>
      <c r="C268" s="99" t="s">
        <v>345</v>
      </c>
      <c r="D268" s="99" t="s">
        <v>357</v>
      </c>
      <c r="E268" s="100" t="s">
        <v>420</v>
      </c>
      <c r="F268" s="99" t="s">
        <v>348</v>
      </c>
      <c r="G268" s="99" t="s">
        <v>270</v>
      </c>
      <c r="H268" s="99" t="s">
        <v>11</v>
      </c>
      <c r="I268" s="99" t="s">
        <v>246</v>
      </c>
      <c r="J268" s="99"/>
      <c r="K268" s="101">
        <v>2</v>
      </c>
      <c r="L268" s="101">
        <f>K268*VLOOKUP(H268,dagsoorttabel1,2,FALSE)</f>
        <v>1.7647058823529411</v>
      </c>
      <c r="M268" s="102">
        <f>prodnorm65</f>
        <v>0</v>
      </c>
      <c r="N268" s="37">
        <f>dagwerk65</f>
        <v>0</v>
      </c>
      <c r="O268" s="99" t="s">
        <v>108</v>
      </c>
      <c r="P268" s="24">
        <f>uurtarief65</f>
        <v>0</v>
      </c>
      <c r="Q268" s="101" t="e">
        <f>IF(ISBLANK(M268),0,L268/ROUND(M268,4))</f>
        <v>#DIV/0!</v>
      </c>
      <c r="R268" s="101" t="e">
        <f>IF(ISBLANK(M268),0,Q268*ROUND(N268,2))</f>
        <v>#DIV/0!</v>
      </c>
      <c r="S268" s="24" t="e">
        <f>ROUND(P268,2)*Q268</f>
        <v>#DIV/0!</v>
      </c>
      <c r="T268" s="101" t="e">
        <f>Q268*dagenperjaar1</f>
        <v>#DIV/0!</v>
      </c>
      <c r="U268" s="25" t="e">
        <f>T268*ROUND(P268,2)</f>
        <v>#DIV/0!</v>
      </c>
    </row>
    <row r="269" spans="1:21" x14ac:dyDescent="0.2">
      <c r="A269" s="98" t="s">
        <v>561</v>
      </c>
      <c r="B269" s="99" t="s">
        <v>50</v>
      </c>
      <c r="C269" s="99" t="s">
        <v>345</v>
      </c>
      <c r="D269" s="99" t="s">
        <v>359</v>
      </c>
      <c r="E269" s="100" t="s">
        <v>426</v>
      </c>
      <c r="F269" s="99" t="s">
        <v>348</v>
      </c>
      <c r="G269" s="99" t="s">
        <v>262</v>
      </c>
      <c r="H269" s="99" t="s">
        <v>11</v>
      </c>
      <c r="I269" s="99" t="s">
        <v>246</v>
      </c>
      <c r="J269" s="99"/>
      <c r="K269" s="101">
        <v>62</v>
      </c>
      <c r="L269" s="101">
        <f>K269*VLOOKUP(H269,dagsoorttabel1,2,FALSE)</f>
        <v>54.705882352941174</v>
      </c>
      <c r="M269" s="102">
        <f>prodnorm58</f>
        <v>0</v>
      </c>
      <c r="N269" s="37">
        <f>dagwerk58</f>
        <v>0</v>
      </c>
      <c r="O269" s="99" t="s">
        <v>108</v>
      </c>
      <c r="P269" s="24">
        <f>uurtarief58</f>
        <v>0</v>
      </c>
      <c r="Q269" s="101" t="e">
        <f>IF(ISBLANK(M269),0,L269/ROUND(M269,4))</f>
        <v>#DIV/0!</v>
      </c>
      <c r="R269" s="101" t="e">
        <f>IF(ISBLANK(M269),0,Q269*ROUND(N269,2))</f>
        <v>#DIV/0!</v>
      </c>
      <c r="S269" s="24" t="e">
        <f>ROUND(P269,2)*Q269</f>
        <v>#DIV/0!</v>
      </c>
      <c r="T269" s="101" t="e">
        <f>Q269*dagenperjaar1</f>
        <v>#DIV/0!</v>
      </c>
      <c r="U269" s="25" t="e">
        <f>T269*ROUND(P269,2)</f>
        <v>#DIV/0!</v>
      </c>
    </row>
    <row r="270" spans="1:21" x14ac:dyDescent="0.2">
      <c r="A270" s="98" t="s">
        <v>561</v>
      </c>
      <c r="B270" s="99" t="s">
        <v>50</v>
      </c>
      <c r="C270" s="99" t="s">
        <v>345</v>
      </c>
      <c r="D270" s="99" t="s">
        <v>361</v>
      </c>
      <c r="E270" s="100" t="s">
        <v>547</v>
      </c>
      <c r="F270" s="99" t="s">
        <v>548</v>
      </c>
      <c r="G270" s="99" t="s">
        <v>251</v>
      </c>
      <c r="H270" s="99" t="s">
        <v>11</v>
      </c>
      <c r="I270" s="99" t="s">
        <v>246</v>
      </c>
      <c r="J270" s="99"/>
      <c r="K270" s="101">
        <v>20</v>
      </c>
      <c r="L270" s="101">
        <f>K270*VLOOKUP(H270,dagsoorttabel1,2,FALSE)</f>
        <v>17.647058823529413</v>
      </c>
      <c r="M270" s="102">
        <f>prodnorm40</f>
        <v>0</v>
      </c>
      <c r="N270" s="37">
        <f>dagwerk40</f>
        <v>0</v>
      </c>
      <c r="O270" s="99" t="s">
        <v>108</v>
      </c>
      <c r="P270" s="24">
        <f>uurtarief40</f>
        <v>0</v>
      </c>
      <c r="Q270" s="101" t="e">
        <f>IF(ISBLANK(M270),0,L270/ROUND(M270,4))</f>
        <v>#DIV/0!</v>
      </c>
      <c r="R270" s="101" t="e">
        <f>IF(ISBLANK(M270),0,Q270*ROUND(N270,2))</f>
        <v>#DIV/0!</v>
      </c>
      <c r="S270" s="24" t="e">
        <f>ROUND(P270,2)*Q270</f>
        <v>#DIV/0!</v>
      </c>
      <c r="T270" s="101" t="e">
        <f>Q270*dagenperjaar1</f>
        <v>#DIV/0!</v>
      </c>
      <c r="U270" s="25" t="e">
        <f>T270*ROUND(P270,2)</f>
        <v>#DIV/0!</v>
      </c>
    </row>
    <row r="271" spans="1:21" x14ac:dyDescent="0.2">
      <c r="A271" s="98" t="s">
        <v>561</v>
      </c>
      <c r="B271" s="99" t="s">
        <v>50</v>
      </c>
      <c r="C271" s="99" t="s">
        <v>345</v>
      </c>
      <c r="D271" s="99" t="s">
        <v>363</v>
      </c>
      <c r="E271" s="100" t="s">
        <v>420</v>
      </c>
      <c r="F271" s="99" t="s">
        <v>348</v>
      </c>
      <c r="G271" s="99" t="s">
        <v>270</v>
      </c>
      <c r="H271" s="99" t="s">
        <v>11</v>
      </c>
      <c r="I271" s="99" t="s">
        <v>246</v>
      </c>
      <c r="J271" s="99"/>
      <c r="K271" s="101">
        <v>2</v>
      </c>
      <c r="L271" s="101">
        <f>K271*VLOOKUP(H271,dagsoorttabel1,2,FALSE)</f>
        <v>1.7647058823529411</v>
      </c>
      <c r="M271" s="102">
        <f>prodnorm65</f>
        <v>0</v>
      </c>
      <c r="N271" s="37">
        <f>dagwerk65</f>
        <v>0</v>
      </c>
      <c r="O271" s="99" t="s">
        <v>108</v>
      </c>
      <c r="P271" s="24">
        <f>uurtarief65</f>
        <v>0</v>
      </c>
      <c r="Q271" s="101" t="e">
        <f>IF(ISBLANK(M271),0,L271/ROUND(M271,4))</f>
        <v>#DIV/0!</v>
      </c>
      <c r="R271" s="101" t="e">
        <f>IF(ISBLANK(M271),0,Q271*ROUND(N271,2))</f>
        <v>#DIV/0!</v>
      </c>
      <c r="S271" s="24" t="e">
        <f>ROUND(P271,2)*Q271</f>
        <v>#DIV/0!</v>
      </c>
      <c r="T271" s="101" t="e">
        <f>Q271*dagenperjaar1</f>
        <v>#DIV/0!</v>
      </c>
      <c r="U271" s="25" t="e">
        <f>T271*ROUND(P271,2)</f>
        <v>#DIV/0!</v>
      </c>
    </row>
    <row r="272" spans="1:21" x14ac:dyDescent="0.2">
      <c r="A272" s="98" t="s">
        <v>561</v>
      </c>
      <c r="B272" s="99" t="s">
        <v>50</v>
      </c>
      <c r="C272" s="99" t="s">
        <v>345</v>
      </c>
      <c r="D272" s="99" t="s">
        <v>365</v>
      </c>
      <c r="E272" s="100" t="s">
        <v>562</v>
      </c>
      <c r="F272" s="99" t="s">
        <v>348</v>
      </c>
      <c r="G272" s="99" t="s">
        <v>262</v>
      </c>
      <c r="H272" s="99" t="s">
        <v>11</v>
      </c>
      <c r="I272" s="99" t="s">
        <v>246</v>
      </c>
      <c r="J272" s="99"/>
      <c r="K272" s="101">
        <v>12</v>
      </c>
      <c r="L272" s="101">
        <f>K272*VLOOKUP(H272,dagsoorttabel1,2,FALSE)</f>
        <v>10.588235294117647</v>
      </c>
      <c r="M272" s="102">
        <f>prodnorm58</f>
        <v>0</v>
      </c>
      <c r="N272" s="37">
        <f>dagwerk58</f>
        <v>0</v>
      </c>
      <c r="O272" s="99" t="s">
        <v>108</v>
      </c>
      <c r="P272" s="24">
        <f>uurtarief58</f>
        <v>0</v>
      </c>
      <c r="Q272" s="101" t="e">
        <f>IF(ISBLANK(M272),0,L272/ROUND(M272,4))</f>
        <v>#DIV/0!</v>
      </c>
      <c r="R272" s="101" t="e">
        <f>IF(ISBLANK(M272),0,Q272*ROUND(N272,2))</f>
        <v>#DIV/0!</v>
      </c>
      <c r="S272" s="24" t="e">
        <f>ROUND(P272,2)*Q272</f>
        <v>#DIV/0!</v>
      </c>
      <c r="T272" s="101" t="e">
        <f>Q272*dagenperjaar1</f>
        <v>#DIV/0!</v>
      </c>
      <c r="U272" s="25" t="e">
        <f>T272*ROUND(P272,2)</f>
        <v>#DIV/0!</v>
      </c>
    </row>
    <row r="273" spans="1:21" x14ac:dyDescent="0.2">
      <c r="A273" s="98" t="s">
        <v>561</v>
      </c>
      <c r="B273" s="99" t="s">
        <v>50</v>
      </c>
      <c r="C273" s="99" t="s">
        <v>345</v>
      </c>
      <c r="D273" s="99" t="s">
        <v>369</v>
      </c>
      <c r="E273" s="100" t="s">
        <v>559</v>
      </c>
      <c r="F273" s="99" t="s">
        <v>348</v>
      </c>
      <c r="G273" s="99" t="s">
        <v>259</v>
      </c>
      <c r="H273" s="99" t="s">
        <v>11</v>
      </c>
      <c r="I273" s="99" t="s">
        <v>246</v>
      </c>
      <c r="J273" s="99"/>
      <c r="K273" s="101">
        <v>199</v>
      </c>
      <c r="L273" s="101">
        <f>K273*VLOOKUP(H273,dagsoorttabel1,2,FALSE)</f>
        <v>175.58823529411765</v>
      </c>
      <c r="M273" s="102">
        <f>prodnorm52</f>
        <v>0</v>
      </c>
      <c r="N273" s="37">
        <f>dagwerk52</f>
        <v>0</v>
      </c>
      <c r="O273" s="99" t="s">
        <v>108</v>
      </c>
      <c r="P273" s="24">
        <f>uurtarief52</f>
        <v>0</v>
      </c>
      <c r="Q273" s="101" t="e">
        <f>IF(ISBLANK(M273),0,L273/ROUND(M273,4))</f>
        <v>#DIV/0!</v>
      </c>
      <c r="R273" s="101" t="e">
        <f>IF(ISBLANK(M273),0,Q273*ROUND(N273,2))</f>
        <v>#DIV/0!</v>
      </c>
      <c r="S273" s="24" t="e">
        <f>ROUND(P273,2)*Q273</f>
        <v>#DIV/0!</v>
      </c>
      <c r="T273" s="101" t="e">
        <f>Q273*dagenperjaar1</f>
        <v>#DIV/0!</v>
      </c>
      <c r="U273" s="25" t="e">
        <f>T273*ROUND(P273,2)</f>
        <v>#DIV/0!</v>
      </c>
    </row>
    <row r="274" spans="1:21" x14ac:dyDescent="0.2">
      <c r="A274" s="103" t="s">
        <v>561</v>
      </c>
      <c r="B274" s="104" t="s">
        <v>50</v>
      </c>
      <c r="C274" s="104" t="s">
        <v>345</v>
      </c>
      <c r="D274" s="104" t="s">
        <v>371</v>
      </c>
      <c r="E274" s="105" t="s">
        <v>466</v>
      </c>
      <c r="F274" s="104" t="s">
        <v>443</v>
      </c>
      <c r="G274" s="104" t="s">
        <v>259</v>
      </c>
      <c r="H274" s="104" t="s">
        <v>28</v>
      </c>
      <c r="I274" s="104" t="s">
        <v>246</v>
      </c>
      <c r="J274" s="104"/>
      <c r="K274" s="106">
        <v>79</v>
      </c>
      <c r="L274" s="106">
        <f>K274*VLOOKUP(H274,dagsoorttabel1,2,FALSE)</f>
        <v>0.61960784313725492</v>
      </c>
      <c r="M274" s="107">
        <f>prodnorm53</f>
        <v>0</v>
      </c>
      <c r="N274" s="108">
        <f>dagwerk53</f>
        <v>0</v>
      </c>
      <c r="O274" s="104" t="s">
        <v>108</v>
      </c>
      <c r="P274" s="34">
        <f>uurtarief53</f>
        <v>0</v>
      </c>
      <c r="Q274" s="106" t="e">
        <f>IF(ISBLANK(M274),0,L274/ROUND(M274,4))</f>
        <v>#DIV/0!</v>
      </c>
      <c r="R274" s="106" t="e">
        <f>IF(ISBLANK(M274),0,Q274*ROUND(N274,2))</f>
        <v>#DIV/0!</v>
      </c>
      <c r="S274" s="34" t="e">
        <f>ROUND(P274,2)*Q274</f>
        <v>#DIV/0!</v>
      </c>
      <c r="T274" s="106" t="e">
        <f>Q274*dagenperjaar1</f>
        <v>#DIV/0!</v>
      </c>
      <c r="U274" s="35" t="e">
        <f>T274*ROUND(P274,2)</f>
        <v>#DIV/0!</v>
      </c>
    </row>
    <row r="275" spans="1:21" x14ac:dyDescent="0.2">
      <c r="A275" s="109" t="s">
        <v>403</v>
      </c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81" t="e">
        <f>IF(_xlfn.SINGLE(object10_urenjaar1)&gt;0,_xlfn.SINGLE(object10_prijsjaar1)/_xlfn.SINGLE(object10_urenjaar1),0)</f>
        <v>#DIV/0!</v>
      </c>
      <c r="Q275" s="80" t="e">
        <f>SUM(Q263:Q274)</f>
        <v>#DIV/0!</v>
      </c>
      <c r="R275" s="80" t="e">
        <f>SUM(R263:R274)</f>
        <v>#DIV/0!</v>
      </c>
      <c r="S275" s="81" t="e">
        <f>SUM(S263:S274)</f>
        <v>#DIV/0!</v>
      </c>
      <c r="T275" s="80" t="e">
        <f>SUM(T263:T274)</f>
        <v>#DIV/0!</v>
      </c>
      <c r="U275" s="82" t="e">
        <f>SUM(U263:U274)</f>
        <v>#DIV/0!</v>
      </c>
    </row>
    <row r="276" spans="1:21" x14ac:dyDescent="0.2">
      <c r="A276" s="88" t="s">
        <v>563</v>
      </c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77"/>
    </row>
    <row r="277" spans="1:21" x14ac:dyDescent="0.2">
      <c r="A277" s="90" t="s">
        <v>564</v>
      </c>
      <c r="B277" s="91" t="s">
        <v>50</v>
      </c>
      <c r="C277" s="91" t="s">
        <v>345</v>
      </c>
      <c r="D277" s="91" t="s">
        <v>346</v>
      </c>
      <c r="E277" s="92" t="s">
        <v>418</v>
      </c>
      <c r="F277" s="91" t="s">
        <v>348</v>
      </c>
      <c r="G277" s="91" t="s">
        <v>253</v>
      </c>
      <c r="H277" s="91" t="s">
        <v>11</v>
      </c>
      <c r="I277" s="91" t="s">
        <v>246</v>
      </c>
      <c r="J277" s="91"/>
      <c r="K277" s="93">
        <v>34</v>
      </c>
      <c r="L277" s="93">
        <f>K277*VLOOKUP(H277,dagsoorttabel1,2,FALSE)</f>
        <v>30</v>
      </c>
      <c r="M277" s="94">
        <f>prodnorm43</f>
        <v>0</v>
      </c>
      <c r="N277" s="95">
        <f>dagwerk43</f>
        <v>0</v>
      </c>
      <c r="O277" s="91" t="s">
        <v>108</v>
      </c>
      <c r="P277" s="96">
        <f>uurtarief43</f>
        <v>0</v>
      </c>
      <c r="Q277" s="93" t="e">
        <f>IF(ISBLANK(M277),0,L277/ROUND(M277,4))</f>
        <v>#DIV/0!</v>
      </c>
      <c r="R277" s="93" t="e">
        <f>IF(ISBLANK(M277),0,Q277*ROUND(N277,2))</f>
        <v>#DIV/0!</v>
      </c>
      <c r="S277" s="96" t="e">
        <f>ROUND(P277,2)*Q277</f>
        <v>#DIV/0!</v>
      </c>
      <c r="T277" s="93" t="e">
        <f>Q277*dagenperjaar1</f>
        <v>#DIV/0!</v>
      </c>
      <c r="U277" s="97" t="e">
        <f>T277*ROUND(P277,2)</f>
        <v>#DIV/0!</v>
      </c>
    </row>
    <row r="278" spans="1:21" x14ac:dyDescent="0.2">
      <c r="A278" s="98" t="s">
        <v>564</v>
      </c>
      <c r="B278" s="99" t="s">
        <v>50</v>
      </c>
      <c r="C278" s="99" t="s">
        <v>345</v>
      </c>
      <c r="D278" s="99" t="s">
        <v>349</v>
      </c>
      <c r="E278" s="100" t="s">
        <v>565</v>
      </c>
      <c r="F278" s="99" t="s">
        <v>348</v>
      </c>
      <c r="G278" s="99" t="s">
        <v>277</v>
      </c>
      <c r="H278" s="99" t="s">
        <v>21</v>
      </c>
      <c r="I278" s="99" t="s">
        <v>246</v>
      </c>
      <c r="J278" s="99"/>
      <c r="K278" s="101">
        <v>83</v>
      </c>
      <c r="L278" s="101">
        <f>K278*VLOOKUP(H278,dagsoorttabel1,2,FALSE)</f>
        <v>14.647058823529413</v>
      </c>
      <c r="M278" s="102">
        <f>prodnorm77</f>
        <v>0</v>
      </c>
      <c r="N278" s="37">
        <f>dagwerk77</f>
        <v>0</v>
      </c>
      <c r="O278" s="99" t="s">
        <v>108</v>
      </c>
      <c r="P278" s="24">
        <f>uurtarief77</f>
        <v>0</v>
      </c>
      <c r="Q278" s="101" t="e">
        <f>IF(ISBLANK(M278),0,L278/ROUND(M278,4))</f>
        <v>#DIV/0!</v>
      </c>
      <c r="R278" s="101" t="e">
        <f>IF(ISBLANK(M278),0,Q278*ROUND(N278,2))</f>
        <v>#DIV/0!</v>
      </c>
      <c r="S278" s="24" t="e">
        <f>ROUND(P278,2)*Q278</f>
        <v>#DIV/0!</v>
      </c>
      <c r="T278" s="101" t="e">
        <f>Q278*dagenperjaar1</f>
        <v>#DIV/0!</v>
      </c>
      <c r="U278" s="25" t="e">
        <f>T278*ROUND(P278,2)</f>
        <v>#DIV/0!</v>
      </c>
    </row>
    <row r="279" spans="1:21" x14ac:dyDescent="0.2">
      <c r="A279" s="98" t="s">
        <v>564</v>
      </c>
      <c r="B279" s="99" t="s">
        <v>50</v>
      </c>
      <c r="C279" s="99" t="s">
        <v>345</v>
      </c>
      <c r="D279" s="99" t="s">
        <v>351</v>
      </c>
      <c r="E279" s="100" t="s">
        <v>566</v>
      </c>
      <c r="F279" s="99" t="s">
        <v>348</v>
      </c>
      <c r="G279" s="99" t="s">
        <v>253</v>
      </c>
      <c r="H279" s="99" t="s">
        <v>11</v>
      </c>
      <c r="I279" s="99" t="s">
        <v>246</v>
      </c>
      <c r="J279" s="99"/>
      <c r="K279" s="101">
        <v>30</v>
      </c>
      <c r="L279" s="101">
        <f>K279*VLOOKUP(H279,dagsoorttabel1,2,FALSE)</f>
        <v>26.470588235294116</v>
      </c>
      <c r="M279" s="102">
        <f>prodnorm43</f>
        <v>0</v>
      </c>
      <c r="N279" s="37">
        <f>dagwerk43</f>
        <v>0</v>
      </c>
      <c r="O279" s="99" t="s">
        <v>108</v>
      </c>
      <c r="P279" s="24">
        <f>uurtarief43</f>
        <v>0</v>
      </c>
      <c r="Q279" s="101" t="e">
        <f>IF(ISBLANK(M279),0,L279/ROUND(M279,4))</f>
        <v>#DIV/0!</v>
      </c>
      <c r="R279" s="101" t="e">
        <f>IF(ISBLANK(M279),0,Q279*ROUND(N279,2))</f>
        <v>#DIV/0!</v>
      </c>
      <c r="S279" s="24" t="e">
        <f>ROUND(P279,2)*Q279</f>
        <v>#DIV/0!</v>
      </c>
      <c r="T279" s="101" t="e">
        <f>Q279*dagenperjaar1</f>
        <v>#DIV/0!</v>
      </c>
      <c r="U279" s="25" t="e">
        <f>T279*ROUND(P279,2)</f>
        <v>#DIV/0!</v>
      </c>
    </row>
    <row r="280" spans="1:21" x14ac:dyDescent="0.2">
      <c r="A280" s="98" t="s">
        <v>564</v>
      </c>
      <c r="B280" s="99" t="s">
        <v>50</v>
      </c>
      <c r="C280" s="99" t="s">
        <v>345</v>
      </c>
      <c r="D280" s="99" t="s">
        <v>353</v>
      </c>
      <c r="E280" s="100" t="s">
        <v>430</v>
      </c>
      <c r="F280" s="99" t="s">
        <v>548</v>
      </c>
      <c r="G280" s="99" t="s">
        <v>273</v>
      </c>
      <c r="H280" s="99" t="s">
        <v>11</v>
      </c>
      <c r="I280" s="99" t="s">
        <v>246</v>
      </c>
      <c r="J280" s="99"/>
      <c r="K280" s="101">
        <v>17</v>
      </c>
      <c r="L280" s="101">
        <f>K280*VLOOKUP(H280,dagsoorttabel1,2,FALSE)</f>
        <v>15</v>
      </c>
      <c r="M280" s="102">
        <f>prodnorm69</f>
        <v>0</v>
      </c>
      <c r="N280" s="37">
        <f>dagwerk69</f>
        <v>0</v>
      </c>
      <c r="O280" s="99" t="s">
        <v>108</v>
      </c>
      <c r="P280" s="24">
        <f>uurtarief69</f>
        <v>0</v>
      </c>
      <c r="Q280" s="101" t="e">
        <f>IF(ISBLANK(M280),0,L280/ROUND(M280,4))</f>
        <v>#DIV/0!</v>
      </c>
      <c r="R280" s="101" t="e">
        <f>IF(ISBLANK(M280),0,Q280*ROUND(N280,2))</f>
        <v>#DIV/0!</v>
      </c>
      <c r="S280" s="24" t="e">
        <f>ROUND(P280,2)*Q280</f>
        <v>#DIV/0!</v>
      </c>
      <c r="T280" s="101" t="e">
        <f>Q280*dagenperjaar1</f>
        <v>#DIV/0!</v>
      </c>
      <c r="U280" s="25" t="e">
        <f>T280*ROUND(P280,2)</f>
        <v>#DIV/0!</v>
      </c>
    </row>
    <row r="281" spans="1:21" x14ac:dyDescent="0.2">
      <c r="A281" s="98" t="s">
        <v>564</v>
      </c>
      <c r="B281" s="99" t="s">
        <v>50</v>
      </c>
      <c r="C281" s="99" t="s">
        <v>345</v>
      </c>
      <c r="D281" s="99" t="s">
        <v>355</v>
      </c>
      <c r="E281" s="100" t="s">
        <v>408</v>
      </c>
      <c r="F281" s="99" t="s">
        <v>348</v>
      </c>
      <c r="G281" s="99" t="s">
        <v>270</v>
      </c>
      <c r="H281" s="99" t="s">
        <v>11</v>
      </c>
      <c r="I281" s="99" t="s">
        <v>246</v>
      </c>
      <c r="J281" s="99"/>
      <c r="K281" s="101">
        <v>2</v>
      </c>
      <c r="L281" s="101">
        <f>K281*VLOOKUP(H281,dagsoorttabel1,2,FALSE)</f>
        <v>1.7647058823529411</v>
      </c>
      <c r="M281" s="102">
        <f>prodnorm65</f>
        <v>0</v>
      </c>
      <c r="N281" s="37">
        <f>dagwerk65</f>
        <v>0</v>
      </c>
      <c r="O281" s="99" t="s">
        <v>108</v>
      </c>
      <c r="P281" s="24">
        <f>uurtarief65</f>
        <v>0</v>
      </c>
      <c r="Q281" s="101" t="e">
        <f>IF(ISBLANK(M281),0,L281/ROUND(M281,4))</f>
        <v>#DIV/0!</v>
      </c>
      <c r="R281" s="101" t="e">
        <f>IF(ISBLANK(M281),0,Q281*ROUND(N281,2))</f>
        <v>#DIV/0!</v>
      </c>
      <c r="S281" s="24" t="e">
        <f>ROUND(P281,2)*Q281</f>
        <v>#DIV/0!</v>
      </c>
      <c r="T281" s="101" t="e">
        <f>Q281*dagenperjaar1</f>
        <v>#DIV/0!</v>
      </c>
      <c r="U281" s="25" t="e">
        <f>T281*ROUND(P281,2)</f>
        <v>#DIV/0!</v>
      </c>
    </row>
    <row r="282" spans="1:21" x14ac:dyDescent="0.2">
      <c r="A282" s="98" t="s">
        <v>564</v>
      </c>
      <c r="B282" s="99" t="s">
        <v>50</v>
      </c>
      <c r="C282" s="99" t="s">
        <v>345</v>
      </c>
      <c r="D282" s="99" t="s">
        <v>357</v>
      </c>
      <c r="E282" s="100" t="s">
        <v>427</v>
      </c>
      <c r="F282" s="99" t="s">
        <v>348</v>
      </c>
      <c r="G282" s="99" t="s">
        <v>251</v>
      </c>
      <c r="H282" s="99" t="s">
        <v>11</v>
      </c>
      <c r="I282" s="99" t="s">
        <v>246</v>
      </c>
      <c r="J282" s="99"/>
      <c r="K282" s="101">
        <v>2</v>
      </c>
      <c r="L282" s="101">
        <f>K282*VLOOKUP(H282,dagsoorttabel1,2,FALSE)</f>
        <v>1.7647058823529411</v>
      </c>
      <c r="M282" s="102">
        <f>prodnorm40</f>
        <v>0</v>
      </c>
      <c r="N282" s="37">
        <f>dagwerk40</f>
        <v>0</v>
      </c>
      <c r="O282" s="99" t="s">
        <v>108</v>
      </c>
      <c r="P282" s="24">
        <f>uurtarief40</f>
        <v>0</v>
      </c>
      <c r="Q282" s="101" t="e">
        <f>IF(ISBLANK(M282),0,L282/ROUND(M282,4))</f>
        <v>#DIV/0!</v>
      </c>
      <c r="R282" s="101" t="e">
        <f>IF(ISBLANK(M282),0,Q282*ROUND(N282,2))</f>
        <v>#DIV/0!</v>
      </c>
      <c r="S282" s="24" t="e">
        <f>ROUND(P282,2)*Q282</f>
        <v>#DIV/0!</v>
      </c>
      <c r="T282" s="101" t="e">
        <f>Q282*dagenperjaar1</f>
        <v>#DIV/0!</v>
      </c>
      <c r="U282" s="25" t="e">
        <f>T282*ROUND(P282,2)</f>
        <v>#DIV/0!</v>
      </c>
    </row>
    <row r="283" spans="1:21" x14ac:dyDescent="0.2">
      <c r="A283" s="98" t="s">
        <v>564</v>
      </c>
      <c r="B283" s="99" t="s">
        <v>50</v>
      </c>
      <c r="C283" s="99" t="s">
        <v>345</v>
      </c>
      <c r="D283" s="99" t="s">
        <v>359</v>
      </c>
      <c r="E283" s="100" t="s">
        <v>426</v>
      </c>
      <c r="F283" s="99" t="s">
        <v>348</v>
      </c>
      <c r="G283" s="99" t="s">
        <v>262</v>
      </c>
      <c r="H283" s="99" t="s">
        <v>11</v>
      </c>
      <c r="I283" s="99" t="s">
        <v>246</v>
      </c>
      <c r="J283" s="99"/>
      <c r="K283" s="101">
        <v>37</v>
      </c>
      <c r="L283" s="101">
        <f>K283*VLOOKUP(H283,dagsoorttabel1,2,FALSE)</f>
        <v>32.647058823529413</v>
      </c>
      <c r="M283" s="102">
        <f>prodnorm58</f>
        <v>0</v>
      </c>
      <c r="N283" s="37">
        <f>dagwerk58</f>
        <v>0</v>
      </c>
      <c r="O283" s="99" t="s">
        <v>108</v>
      </c>
      <c r="P283" s="24">
        <f>uurtarief58</f>
        <v>0</v>
      </c>
      <c r="Q283" s="101" t="e">
        <f>IF(ISBLANK(M283),0,L283/ROUND(M283,4))</f>
        <v>#DIV/0!</v>
      </c>
      <c r="R283" s="101" t="e">
        <f>IF(ISBLANK(M283),0,Q283*ROUND(N283,2))</f>
        <v>#DIV/0!</v>
      </c>
      <c r="S283" s="24" t="e">
        <f>ROUND(P283,2)*Q283</f>
        <v>#DIV/0!</v>
      </c>
      <c r="T283" s="101" t="e">
        <f>Q283*dagenperjaar1</f>
        <v>#DIV/0!</v>
      </c>
      <c r="U283" s="25" t="e">
        <f>T283*ROUND(P283,2)</f>
        <v>#DIV/0!</v>
      </c>
    </row>
    <row r="284" spans="1:21" x14ac:dyDescent="0.2">
      <c r="A284" s="98" t="s">
        <v>564</v>
      </c>
      <c r="B284" s="99" t="s">
        <v>50</v>
      </c>
      <c r="C284" s="99" t="s">
        <v>345</v>
      </c>
      <c r="D284" s="99" t="s">
        <v>361</v>
      </c>
      <c r="E284" s="100" t="s">
        <v>547</v>
      </c>
      <c r="F284" s="99" t="s">
        <v>348</v>
      </c>
      <c r="G284" s="99" t="s">
        <v>251</v>
      </c>
      <c r="H284" s="99" t="s">
        <v>11</v>
      </c>
      <c r="I284" s="99" t="s">
        <v>246</v>
      </c>
      <c r="J284" s="99"/>
      <c r="K284" s="101">
        <v>21</v>
      </c>
      <c r="L284" s="101">
        <f>K284*VLOOKUP(H284,dagsoorttabel1,2,FALSE)</f>
        <v>18.52941176470588</v>
      </c>
      <c r="M284" s="102">
        <f>prodnorm40</f>
        <v>0</v>
      </c>
      <c r="N284" s="37">
        <f>dagwerk40</f>
        <v>0</v>
      </c>
      <c r="O284" s="99" t="s">
        <v>108</v>
      </c>
      <c r="P284" s="24">
        <f>uurtarief40</f>
        <v>0</v>
      </c>
      <c r="Q284" s="101" t="e">
        <f>IF(ISBLANK(M284),0,L284/ROUND(M284,4))</f>
        <v>#DIV/0!</v>
      </c>
      <c r="R284" s="101" t="e">
        <f>IF(ISBLANK(M284),0,Q284*ROUND(N284,2))</f>
        <v>#DIV/0!</v>
      </c>
      <c r="S284" s="24" t="e">
        <f>ROUND(P284,2)*Q284</f>
        <v>#DIV/0!</v>
      </c>
      <c r="T284" s="101" t="e">
        <f>Q284*dagenperjaar1</f>
        <v>#DIV/0!</v>
      </c>
      <c r="U284" s="25" t="e">
        <f>T284*ROUND(P284,2)</f>
        <v>#DIV/0!</v>
      </c>
    </row>
    <row r="285" spans="1:21" x14ac:dyDescent="0.2">
      <c r="A285" s="98" t="s">
        <v>564</v>
      </c>
      <c r="B285" s="99" t="s">
        <v>50</v>
      </c>
      <c r="C285" s="99" t="s">
        <v>345</v>
      </c>
      <c r="D285" s="99" t="s">
        <v>363</v>
      </c>
      <c r="E285" s="100" t="s">
        <v>420</v>
      </c>
      <c r="F285" s="99" t="s">
        <v>348</v>
      </c>
      <c r="G285" s="99" t="s">
        <v>270</v>
      </c>
      <c r="H285" s="99" t="s">
        <v>11</v>
      </c>
      <c r="I285" s="99" t="s">
        <v>246</v>
      </c>
      <c r="J285" s="99"/>
      <c r="K285" s="101">
        <v>2</v>
      </c>
      <c r="L285" s="101">
        <f>K285*VLOOKUP(H285,dagsoorttabel1,2,FALSE)</f>
        <v>1.7647058823529411</v>
      </c>
      <c r="M285" s="102">
        <f>prodnorm65</f>
        <v>0</v>
      </c>
      <c r="N285" s="37">
        <f>dagwerk65</f>
        <v>0</v>
      </c>
      <c r="O285" s="99" t="s">
        <v>108</v>
      </c>
      <c r="P285" s="24">
        <f>uurtarief65</f>
        <v>0</v>
      </c>
      <c r="Q285" s="101" t="e">
        <f>IF(ISBLANK(M285),0,L285/ROUND(M285,4))</f>
        <v>#DIV/0!</v>
      </c>
      <c r="R285" s="101" t="e">
        <f>IF(ISBLANK(M285),0,Q285*ROUND(N285,2))</f>
        <v>#DIV/0!</v>
      </c>
      <c r="S285" s="24" t="e">
        <f>ROUND(P285,2)*Q285</f>
        <v>#DIV/0!</v>
      </c>
      <c r="T285" s="101" t="e">
        <f>Q285*dagenperjaar1</f>
        <v>#DIV/0!</v>
      </c>
      <c r="U285" s="25" t="e">
        <f>T285*ROUND(P285,2)</f>
        <v>#DIV/0!</v>
      </c>
    </row>
    <row r="286" spans="1:21" x14ac:dyDescent="0.2">
      <c r="A286" s="98" t="s">
        <v>564</v>
      </c>
      <c r="B286" s="99" t="s">
        <v>50</v>
      </c>
      <c r="C286" s="99" t="s">
        <v>345</v>
      </c>
      <c r="D286" s="99" t="s">
        <v>365</v>
      </c>
      <c r="E286" s="100" t="s">
        <v>426</v>
      </c>
      <c r="F286" s="99" t="s">
        <v>348</v>
      </c>
      <c r="G286" s="99" t="s">
        <v>262</v>
      </c>
      <c r="H286" s="99" t="s">
        <v>11</v>
      </c>
      <c r="I286" s="99" t="s">
        <v>246</v>
      </c>
      <c r="J286" s="99"/>
      <c r="K286" s="101">
        <v>50</v>
      </c>
      <c r="L286" s="101">
        <f>K286*VLOOKUP(H286,dagsoorttabel1,2,FALSE)</f>
        <v>44.117647058823529</v>
      </c>
      <c r="M286" s="102">
        <f>prodnorm58</f>
        <v>0</v>
      </c>
      <c r="N286" s="37">
        <f>dagwerk58</f>
        <v>0</v>
      </c>
      <c r="O286" s="99" t="s">
        <v>108</v>
      </c>
      <c r="P286" s="24">
        <f>uurtarief58</f>
        <v>0</v>
      </c>
      <c r="Q286" s="101" t="e">
        <f>IF(ISBLANK(M286),0,L286/ROUND(M286,4))</f>
        <v>#DIV/0!</v>
      </c>
      <c r="R286" s="101" t="e">
        <f>IF(ISBLANK(M286),0,Q286*ROUND(N286,2))</f>
        <v>#DIV/0!</v>
      </c>
      <c r="S286" s="24" t="e">
        <f>ROUND(P286,2)*Q286</f>
        <v>#DIV/0!</v>
      </c>
      <c r="T286" s="101" t="e">
        <f>Q286*dagenperjaar1</f>
        <v>#DIV/0!</v>
      </c>
      <c r="U286" s="25" t="e">
        <f>T286*ROUND(P286,2)</f>
        <v>#DIV/0!</v>
      </c>
    </row>
    <row r="287" spans="1:21" x14ac:dyDescent="0.2">
      <c r="A287" s="98" t="s">
        <v>564</v>
      </c>
      <c r="B287" s="99" t="s">
        <v>50</v>
      </c>
      <c r="C287" s="99" t="s">
        <v>345</v>
      </c>
      <c r="D287" s="99" t="s">
        <v>367</v>
      </c>
      <c r="E287" s="100" t="s">
        <v>547</v>
      </c>
      <c r="F287" s="99" t="s">
        <v>348</v>
      </c>
      <c r="G287" s="99" t="s">
        <v>251</v>
      </c>
      <c r="H287" s="99" t="s">
        <v>11</v>
      </c>
      <c r="I287" s="99" t="s">
        <v>246</v>
      </c>
      <c r="J287" s="99"/>
      <c r="K287" s="101">
        <v>20</v>
      </c>
      <c r="L287" s="101">
        <f>K287*VLOOKUP(H287,dagsoorttabel1,2,FALSE)</f>
        <v>17.647058823529413</v>
      </c>
      <c r="M287" s="102">
        <f>prodnorm40</f>
        <v>0</v>
      </c>
      <c r="N287" s="37">
        <f>dagwerk40</f>
        <v>0</v>
      </c>
      <c r="O287" s="99" t="s">
        <v>108</v>
      </c>
      <c r="P287" s="24">
        <f>uurtarief40</f>
        <v>0</v>
      </c>
      <c r="Q287" s="101" t="e">
        <f>IF(ISBLANK(M287),0,L287/ROUND(M287,4))</f>
        <v>#DIV/0!</v>
      </c>
      <c r="R287" s="101" t="e">
        <f>IF(ISBLANK(M287),0,Q287*ROUND(N287,2))</f>
        <v>#DIV/0!</v>
      </c>
      <c r="S287" s="24" t="e">
        <f>ROUND(P287,2)*Q287</f>
        <v>#DIV/0!</v>
      </c>
      <c r="T287" s="101" t="e">
        <f>Q287*dagenperjaar1</f>
        <v>#DIV/0!</v>
      </c>
      <c r="U287" s="25" t="e">
        <f>T287*ROUND(P287,2)</f>
        <v>#DIV/0!</v>
      </c>
    </row>
    <row r="288" spans="1:21" x14ac:dyDescent="0.2">
      <c r="A288" s="98" t="s">
        <v>564</v>
      </c>
      <c r="B288" s="99" t="s">
        <v>50</v>
      </c>
      <c r="C288" s="99" t="s">
        <v>345</v>
      </c>
      <c r="D288" s="99" t="s">
        <v>369</v>
      </c>
      <c r="E288" s="100" t="s">
        <v>420</v>
      </c>
      <c r="F288" s="99" t="s">
        <v>348</v>
      </c>
      <c r="G288" s="99" t="s">
        <v>270</v>
      </c>
      <c r="H288" s="99" t="s">
        <v>11</v>
      </c>
      <c r="I288" s="99" t="s">
        <v>246</v>
      </c>
      <c r="J288" s="99"/>
      <c r="K288" s="101">
        <v>2</v>
      </c>
      <c r="L288" s="101">
        <f>K288*VLOOKUP(H288,dagsoorttabel1,2,FALSE)</f>
        <v>1.7647058823529411</v>
      </c>
      <c r="M288" s="102">
        <f>prodnorm65</f>
        <v>0</v>
      </c>
      <c r="N288" s="37">
        <f>dagwerk65</f>
        <v>0</v>
      </c>
      <c r="O288" s="99" t="s">
        <v>108</v>
      </c>
      <c r="P288" s="24">
        <f>uurtarief65</f>
        <v>0</v>
      </c>
      <c r="Q288" s="101" t="e">
        <f>IF(ISBLANK(M288),0,L288/ROUND(M288,4))</f>
        <v>#DIV/0!</v>
      </c>
      <c r="R288" s="101" t="e">
        <f>IF(ISBLANK(M288),0,Q288*ROUND(N288,2))</f>
        <v>#DIV/0!</v>
      </c>
      <c r="S288" s="24" t="e">
        <f>ROUND(P288,2)*Q288</f>
        <v>#DIV/0!</v>
      </c>
      <c r="T288" s="101" t="e">
        <f>Q288*dagenperjaar1</f>
        <v>#DIV/0!</v>
      </c>
      <c r="U288" s="25" t="e">
        <f>T288*ROUND(P288,2)</f>
        <v>#DIV/0!</v>
      </c>
    </row>
    <row r="289" spans="1:21" x14ac:dyDescent="0.2">
      <c r="A289" s="98" t="s">
        <v>564</v>
      </c>
      <c r="B289" s="99" t="s">
        <v>50</v>
      </c>
      <c r="C289" s="99" t="s">
        <v>345</v>
      </c>
      <c r="D289" s="99" t="s">
        <v>371</v>
      </c>
      <c r="E289" s="100" t="s">
        <v>559</v>
      </c>
      <c r="F289" s="99" t="s">
        <v>348</v>
      </c>
      <c r="G289" s="99" t="s">
        <v>259</v>
      </c>
      <c r="H289" s="99" t="s">
        <v>11</v>
      </c>
      <c r="I289" s="99" t="s">
        <v>246</v>
      </c>
      <c r="J289" s="99"/>
      <c r="K289" s="101">
        <v>255</v>
      </c>
      <c r="L289" s="101">
        <f>K289*VLOOKUP(H289,dagsoorttabel1,2,FALSE)</f>
        <v>225</v>
      </c>
      <c r="M289" s="102">
        <f>prodnorm52</f>
        <v>0</v>
      </c>
      <c r="N289" s="37">
        <f>dagwerk52</f>
        <v>0</v>
      </c>
      <c r="O289" s="99" t="s">
        <v>108</v>
      </c>
      <c r="P289" s="24">
        <f>uurtarief52</f>
        <v>0</v>
      </c>
      <c r="Q289" s="101" t="e">
        <f>IF(ISBLANK(M289),0,L289/ROUND(M289,4))</f>
        <v>#DIV/0!</v>
      </c>
      <c r="R289" s="101" t="e">
        <f>IF(ISBLANK(M289),0,Q289*ROUND(N289,2))</f>
        <v>#DIV/0!</v>
      </c>
      <c r="S289" s="24" t="e">
        <f>ROUND(P289,2)*Q289</f>
        <v>#DIV/0!</v>
      </c>
      <c r="T289" s="101" t="e">
        <f>Q289*dagenperjaar1</f>
        <v>#DIV/0!</v>
      </c>
      <c r="U289" s="25" t="e">
        <f>T289*ROUND(P289,2)</f>
        <v>#DIV/0!</v>
      </c>
    </row>
    <row r="290" spans="1:21" x14ac:dyDescent="0.2">
      <c r="A290" s="98" t="s">
        <v>564</v>
      </c>
      <c r="B290" s="99" t="s">
        <v>50</v>
      </c>
      <c r="C290" s="99" t="s">
        <v>345</v>
      </c>
      <c r="D290" s="99" t="s">
        <v>373</v>
      </c>
      <c r="E290" s="100" t="s">
        <v>466</v>
      </c>
      <c r="F290" s="99" t="s">
        <v>348</v>
      </c>
      <c r="G290" s="99" t="s">
        <v>259</v>
      </c>
      <c r="H290" s="99" t="s">
        <v>28</v>
      </c>
      <c r="I290" s="99" t="s">
        <v>246</v>
      </c>
      <c r="J290" s="99"/>
      <c r="K290" s="101">
        <v>40</v>
      </c>
      <c r="L290" s="101">
        <f>K290*VLOOKUP(H290,dagsoorttabel1,2,FALSE)</f>
        <v>0.31372549019607843</v>
      </c>
      <c r="M290" s="102">
        <f>prodnorm53</f>
        <v>0</v>
      </c>
      <c r="N290" s="37">
        <f>dagwerk53</f>
        <v>0</v>
      </c>
      <c r="O290" s="99" t="s">
        <v>108</v>
      </c>
      <c r="P290" s="24">
        <f>uurtarief53</f>
        <v>0</v>
      </c>
      <c r="Q290" s="101" t="e">
        <f>IF(ISBLANK(M290),0,L290/ROUND(M290,4))</f>
        <v>#DIV/0!</v>
      </c>
      <c r="R290" s="101" t="e">
        <f>IF(ISBLANK(M290),0,Q290*ROUND(N290,2))</f>
        <v>#DIV/0!</v>
      </c>
      <c r="S290" s="24" t="e">
        <f>ROUND(P290,2)*Q290</f>
        <v>#DIV/0!</v>
      </c>
      <c r="T290" s="101" t="e">
        <f>Q290*dagenperjaar1</f>
        <v>#DIV/0!</v>
      </c>
      <c r="U290" s="25" t="e">
        <f>T290*ROUND(P290,2)</f>
        <v>#DIV/0!</v>
      </c>
    </row>
    <row r="291" spans="1:21" x14ac:dyDescent="0.2">
      <c r="A291" s="98" t="s">
        <v>564</v>
      </c>
      <c r="B291" s="99" t="s">
        <v>50</v>
      </c>
      <c r="C291" s="99" t="s">
        <v>345</v>
      </c>
      <c r="D291" s="99" t="s">
        <v>375</v>
      </c>
      <c r="E291" s="100" t="s">
        <v>429</v>
      </c>
      <c r="F291" s="99" t="s">
        <v>348</v>
      </c>
      <c r="G291" s="99" t="s">
        <v>277</v>
      </c>
      <c r="H291" s="99" t="s">
        <v>11</v>
      </c>
      <c r="I291" s="99" t="s">
        <v>246</v>
      </c>
      <c r="J291" s="99"/>
      <c r="K291" s="101">
        <v>17</v>
      </c>
      <c r="L291" s="101">
        <f>K291*VLOOKUP(H291,dagsoorttabel1,2,FALSE)</f>
        <v>15</v>
      </c>
      <c r="M291" s="102">
        <f>prodnorm74</f>
        <v>0</v>
      </c>
      <c r="N291" s="37">
        <f>dagwerk74</f>
        <v>0</v>
      </c>
      <c r="O291" s="99" t="s">
        <v>108</v>
      </c>
      <c r="P291" s="24">
        <f>uurtarief74</f>
        <v>0</v>
      </c>
      <c r="Q291" s="101" t="e">
        <f>IF(ISBLANK(M291),0,L291/ROUND(M291,4))</f>
        <v>#DIV/0!</v>
      </c>
      <c r="R291" s="101" t="e">
        <f>IF(ISBLANK(M291),0,Q291*ROUND(N291,2))</f>
        <v>#DIV/0!</v>
      </c>
      <c r="S291" s="24" t="e">
        <f>ROUND(P291,2)*Q291</f>
        <v>#DIV/0!</v>
      </c>
      <c r="T291" s="101" t="e">
        <f>Q291*dagenperjaar1</f>
        <v>#DIV/0!</v>
      </c>
      <c r="U291" s="25" t="e">
        <f>T291*ROUND(P291,2)</f>
        <v>#DIV/0!</v>
      </c>
    </row>
    <row r="292" spans="1:21" x14ac:dyDescent="0.2">
      <c r="A292" s="98" t="s">
        <v>564</v>
      </c>
      <c r="B292" s="99" t="s">
        <v>50</v>
      </c>
      <c r="C292" s="99" t="s">
        <v>345</v>
      </c>
      <c r="D292" s="99" t="s">
        <v>377</v>
      </c>
      <c r="E292" s="100" t="s">
        <v>420</v>
      </c>
      <c r="F292" s="99" t="s">
        <v>348</v>
      </c>
      <c r="G292" s="99" t="s">
        <v>270</v>
      </c>
      <c r="H292" s="99" t="s">
        <v>11</v>
      </c>
      <c r="I292" s="99" t="s">
        <v>246</v>
      </c>
      <c r="J292" s="99"/>
      <c r="K292" s="101">
        <v>2</v>
      </c>
      <c r="L292" s="101">
        <f>K292*VLOOKUP(H292,dagsoorttabel1,2,FALSE)</f>
        <v>1.7647058823529411</v>
      </c>
      <c r="M292" s="102">
        <f>prodnorm65</f>
        <v>0</v>
      </c>
      <c r="N292" s="37">
        <f>dagwerk65</f>
        <v>0</v>
      </c>
      <c r="O292" s="99" t="s">
        <v>108</v>
      </c>
      <c r="P292" s="24">
        <f>uurtarief65</f>
        <v>0</v>
      </c>
      <c r="Q292" s="101" t="e">
        <f>IF(ISBLANK(M292),0,L292/ROUND(M292,4))</f>
        <v>#DIV/0!</v>
      </c>
      <c r="R292" s="101" t="e">
        <f>IF(ISBLANK(M292),0,Q292*ROUND(N292,2))</f>
        <v>#DIV/0!</v>
      </c>
      <c r="S292" s="24" t="e">
        <f>ROUND(P292,2)*Q292</f>
        <v>#DIV/0!</v>
      </c>
      <c r="T292" s="101" t="e">
        <f>Q292*dagenperjaar1</f>
        <v>#DIV/0!</v>
      </c>
      <c r="U292" s="25" t="e">
        <f>T292*ROUND(P292,2)</f>
        <v>#DIV/0!</v>
      </c>
    </row>
    <row r="293" spans="1:21" x14ac:dyDescent="0.2">
      <c r="A293" s="98" t="s">
        <v>564</v>
      </c>
      <c r="B293" s="99" t="s">
        <v>50</v>
      </c>
      <c r="C293" s="99" t="s">
        <v>345</v>
      </c>
      <c r="D293" s="99" t="s">
        <v>379</v>
      </c>
      <c r="E293" s="100" t="s">
        <v>420</v>
      </c>
      <c r="F293" s="99" t="s">
        <v>348</v>
      </c>
      <c r="G293" s="99" t="s">
        <v>270</v>
      </c>
      <c r="H293" s="99" t="s">
        <v>11</v>
      </c>
      <c r="I293" s="99" t="s">
        <v>246</v>
      </c>
      <c r="J293" s="99"/>
      <c r="K293" s="101">
        <v>1.5</v>
      </c>
      <c r="L293" s="101">
        <f>K293*VLOOKUP(H293,dagsoorttabel1,2,FALSE)</f>
        <v>1.3235294117647058</v>
      </c>
      <c r="M293" s="102">
        <f>prodnorm65</f>
        <v>0</v>
      </c>
      <c r="N293" s="37">
        <f>dagwerk65</f>
        <v>0</v>
      </c>
      <c r="O293" s="99" t="s">
        <v>108</v>
      </c>
      <c r="P293" s="24">
        <f>uurtarief65</f>
        <v>0</v>
      </c>
      <c r="Q293" s="101" t="e">
        <f>IF(ISBLANK(M293),0,L293/ROUND(M293,4))</f>
        <v>#DIV/0!</v>
      </c>
      <c r="R293" s="101" t="e">
        <f>IF(ISBLANK(M293),0,Q293*ROUND(N293,2))</f>
        <v>#DIV/0!</v>
      </c>
      <c r="S293" s="24" t="e">
        <f>ROUND(P293,2)*Q293</f>
        <v>#DIV/0!</v>
      </c>
      <c r="T293" s="101" t="e">
        <f>Q293*dagenperjaar1</f>
        <v>#DIV/0!</v>
      </c>
      <c r="U293" s="25" t="e">
        <f>T293*ROUND(P293,2)</f>
        <v>#DIV/0!</v>
      </c>
    </row>
    <row r="294" spans="1:21" x14ac:dyDescent="0.2">
      <c r="A294" s="98" t="s">
        <v>564</v>
      </c>
      <c r="B294" s="99" t="s">
        <v>50</v>
      </c>
      <c r="C294" s="99" t="s">
        <v>345</v>
      </c>
      <c r="D294" s="99" t="s">
        <v>381</v>
      </c>
      <c r="E294" s="100" t="s">
        <v>420</v>
      </c>
      <c r="F294" s="99" t="s">
        <v>348</v>
      </c>
      <c r="G294" s="99" t="s">
        <v>270</v>
      </c>
      <c r="H294" s="99" t="s">
        <v>11</v>
      </c>
      <c r="I294" s="99" t="s">
        <v>246</v>
      </c>
      <c r="J294" s="99"/>
      <c r="K294" s="101">
        <v>2</v>
      </c>
      <c r="L294" s="101">
        <f>K294*VLOOKUP(H294,dagsoorttabel1,2,FALSE)</f>
        <v>1.7647058823529411</v>
      </c>
      <c r="M294" s="102">
        <f>prodnorm65</f>
        <v>0</v>
      </c>
      <c r="N294" s="37">
        <f>dagwerk65</f>
        <v>0</v>
      </c>
      <c r="O294" s="99" t="s">
        <v>108</v>
      </c>
      <c r="P294" s="24">
        <f>uurtarief65</f>
        <v>0</v>
      </c>
      <c r="Q294" s="101" t="e">
        <f>IF(ISBLANK(M294),0,L294/ROUND(M294,4))</f>
        <v>#DIV/0!</v>
      </c>
      <c r="R294" s="101" t="e">
        <f>IF(ISBLANK(M294),0,Q294*ROUND(N294,2))</f>
        <v>#DIV/0!</v>
      </c>
      <c r="S294" s="24" t="e">
        <f>ROUND(P294,2)*Q294</f>
        <v>#DIV/0!</v>
      </c>
      <c r="T294" s="101" t="e">
        <f>Q294*dagenperjaar1</f>
        <v>#DIV/0!</v>
      </c>
      <c r="U294" s="25" t="e">
        <f>T294*ROUND(P294,2)</f>
        <v>#DIV/0!</v>
      </c>
    </row>
    <row r="295" spans="1:21" x14ac:dyDescent="0.2">
      <c r="A295" s="103" t="s">
        <v>564</v>
      </c>
      <c r="B295" s="104" t="s">
        <v>50</v>
      </c>
      <c r="C295" s="104" t="s">
        <v>345</v>
      </c>
      <c r="D295" s="104" t="s">
        <v>382</v>
      </c>
      <c r="E295" s="105" t="s">
        <v>420</v>
      </c>
      <c r="F295" s="104" t="s">
        <v>348</v>
      </c>
      <c r="G295" s="104" t="s">
        <v>270</v>
      </c>
      <c r="H295" s="104" t="s">
        <v>11</v>
      </c>
      <c r="I295" s="104" t="s">
        <v>246</v>
      </c>
      <c r="J295" s="104"/>
      <c r="K295" s="106">
        <v>1.5</v>
      </c>
      <c r="L295" s="106">
        <f>K295*VLOOKUP(H295,dagsoorttabel1,2,FALSE)</f>
        <v>1.3235294117647058</v>
      </c>
      <c r="M295" s="107">
        <f>prodnorm65</f>
        <v>0</v>
      </c>
      <c r="N295" s="108">
        <f>dagwerk65</f>
        <v>0</v>
      </c>
      <c r="O295" s="104" t="s">
        <v>108</v>
      </c>
      <c r="P295" s="34">
        <f>uurtarief65</f>
        <v>0</v>
      </c>
      <c r="Q295" s="106" t="e">
        <f>IF(ISBLANK(M295),0,L295/ROUND(M295,4))</f>
        <v>#DIV/0!</v>
      </c>
      <c r="R295" s="106" t="e">
        <f>IF(ISBLANK(M295),0,Q295*ROUND(N295,2))</f>
        <v>#DIV/0!</v>
      </c>
      <c r="S295" s="34" t="e">
        <f>ROUND(P295,2)*Q295</f>
        <v>#DIV/0!</v>
      </c>
      <c r="T295" s="106" t="e">
        <f>Q295*dagenperjaar1</f>
        <v>#DIV/0!</v>
      </c>
      <c r="U295" s="35" t="e">
        <f>T295*ROUND(P295,2)</f>
        <v>#DIV/0!</v>
      </c>
    </row>
    <row r="296" spans="1:21" x14ac:dyDescent="0.2">
      <c r="A296" s="109" t="s">
        <v>403</v>
      </c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81" t="e">
        <f>IF(_xlfn.SINGLE(object11_urenjaar1)&gt;0,_xlfn.SINGLE(object11_prijsjaar1)/_xlfn.SINGLE(object11_urenjaar1),0)</f>
        <v>#DIV/0!</v>
      </c>
      <c r="Q296" s="80" t="e">
        <f>SUM(Q277:Q295)</f>
        <v>#DIV/0!</v>
      </c>
      <c r="R296" s="80" t="e">
        <f>SUM(R277:R295)</f>
        <v>#DIV/0!</v>
      </c>
      <c r="S296" s="81" t="e">
        <f>SUM(S277:S295)</f>
        <v>#DIV/0!</v>
      </c>
      <c r="T296" s="80" t="e">
        <f>SUM(T277:T295)</f>
        <v>#DIV/0!</v>
      </c>
      <c r="U296" s="82" t="e">
        <f>SUM(U277:U295)</f>
        <v>#DIV/0!</v>
      </c>
    </row>
    <row r="297" spans="1:21" x14ac:dyDescent="0.2">
      <c r="A297" s="88" t="s">
        <v>567</v>
      </c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77"/>
    </row>
    <row r="298" spans="1:21" x14ac:dyDescent="0.2">
      <c r="A298" s="90" t="s">
        <v>568</v>
      </c>
      <c r="B298" s="91" t="s">
        <v>50</v>
      </c>
      <c r="C298" s="91" t="s">
        <v>345</v>
      </c>
      <c r="D298" s="91" t="s">
        <v>346</v>
      </c>
      <c r="E298" s="92" t="s">
        <v>418</v>
      </c>
      <c r="F298" s="91" t="s">
        <v>348</v>
      </c>
      <c r="G298" s="91" t="s">
        <v>253</v>
      </c>
      <c r="H298" s="91" t="s">
        <v>11</v>
      </c>
      <c r="I298" s="91" t="s">
        <v>246</v>
      </c>
      <c r="J298" s="91"/>
      <c r="K298" s="93">
        <v>59</v>
      </c>
      <c r="L298" s="93">
        <f>K298*VLOOKUP(H298,dagsoorttabel1,2,FALSE)</f>
        <v>52.058823529411761</v>
      </c>
      <c r="M298" s="94">
        <f>prodnorm43</f>
        <v>0</v>
      </c>
      <c r="N298" s="95">
        <f>dagwerk43</f>
        <v>0</v>
      </c>
      <c r="O298" s="91" t="s">
        <v>108</v>
      </c>
      <c r="P298" s="96">
        <f>uurtarief43</f>
        <v>0</v>
      </c>
      <c r="Q298" s="93" t="e">
        <f>IF(ISBLANK(M298),0,L298/ROUND(M298,4))</f>
        <v>#DIV/0!</v>
      </c>
      <c r="R298" s="93" t="e">
        <f>IF(ISBLANK(M298),0,Q298*ROUND(N298,2))</f>
        <v>#DIV/0!</v>
      </c>
      <c r="S298" s="96" t="e">
        <f>ROUND(P298,2)*Q298</f>
        <v>#DIV/0!</v>
      </c>
      <c r="T298" s="93" t="e">
        <f>Q298*dagenperjaar1</f>
        <v>#DIV/0!</v>
      </c>
      <c r="U298" s="97" t="e">
        <f>T298*ROUND(P298,2)</f>
        <v>#DIV/0!</v>
      </c>
    </row>
    <row r="299" spans="1:21" x14ac:dyDescent="0.2">
      <c r="A299" s="98" t="s">
        <v>568</v>
      </c>
      <c r="B299" s="99" t="s">
        <v>50</v>
      </c>
      <c r="C299" s="99" t="s">
        <v>345</v>
      </c>
      <c r="D299" s="99" t="s">
        <v>349</v>
      </c>
      <c r="E299" s="100" t="s">
        <v>421</v>
      </c>
      <c r="F299" s="99" t="s">
        <v>348</v>
      </c>
      <c r="G299" s="99" t="s">
        <v>277</v>
      </c>
      <c r="H299" s="99" t="s">
        <v>11</v>
      </c>
      <c r="I299" s="99" t="s">
        <v>246</v>
      </c>
      <c r="J299" s="99"/>
      <c r="K299" s="101">
        <v>101</v>
      </c>
      <c r="L299" s="101">
        <f>K299*VLOOKUP(H299,dagsoorttabel1,2,FALSE)</f>
        <v>89.117647058823522</v>
      </c>
      <c r="M299" s="102">
        <f>prodnorm74</f>
        <v>0</v>
      </c>
      <c r="N299" s="37">
        <f>dagwerk74</f>
        <v>0</v>
      </c>
      <c r="O299" s="99" t="s">
        <v>108</v>
      </c>
      <c r="P299" s="24">
        <f>uurtarief74</f>
        <v>0</v>
      </c>
      <c r="Q299" s="101" t="e">
        <f>IF(ISBLANK(M299),0,L299/ROUND(M299,4))</f>
        <v>#DIV/0!</v>
      </c>
      <c r="R299" s="101" t="e">
        <f>IF(ISBLANK(M299),0,Q299*ROUND(N299,2))</f>
        <v>#DIV/0!</v>
      </c>
      <c r="S299" s="24" t="e">
        <f>ROUND(P299,2)*Q299</f>
        <v>#DIV/0!</v>
      </c>
      <c r="T299" s="101" t="e">
        <f>Q299*dagenperjaar1</f>
        <v>#DIV/0!</v>
      </c>
      <c r="U299" s="25" t="e">
        <f>T299*ROUND(P299,2)</f>
        <v>#DIV/0!</v>
      </c>
    </row>
    <row r="300" spans="1:21" x14ac:dyDescent="0.2">
      <c r="A300" s="98" t="s">
        <v>568</v>
      </c>
      <c r="B300" s="99" t="s">
        <v>50</v>
      </c>
      <c r="C300" s="99" t="s">
        <v>345</v>
      </c>
      <c r="D300" s="99" t="s">
        <v>353</v>
      </c>
      <c r="E300" s="100" t="s">
        <v>426</v>
      </c>
      <c r="F300" s="99" t="s">
        <v>348</v>
      </c>
      <c r="G300" s="99" t="s">
        <v>262</v>
      </c>
      <c r="H300" s="99" t="s">
        <v>11</v>
      </c>
      <c r="I300" s="99" t="s">
        <v>246</v>
      </c>
      <c r="J300" s="99"/>
      <c r="K300" s="101">
        <v>40</v>
      </c>
      <c r="L300" s="101">
        <f>K300*VLOOKUP(H300,dagsoorttabel1,2,FALSE)</f>
        <v>35.294117647058826</v>
      </c>
      <c r="M300" s="102">
        <f>prodnorm58</f>
        <v>0</v>
      </c>
      <c r="N300" s="37">
        <f>dagwerk58</f>
        <v>0</v>
      </c>
      <c r="O300" s="99" t="s">
        <v>108</v>
      </c>
      <c r="P300" s="24">
        <f>uurtarief58</f>
        <v>0</v>
      </c>
      <c r="Q300" s="101" t="e">
        <f>IF(ISBLANK(M300),0,L300/ROUND(M300,4))</f>
        <v>#DIV/0!</v>
      </c>
      <c r="R300" s="101" t="e">
        <f>IF(ISBLANK(M300),0,Q300*ROUND(N300,2))</f>
        <v>#DIV/0!</v>
      </c>
      <c r="S300" s="24" t="e">
        <f>ROUND(P300,2)*Q300</f>
        <v>#DIV/0!</v>
      </c>
      <c r="T300" s="101" t="e">
        <f>Q300*dagenperjaar1</f>
        <v>#DIV/0!</v>
      </c>
      <c r="U300" s="25" t="e">
        <f>T300*ROUND(P300,2)</f>
        <v>#DIV/0!</v>
      </c>
    </row>
    <row r="301" spans="1:21" x14ac:dyDescent="0.2">
      <c r="A301" s="98" t="s">
        <v>568</v>
      </c>
      <c r="B301" s="99" t="s">
        <v>50</v>
      </c>
      <c r="C301" s="99" t="s">
        <v>345</v>
      </c>
      <c r="D301" s="99" t="s">
        <v>355</v>
      </c>
      <c r="E301" s="100" t="s">
        <v>547</v>
      </c>
      <c r="F301" s="99" t="s">
        <v>348</v>
      </c>
      <c r="G301" s="99" t="s">
        <v>251</v>
      </c>
      <c r="H301" s="99" t="s">
        <v>11</v>
      </c>
      <c r="I301" s="99" t="s">
        <v>246</v>
      </c>
      <c r="J301" s="99"/>
      <c r="K301" s="101">
        <v>20</v>
      </c>
      <c r="L301" s="101">
        <f>K301*VLOOKUP(H301,dagsoorttabel1,2,FALSE)</f>
        <v>17.647058823529413</v>
      </c>
      <c r="M301" s="102">
        <f>prodnorm40</f>
        <v>0</v>
      </c>
      <c r="N301" s="37">
        <f>dagwerk40</f>
        <v>0</v>
      </c>
      <c r="O301" s="99" t="s">
        <v>108</v>
      </c>
      <c r="P301" s="24">
        <f>uurtarief40</f>
        <v>0</v>
      </c>
      <c r="Q301" s="101" t="e">
        <f>IF(ISBLANK(M301),0,L301/ROUND(M301,4))</f>
        <v>#DIV/0!</v>
      </c>
      <c r="R301" s="101" t="e">
        <f>IF(ISBLANK(M301),0,Q301*ROUND(N301,2))</f>
        <v>#DIV/0!</v>
      </c>
      <c r="S301" s="24" t="e">
        <f>ROUND(P301,2)*Q301</f>
        <v>#DIV/0!</v>
      </c>
      <c r="T301" s="101" t="e">
        <f>Q301*dagenperjaar1</f>
        <v>#DIV/0!</v>
      </c>
      <c r="U301" s="25" t="e">
        <f>T301*ROUND(P301,2)</f>
        <v>#DIV/0!</v>
      </c>
    </row>
    <row r="302" spans="1:21" x14ac:dyDescent="0.2">
      <c r="A302" s="98" t="s">
        <v>568</v>
      </c>
      <c r="B302" s="99" t="s">
        <v>50</v>
      </c>
      <c r="C302" s="99" t="s">
        <v>345</v>
      </c>
      <c r="D302" s="99" t="s">
        <v>357</v>
      </c>
      <c r="E302" s="100" t="s">
        <v>420</v>
      </c>
      <c r="F302" s="99" t="s">
        <v>348</v>
      </c>
      <c r="G302" s="99" t="s">
        <v>270</v>
      </c>
      <c r="H302" s="99" t="s">
        <v>11</v>
      </c>
      <c r="I302" s="99" t="s">
        <v>246</v>
      </c>
      <c r="J302" s="99"/>
      <c r="K302" s="101">
        <v>10</v>
      </c>
      <c r="L302" s="101">
        <f>K302*VLOOKUP(H302,dagsoorttabel1,2,FALSE)</f>
        <v>8.8235294117647065</v>
      </c>
      <c r="M302" s="102">
        <f>prodnorm65</f>
        <v>0</v>
      </c>
      <c r="N302" s="37">
        <f>dagwerk65</f>
        <v>0</v>
      </c>
      <c r="O302" s="99" t="s">
        <v>108</v>
      </c>
      <c r="P302" s="24">
        <f>uurtarief65</f>
        <v>0</v>
      </c>
      <c r="Q302" s="101" t="e">
        <f>IF(ISBLANK(M302),0,L302/ROUND(M302,4))</f>
        <v>#DIV/0!</v>
      </c>
      <c r="R302" s="101" t="e">
        <f>IF(ISBLANK(M302),0,Q302*ROUND(N302,2))</f>
        <v>#DIV/0!</v>
      </c>
      <c r="S302" s="24" t="e">
        <f>ROUND(P302,2)*Q302</f>
        <v>#DIV/0!</v>
      </c>
      <c r="T302" s="101" t="e">
        <f>Q302*dagenperjaar1</f>
        <v>#DIV/0!</v>
      </c>
      <c r="U302" s="25" t="e">
        <f>T302*ROUND(P302,2)</f>
        <v>#DIV/0!</v>
      </c>
    </row>
    <row r="303" spans="1:21" x14ac:dyDescent="0.2">
      <c r="A303" s="98" t="s">
        <v>568</v>
      </c>
      <c r="B303" s="99" t="s">
        <v>50</v>
      </c>
      <c r="C303" s="99" t="s">
        <v>345</v>
      </c>
      <c r="D303" s="99" t="s">
        <v>359</v>
      </c>
      <c r="E303" s="100" t="s">
        <v>426</v>
      </c>
      <c r="F303" s="99" t="s">
        <v>348</v>
      </c>
      <c r="G303" s="99" t="s">
        <v>262</v>
      </c>
      <c r="H303" s="99" t="s">
        <v>11</v>
      </c>
      <c r="I303" s="99" t="s">
        <v>246</v>
      </c>
      <c r="J303" s="99"/>
      <c r="K303" s="101">
        <v>40</v>
      </c>
      <c r="L303" s="101">
        <f>K303*VLOOKUP(H303,dagsoorttabel1,2,FALSE)</f>
        <v>35.294117647058826</v>
      </c>
      <c r="M303" s="102">
        <f>prodnorm58</f>
        <v>0</v>
      </c>
      <c r="N303" s="37">
        <f>dagwerk58</f>
        <v>0</v>
      </c>
      <c r="O303" s="99" t="s">
        <v>108</v>
      </c>
      <c r="P303" s="24">
        <f>uurtarief58</f>
        <v>0</v>
      </c>
      <c r="Q303" s="101" t="e">
        <f>IF(ISBLANK(M303),0,L303/ROUND(M303,4))</f>
        <v>#DIV/0!</v>
      </c>
      <c r="R303" s="101" t="e">
        <f>IF(ISBLANK(M303),0,Q303*ROUND(N303,2))</f>
        <v>#DIV/0!</v>
      </c>
      <c r="S303" s="24" t="e">
        <f>ROUND(P303,2)*Q303</f>
        <v>#DIV/0!</v>
      </c>
      <c r="T303" s="101" t="e">
        <f>Q303*dagenperjaar1</f>
        <v>#DIV/0!</v>
      </c>
      <c r="U303" s="25" t="e">
        <f>T303*ROUND(P303,2)</f>
        <v>#DIV/0!</v>
      </c>
    </row>
    <row r="304" spans="1:21" x14ac:dyDescent="0.2">
      <c r="A304" s="98" t="s">
        <v>568</v>
      </c>
      <c r="B304" s="99" t="s">
        <v>50</v>
      </c>
      <c r="C304" s="99" t="s">
        <v>345</v>
      </c>
      <c r="D304" s="99" t="s">
        <v>361</v>
      </c>
      <c r="E304" s="100" t="s">
        <v>547</v>
      </c>
      <c r="F304" s="99" t="s">
        <v>348</v>
      </c>
      <c r="G304" s="99" t="s">
        <v>251</v>
      </c>
      <c r="H304" s="99" t="s">
        <v>11</v>
      </c>
      <c r="I304" s="99" t="s">
        <v>246</v>
      </c>
      <c r="J304" s="99"/>
      <c r="K304" s="101">
        <v>20</v>
      </c>
      <c r="L304" s="101">
        <f>K304*VLOOKUP(H304,dagsoorttabel1,2,FALSE)</f>
        <v>17.647058823529413</v>
      </c>
      <c r="M304" s="102">
        <f>prodnorm40</f>
        <v>0</v>
      </c>
      <c r="N304" s="37">
        <f>dagwerk40</f>
        <v>0</v>
      </c>
      <c r="O304" s="99" t="s">
        <v>108</v>
      </c>
      <c r="P304" s="24">
        <f>uurtarief40</f>
        <v>0</v>
      </c>
      <c r="Q304" s="101" t="e">
        <f>IF(ISBLANK(M304),0,L304/ROUND(M304,4))</f>
        <v>#DIV/0!</v>
      </c>
      <c r="R304" s="101" t="e">
        <f>IF(ISBLANK(M304),0,Q304*ROUND(N304,2))</f>
        <v>#DIV/0!</v>
      </c>
      <c r="S304" s="24" t="e">
        <f>ROUND(P304,2)*Q304</f>
        <v>#DIV/0!</v>
      </c>
      <c r="T304" s="101" t="e">
        <f>Q304*dagenperjaar1</f>
        <v>#DIV/0!</v>
      </c>
      <c r="U304" s="25" t="e">
        <f>T304*ROUND(P304,2)</f>
        <v>#DIV/0!</v>
      </c>
    </row>
    <row r="305" spans="1:21" x14ac:dyDescent="0.2">
      <c r="A305" s="98" t="s">
        <v>568</v>
      </c>
      <c r="B305" s="99" t="s">
        <v>50</v>
      </c>
      <c r="C305" s="99" t="s">
        <v>345</v>
      </c>
      <c r="D305" s="99" t="s">
        <v>363</v>
      </c>
      <c r="E305" s="100" t="s">
        <v>420</v>
      </c>
      <c r="F305" s="99" t="s">
        <v>348</v>
      </c>
      <c r="G305" s="99" t="s">
        <v>270</v>
      </c>
      <c r="H305" s="99" t="s">
        <v>11</v>
      </c>
      <c r="I305" s="99" t="s">
        <v>246</v>
      </c>
      <c r="J305" s="99"/>
      <c r="K305" s="101">
        <v>10</v>
      </c>
      <c r="L305" s="101">
        <f>K305*VLOOKUP(H305,dagsoorttabel1,2,FALSE)</f>
        <v>8.8235294117647065</v>
      </c>
      <c r="M305" s="102">
        <f>prodnorm65</f>
        <v>0</v>
      </c>
      <c r="N305" s="37">
        <f>dagwerk65</f>
        <v>0</v>
      </c>
      <c r="O305" s="99" t="s">
        <v>108</v>
      </c>
      <c r="P305" s="24">
        <f>uurtarief65</f>
        <v>0</v>
      </c>
      <c r="Q305" s="101" t="e">
        <f>IF(ISBLANK(M305),0,L305/ROUND(M305,4))</f>
        <v>#DIV/0!</v>
      </c>
      <c r="R305" s="101" t="e">
        <f>IF(ISBLANK(M305),0,Q305*ROUND(N305,2))</f>
        <v>#DIV/0!</v>
      </c>
      <c r="S305" s="24" t="e">
        <f>ROUND(P305,2)*Q305</f>
        <v>#DIV/0!</v>
      </c>
      <c r="T305" s="101" t="e">
        <f>Q305*dagenperjaar1</f>
        <v>#DIV/0!</v>
      </c>
      <c r="U305" s="25" t="e">
        <f>T305*ROUND(P305,2)</f>
        <v>#DIV/0!</v>
      </c>
    </row>
    <row r="306" spans="1:21" x14ac:dyDescent="0.2">
      <c r="A306" s="98" t="s">
        <v>568</v>
      </c>
      <c r="B306" s="99" t="s">
        <v>50</v>
      </c>
      <c r="C306" s="99" t="s">
        <v>345</v>
      </c>
      <c r="D306" s="99" t="s">
        <v>365</v>
      </c>
      <c r="E306" s="100" t="s">
        <v>559</v>
      </c>
      <c r="F306" s="99" t="s">
        <v>348</v>
      </c>
      <c r="G306" s="99" t="s">
        <v>259</v>
      </c>
      <c r="H306" s="99" t="s">
        <v>11</v>
      </c>
      <c r="I306" s="99" t="s">
        <v>246</v>
      </c>
      <c r="J306" s="99"/>
      <c r="K306" s="101">
        <v>325</v>
      </c>
      <c r="L306" s="101">
        <f>K306*VLOOKUP(H306,dagsoorttabel1,2,FALSE)</f>
        <v>286.76470588235293</v>
      </c>
      <c r="M306" s="102">
        <f>prodnorm52</f>
        <v>0</v>
      </c>
      <c r="N306" s="37">
        <f>dagwerk52</f>
        <v>0</v>
      </c>
      <c r="O306" s="99" t="s">
        <v>108</v>
      </c>
      <c r="P306" s="24">
        <f>uurtarief52</f>
        <v>0</v>
      </c>
      <c r="Q306" s="101" t="e">
        <f>IF(ISBLANK(M306),0,L306/ROUND(M306,4))</f>
        <v>#DIV/0!</v>
      </c>
      <c r="R306" s="101" t="e">
        <f>IF(ISBLANK(M306),0,Q306*ROUND(N306,2))</f>
        <v>#DIV/0!</v>
      </c>
      <c r="S306" s="24" t="e">
        <f>ROUND(P306,2)*Q306</f>
        <v>#DIV/0!</v>
      </c>
      <c r="T306" s="101" t="e">
        <f>Q306*dagenperjaar1</f>
        <v>#DIV/0!</v>
      </c>
      <c r="U306" s="25" t="e">
        <f>T306*ROUND(P306,2)</f>
        <v>#DIV/0!</v>
      </c>
    </row>
    <row r="307" spans="1:21" x14ac:dyDescent="0.2">
      <c r="A307" s="103" t="s">
        <v>568</v>
      </c>
      <c r="B307" s="104" t="s">
        <v>50</v>
      </c>
      <c r="C307" s="104" t="s">
        <v>345</v>
      </c>
      <c r="D307" s="104" t="s">
        <v>367</v>
      </c>
      <c r="E307" s="105" t="s">
        <v>466</v>
      </c>
      <c r="F307" s="104" t="s">
        <v>348</v>
      </c>
      <c r="G307" s="104" t="s">
        <v>259</v>
      </c>
      <c r="H307" s="104" t="s">
        <v>28</v>
      </c>
      <c r="I307" s="104" t="s">
        <v>246</v>
      </c>
      <c r="J307" s="104"/>
      <c r="K307" s="106">
        <v>30</v>
      </c>
      <c r="L307" s="106">
        <f>K307*VLOOKUP(H307,dagsoorttabel1,2,FALSE)</f>
        <v>0.23529411764705882</v>
      </c>
      <c r="M307" s="107">
        <f>prodnorm53</f>
        <v>0</v>
      </c>
      <c r="N307" s="108">
        <f>dagwerk53</f>
        <v>0</v>
      </c>
      <c r="O307" s="104" t="s">
        <v>108</v>
      </c>
      <c r="P307" s="34">
        <f>uurtarief53</f>
        <v>0</v>
      </c>
      <c r="Q307" s="106" t="e">
        <f>IF(ISBLANK(M307),0,L307/ROUND(M307,4))</f>
        <v>#DIV/0!</v>
      </c>
      <c r="R307" s="106" t="e">
        <f>IF(ISBLANK(M307),0,Q307*ROUND(N307,2))</f>
        <v>#DIV/0!</v>
      </c>
      <c r="S307" s="34" t="e">
        <f>ROUND(P307,2)*Q307</f>
        <v>#DIV/0!</v>
      </c>
      <c r="T307" s="106" t="e">
        <f>Q307*dagenperjaar1</f>
        <v>#DIV/0!</v>
      </c>
      <c r="U307" s="35" t="e">
        <f>T307*ROUND(P307,2)</f>
        <v>#DIV/0!</v>
      </c>
    </row>
    <row r="308" spans="1:21" x14ac:dyDescent="0.2">
      <c r="A308" s="109" t="s">
        <v>403</v>
      </c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81" t="e">
        <f>IF(_xlfn.SINGLE(object12_urenjaar1)&gt;0,_xlfn.SINGLE(object12_prijsjaar1)/_xlfn.SINGLE(object12_urenjaar1),0)</f>
        <v>#DIV/0!</v>
      </c>
      <c r="Q308" s="80" t="e">
        <f>SUM(Q298:Q307)</f>
        <v>#DIV/0!</v>
      </c>
      <c r="R308" s="80" t="e">
        <f>SUM(R298:R307)</f>
        <v>#DIV/0!</v>
      </c>
      <c r="S308" s="81" t="e">
        <f>SUM(S298:S307)</f>
        <v>#DIV/0!</v>
      </c>
      <c r="T308" s="80" t="e">
        <f>SUM(T298:T307)</f>
        <v>#DIV/0!</v>
      </c>
      <c r="U308" s="82" t="e">
        <f>SUM(U298:U307)</f>
        <v>#DIV/0!</v>
      </c>
    </row>
    <row r="309" spans="1:21" x14ac:dyDescent="0.2">
      <c r="A309" s="88" t="s">
        <v>569</v>
      </c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77"/>
    </row>
    <row r="310" spans="1:21" x14ac:dyDescent="0.2">
      <c r="A310" s="90" t="s">
        <v>570</v>
      </c>
      <c r="B310" s="91" t="s">
        <v>50</v>
      </c>
      <c r="C310" s="91" t="s">
        <v>345</v>
      </c>
      <c r="D310" s="91" t="s">
        <v>346</v>
      </c>
      <c r="E310" s="92" t="s">
        <v>418</v>
      </c>
      <c r="F310" s="91" t="s">
        <v>348</v>
      </c>
      <c r="G310" s="91" t="s">
        <v>253</v>
      </c>
      <c r="H310" s="91" t="s">
        <v>11</v>
      </c>
      <c r="I310" s="91" t="s">
        <v>246</v>
      </c>
      <c r="J310" s="91"/>
      <c r="K310" s="93">
        <v>7</v>
      </c>
      <c r="L310" s="93">
        <f>K310*VLOOKUP(H310,dagsoorttabel1,2,FALSE)</f>
        <v>6.1764705882352935</v>
      </c>
      <c r="M310" s="94">
        <f>prodnorm43</f>
        <v>0</v>
      </c>
      <c r="N310" s="95">
        <f>dagwerk43</f>
        <v>0</v>
      </c>
      <c r="O310" s="91" t="s">
        <v>108</v>
      </c>
      <c r="P310" s="96">
        <f>uurtarief43</f>
        <v>0</v>
      </c>
      <c r="Q310" s="93" t="e">
        <f>IF(ISBLANK(M310),0,L310/ROUND(M310,4))</f>
        <v>#DIV/0!</v>
      </c>
      <c r="R310" s="93" t="e">
        <f>IF(ISBLANK(M310),0,Q310*ROUND(N310,2))</f>
        <v>#DIV/0!</v>
      </c>
      <c r="S310" s="96" t="e">
        <f>ROUND(P310,2)*Q310</f>
        <v>#DIV/0!</v>
      </c>
      <c r="T310" s="93" t="e">
        <f>Q310*dagenperjaar1</f>
        <v>#DIV/0!</v>
      </c>
      <c r="U310" s="97" t="e">
        <f>T310*ROUND(P310,2)</f>
        <v>#DIV/0!</v>
      </c>
    </row>
    <row r="311" spans="1:21" x14ac:dyDescent="0.2">
      <c r="A311" s="98" t="s">
        <v>570</v>
      </c>
      <c r="B311" s="99" t="s">
        <v>50</v>
      </c>
      <c r="C311" s="99" t="s">
        <v>345</v>
      </c>
      <c r="D311" s="99" t="s">
        <v>349</v>
      </c>
      <c r="E311" s="100" t="s">
        <v>420</v>
      </c>
      <c r="F311" s="99" t="s">
        <v>348</v>
      </c>
      <c r="G311" s="99" t="s">
        <v>270</v>
      </c>
      <c r="H311" s="99" t="s">
        <v>11</v>
      </c>
      <c r="I311" s="99" t="s">
        <v>246</v>
      </c>
      <c r="J311" s="99"/>
      <c r="K311" s="101">
        <v>2</v>
      </c>
      <c r="L311" s="101">
        <f>K311*VLOOKUP(H311,dagsoorttabel1,2,FALSE)</f>
        <v>1.7647058823529411</v>
      </c>
      <c r="M311" s="102">
        <f>prodnorm65</f>
        <v>0</v>
      </c>
      <c r="N311" s="37">
        <f>dagwerk65</f>
        <v>0</v>
      </c>
      <c r="O311" s="99" t="s">
        <v>108</v>
      </c>
      <c r="P311" s="24">
        <f>uurtarief65</f>
        <v>0</v>
      </c>
      <c r="Q311" s="101" t="e">
        <f>IF(ISBLANK(M311),0,L311/ROUND(M311,4))</f>
        <v>#DIV/0!</v>
      </c>
      <c r="R311" s="101" t="e">
        <f>IF(ISBLANK(M311),0,Q311*ROUND(N311,2))</f>
        <v>#DIV/0!</v>
      </c>
      <c r="S311" s="24" t="e">
        <f>ROUND(P311,2)*Q311</f>
        <v>#DIV/0!</v>
      </c>
      <c r="T311" s="101" t="e">
        <f>Q311*dagenperjaar1</f>
        <v>#DIV/0!</v>
      </c>
      <c r="U311" s="25" t="e">
        <f>T311*ROUND(P311,2)</f>
        <v>#DIV/0!</v>
      </c>
    </row>
    <row r="312" spans="1:21" x14ac:dyDescent="0.2">
      <c r="A312" s="98" t="s">
        <v>570</v>
      </c>
      <c r="B312" s="99" t="s">
        <v>50</v>
      </c>
      <c r="C312" s="99" t="s">
        <v>345</v>
      </c>
      <c r="D312" s="99" t="s">
        <v>351</v>
      </c>
      <c r="E312" s="100" t="s">
        <v>420</v>
      </c>
      <c r="F312" s="99" t="s">
        <v>348</v>
      </c>
      <c r="G312" s="99" t="s">
        <v>270</v>
      </c>
      <c r="H312" s="99" t="s">
        <v>11</v>
      </c>
      <c r="I312" s="99" t="s">
        <v>246</v>
      </c>
      <c r="J312" s="99"/>
      <c r="K312" s="101">
        <v>2</v>
      </c>
      <c r="L312" s="101">
        <f>K312*VLOOKUP(H312,dagsoorttabel1,2,FALSE)</f>
        <v>1.7647058823529411</v>
      </c>
      <c r="M312" s="102">
        <f>prodnorm65</f>
        <v>0</v>
      </c>
      <c r="N312" s="37">
        <f>dagwerk65</f>
        <v>0</v>
      </c>
      <c r="O312" s="99" t="s">
        <v>108</v>
      </c>
      <c r="P312" s="24">
        <f>uurtarief65</f>
        <v>0</v>
      </c>
      <c r="Q312" s="101" t="e">
        <f>IF(ISBLANK(M312),0,L312/ROUND(M312,4))</f>
        <v>#DIV/0!</v>
      </c>
      <c r="R312" s="101" t="e">
        <f>IF(ISBLANK(M312),0,Q312*ROUND(N312,2))</f>
        <v>#DIV/0!</v>
      </c>
      <c r="S312" s="24" t="e">
        <f>ROUND(P312,2)*Q312</f>
        <v>#DIV/0!</v>
      </c>
      <c r="T312" s="101" t="e">
        <f>Q312*dagenperjaar1</f>
        <v>#DIV/0!</v>
      </c>
      <c r="U312" s="25" t="e">
        <f>T312*ROUND(P312,2)</f>
        <v>#DIV/0!</v>
      </c>
    </row>
    <row r="313" spans="1:21" x14ac:dyDescent="0.2">
      <c r="A313" s="98" t="s">
        <v>570</v>
      </c>
      <c r="B313" s="99" t="s">
        <v>50</v>
      </c>
      <c r="C313" s="99" t="s">
        <v>345</v>
      </c>
      <c r="D313" s="99" t="s">
        <v>353</v>
      </c>
      <c r="E313" s="100" t="s">
        <v>426</v>
      </c>
      <c r="F313" s="99" t="s">
        <v>348</v>
      </c>
      <c r="G313" s="99" t="s">
        <v>262</v>
      </c>
      <c r="H313" s="99" t="s">
        <v>11</v>
      </c>
      <c r="I313" s="99" t="s">
        <v>246</v>
      </c>
      <c r="J313" s="99"/>
      <c r="K313" s="101">
        <v>15</v>
      </c>
      <c r="L313" s="101">
        <f>K313*VLOOKUP(H313,dagsoorttabel1,2,FALSE)</f>
        <v>13.235294117647058</v>
      </c>
      <c r="M313" s="102">
        <f>prodnorm58</f>
        <v>0</v>
      </c>
      <c r="N313" s="37">
        <f>dagwerk58</f>
        <v>0</v>
      </c>
      <c r="O313" s="99" t="s">
        <v>108</v>
      </c>
      <c r="P313" s="24">
        <f>uurtarief58</f>
        <v>0</v>
      </c>
      <c r="Q313" s="101" t="e">
        <f>IF(ISBLANK(M313),0,L313/ROUND(M313,4))</f>
        <v>#DIV/0!</v>
      </c>
      <c r="R313" s="101" t="e">
        <f>IF(ISBLANK(M313),0,Q313*ROUND(N313,2))</f>
        <v>#DIV/0!</v>
      </c>
      <c r="S313" s="24" t="e">
        <f>ROUND(P313,2)*Q313</f>
        <v>#DIV/0!</v>
      </c>
      <c r="T313" s="101" t="e">
        <f>Q313*dagenperjaar1</f>
        <v>#DIV/0!</v>
      </c>
      <c r="U313" s="25" t="e">
        <f>T313*ROUND(P313,2)</f>
        <v>#DIV/0!</v>
      </c>
    </row>
    <row r="314" spans="1:21" x14ac:dyDescent="0.2">
      <c r="A314" s="98" t="s">
        <v>570</v>
      </c>
      <c r="B314" s="99" t="s">
        <v>50</v>
      </c>
      <c r="C314" s="99" t="s">
        <v>345</v>
      </c>
      <c r="D314" s="99" t="s">
        <v>355</v>
      </c>
      <c r="E314" s="100" t="s">
        <v>547</v>
      </c>
      <c r="F314" s="99" t="s">
        <v>348</v>
      </c>
      <c r="G314" s="99" t="s">
        <v>251</v>
      </c>
      <c r="H314" s="99" t="s">
        <v>11</v>
      </c>
      <c r="I314" s="99" t="s">
        <v>246</v>
      </c>
      <c r="J314" s="99"/>
      <c r="K314" s="101">
        <v>5</v>
      </c>
      <c r="L314" s="101">
        <f>K314*VLOOKUP(H314,dagsoorttabel1,2,FALSE)</f>
        <v>4.4117647058823533</v>
      </c>
      <c r="M314" s="102">
        <f>prodnorm40</f>
        <v>0</v>
      </c>
      <c r="N314" s="37">
        <f>dagwerk40</f>
        <v>0</v>
      </c>
      <c r="O314" s="99" t="s">
        <v>108</v>
      </c>
      <c r="P314" s="24">
        <f>uurtarief40</f>
        <v>0</v>
      </c>
      <c r="Q314" s="101" t="e">
        <f>IF(ISBLANK(M314),0,L314/ROUND(M314,4))</f>
        <v>#DIV/0!</v>
      </c>
      <c r="R314" s="101" t="e">
        <f>IF(ISBLANK(M314),0,Q314*ROUND(N314,2))</f>
        <v>#DIV/0!</v>
      </c>
      <c r="S314" s="24" t="e">
        <f>ROUND(P314,2)*Q314</f>
        <v>#DIV/0!</v>
      </c>
      <c r="T314" s="101" t="e">
        <f>Q314*dagenperjaar1</f>
        <v>#DIV/0!</v>
      </c>
      <c r="U314" s="25" t="e">
        <f>T314*ROUND(P314,2)</f>
        <v>#DIV/0!</v>
      </c>
    </row>
    <row r="315" spans="1:21" x14ac:dyDescent="0.2">
      <c r="A315" s="98" t="s">
        <v>570</v>
      </c>
      <c r="B315" s="99" t="s">
        <v>50</v>
      </c>
      <c r="C315" s="99" t="s">
        <v>345</v>
      </c>
      <c r="D315" s="99" t="s">
        <v>357</v>
      </c>
      <c r="E315" s="100" t="s">
        <v>426</v>
      </c>
      <c r="F315" s="99" t="s">
        <v>348</v>
      </c>
      <c r="G315" s="99" t="s">
        <v>262</v>
      </c>
      <c r="H315" s="99" t="s">
        <v>11</v>
      </c>
      <c r="I315" s="99" t="s">
        <v>246</v>
      </c>
      <c r="J315" s="99"/>
      <c r="K315" s="101">
        <v>15</v>
      </c>
      <c r="L315" s="101">
        <f>K315*VLOOKUP(H315,dagsoorttabel1,2,FALSE)</f>
        <v>13.235294117647058</v>
      </c>
      <c r="M315" s="102">
        <f>prodnorm58</f>
        <v>0</v>
      </c>
      <c r="N315" s="37">
        <f>dagwerk58</f>
        <v>0</v>
      </c>
      <c r="O315" s="99" t="s">
        <v>108</v>
      </c>
      <c r="P315" s="24">
        <f>uurtarief58</f>
        <v>0</v>
      </c>
      <c r="Q315" s="101" t="e">
        <f>IF(ISBLANK(M315),0,L315/ROUND(M315,4))</f>
        <v>#DIV/0!</v>
      </c>
      <c r="R315" s="101" t="e">
        <f>IF(ISBLANK(M315),0,Q315*ROUND(N315,2))</f>
        <v>#DIV/0!</v>
      </c>
      <c r="S315" s="24" t="e">
        <f>ROUND(P315,2)*Q315</f>
        <v>#DIV/0!</v>
      </c>
      <c r="T315" s="101" t="e">
        <f>Q315*dagenperjaar1</f>
        <v>#DIV/0!</v>
      </c>
      <c r="U315" s="25" t="e">
        <f>T315*ROUND(P315,2)</f>
        <v>#DIV/0!</v>
      </c>
    </row>
    <row r="316" spans="1:21" x14ac:dyDescent="0.2">
      <c r="A316" s="98" t="s">
        <v>570</v>
      </c>
      <c r="B316" s="99" t="s">
        <v>50</v>
      </c>
      <c r="C316" s="99" t="s">
        <v>345</v>
      </c>
      <c r="D316" s="99" t="s">
        <v>359</v>
      </c>
      <c r="E316" s="100" t="s">
        <v>547</v>
      </c>
      <c r="F316" s="99" t="s">
        <v>348</v>
      </c>
      <c r="G316" s="99" t="s">
        <v>251</v>
      </c>
      <c r="H316" s="99" t="s">
        <v>11</v>
      </c>
      <c r="I316" s="99" t="s">
        <v>246</v>
      </c>
      <c r="J316" s="99"/>
      <c r="K316" s="101">
        <v>5</v>
      </c>
      <c r="L316" s="101">
        <f>K316*VLOOKUP(H316,dagsoorttabel1,2,FALSE)</f>
        <v>4.4117647058823533</v>
      </c>
      <c r="M316" s="102">
        <f>prodnorm40</f>
        <v>0</v>
      </c>
      <c r="N316" s="37">
        <f>dagwerk40</f>
        <v>0</v>
      </c>
      <c r="O316" s="99" t="s">
        <v>108</v>
      </c>
      <c r="P316" s="24">
        <f>uurtarief40</f>
        <v>0</v>
      </c>
      <c r="Q316" s="101" t="e">
        <f>IF(ISBLANK(M316),0,L316/ROUND(M316,4))</f>
        <v>#DIV/0!</v>
      </c>
      <c r="R316" s="101" t="e">
        <f>IF(ISBLANK(M316),0,Q316*ROUND(N316,2))</f>
        <v>#DIV/0!</v>
      </c>
      <c r="S316" s="24" t="e">
        <f>ROUND(P316,2)*Q316</f>
        <v>#DIV/0!</v>
      </c>
      <c r="T316" s="101" t="e">
        <f>Q316*dagenperjaar1</f>
        <v>#DIV/0!</v>
      </c>
      <c r="U316" s="25" t="e">
        <f>T316*ROUND(P316,2)</f>
        <v>#DIV/0!</v>
      </c>
    </row>
    <row r="317" spans="1:21" x14ac:dyDescent="0.2">
      <c r="A317" s="98" t="s">
        <v>570</v>
      </c>
      <c r="B317" s="99" t="s">
        <v>50</v>
      </c>
      <c r="C317" s="99" t="s">
        <v>345</v>
      </c>
      <c r="D317" s="99" t="s">
        <v>361</v>
      </c>
      <c r="E317" s="100" t="s">
        <v>420</v>
      </c>
      <c r="F317" s="99" t="s">
        <v>348</v>
      </c>
      <c r="G317" s="99" t="s">
        <v>270</v>
      </c>
      <c r="H317" s="99" t="s">
        <v>11</v>
      </c>
      <c r="I317" s="99" t="s">
        <v>246</v>
      </c>
      <c r="J317" s="99"/>
      <c r="K317" s="101">
        <v>2</v>
      </c>
      <c r="L317" s="101">
        <f>K317*VLOOKUP(H317,dagsoorttabel1,2,FALSE)</f>
        <v>1.7647058823529411</v>
      </c>
      <c r="M317" s="102">
        <f>prodnorm65</f>
        <v>0</v>
      </c>
      <c r="N317" s="37">
        <f>dagwerk65</f>
        <v>0</v>
      </c>
      <c r="O317" s="99" t="s">
        <v>108</v>
      </c>
      <c r="P317" s="24">
        <f>uurtarief65</f>
        <v>0</v>
      </c>
      <c r="Q317" s="101" t="e">
        <f>IF(ISBLANK(M317),0,L317/ROUND(M317,4))</f>
        <v>#DIV/0!</v>
      </c>
      <c r="R317" s="101" t="e">
        <f>IF(ISBLANK(M317),0,Q317*ROUND(N317,2))</f>
        <v>#DIV/0!</v>
      </c>
      <c r="S317" s="24" t="e">
        <f>ROUND(P317,2)*Q317</f>
        <v>#DIV/0!</v>
      </c>
      <c r="T317" s="101" t="e">
        <f>Q317*dagenperjaar1</f>
        <v>#DIV/0!</v>
      </c>
      <c r="U317" s="25" t="e">
        <f>T317*ROUND(P317,2)</f>
        <v>#DIV/0!</v>
      </c>
    </row>
    <row r="318" spans="1:21" x14ac:dyDescent="0.2">
      <c r="A318" s="98" t="s">
        <v>570</v>
      </c>
      <c r="B318" s="99" t="s">
        <v>50</v>
      </c>
      <c r="C318" s="99" t="s">
        <v>345</v>
      </c>
      <c r="D318" s="99" t="s">
        <v>363</v>
      </c>
      <c r="E318" s="100" t="s">
        <v>420</v>
      </c>
      <c r="F318" s="99" t="s">
        <v>348</v>
      </c>
      <c r="G318" s="99" t="s">
        <v>270</v>
      </c>
      <c r="H318" s="99" t="s">
        <v>11</v>
      </c>
      <c r="I318" s="99" t="s">
        <v>246</v>
      </c>
      <c r="J318" s="99"/>
      <c r="K318" s="101">
        <v>2</v>
      </c>
      <c r="L318" s="101">
        <f>K318*VLOOKUP(H318,dagsoorttabel1,2,FALSE)</f>
        <v>1.7647058823529411</v>
      </c>
      <c r="M318" s="102">
        <f>prodnorm65</f>
        <v>0</v>
      </c>
      <c r="N318" s="37">
        <f>dagwerk65</f>
        <v>0</v>
      </c>
      <c r="O318" s="99" t="s">
        <v>108</v>
      </c>
      <c r="P318" s="24">
        <f>uurtarief65</f>
        <v>0</v>
      </c>
      <c r="Q318" s="101" t="e">
        <f>IF(ISBLANK(M318),0,L318/ROUND(M318,4))</f>
        <v>#DIV/0!</v>
      </c>
      <c r="R318" s="101" t="e">
        <f>IF(ISBLANK(M318),0,Q318*ROUND(N318,2))</f>
        <v>#DIV/0!</v>
      </c>
      <c r="S318" s="24" t="e">
        <f>ROUND(P318,2)*Q318</f>
        <v>#DIV/0!</v>
      </c>
      <c r="T318" s="101" t="e">
        <f>Q318*dagenperjaar1</f>
        <v>#DIV/0!</v>
      </c>
      <c r="U318" s="25" t="e">
        <f>T318*ROUND(P318,2)</f>
        <v>#DIV/0!</v>
      </c>
    </row>
    <row r="319" spans="1:21" x14ac:dyDescent="0.2">
      <c r="A319" s="98" t="s">
        <v>570</v>
      </c>
      <c r="B319" s="99" t="s">
        <v>50</v>
      </c>
      <c r="C319" s="99" t="s">
        <v>345</v>
      </c>
      <c r="D319" s="99" t="s">
        <v>365</v>
      </c>
      <c r="E319" s="100" t="s">
        <v>559</v>
      </c>
      <c r="F319" s="99" t="s">
        <v>348</v>
      </c>
      <c r="G319" s="99" t="s">
        <v>259</v>
      </c>
      <c r="H319" s="99" t="s">
        <v>11</v>
      </c>
      <c r="I319" s="99" t="s">
        <v>246</v>
      </c>
      <c r="J319" s="99"/>
      <c r="K319" s="101">
        <v>173</v>
      </c>
      <c r="L319" s="101">
        <f>K319*VLOOKUP(H319,dagsoorttabel1,2,FALSE)</f>
        <v>152.64705882352942</v>
      </c>
      <c r="M319" s="102">
        <f>prodnorm52</f>
        <v>0</v>
      </c>
      <c r="N319" s="37">
        <f>dagwerk52</f>
        <v>0</v>
      </c>
      <c r="O319" s="99" t="s">
        <v>108</v>
      </c>
      <c r="P319" s="24">
        <f>uurtarief52</f>
        <v>0</v>
      </c>
      <c r="Q319" s="101" t="e">
        <f>IF(ISBLANK(M319),0,L319/ROUND(M319,4))</f>
        <v>#DIV/0!</v>
      </c>
      <c r="R319" s="101" t="e">
        <f>IF(ISBLANK(M319),0,Q319*ROUND(N319,2))</f>
        <v>#DIV/0!</v>
      </c>
      <c r="S319" s="24" t="e">
        <f>ROUND(P319,2)*Q319</f>
        <v>#DIV/0!</v>
      </c>
      <c r="T319" s="101" t="e">
        <f>Q319*dagenperjaar1</f>
        <v>#DIV/0!</v>
      </c>
      <c r="U319" s="25" t="e">
        <f>T319*ROUND(P319,2)</f>
        <v>#DIV/0!</v>
      </c>
    </row>
    <row r="320" spans="1:21" x14ac:dyDescent="0.2">
      <c r="A320" s="103" t="s">
        <v>570</v>
      </c>
      <c r="B320" s="104" t="s">
        <v>50</v>
      </c>
      <c r="C320" s="104" t="s">
        <v>345</v>
      </c>
      <c r="D320" s="104" t="s">
        <v>367</v>
      </c>
      <c r="E320" s="105" t="s">
        <v>466</v>
      </c>
      <c r="F320" s="104" t="s">
        <v>348</v>
      </c>
      <c r="G320" s="104" t="s">
        <v>259</v>
      </c>
      <c r="H320" s="104" t="s">
        <v>28</v>
      </c>
      <c r="I320" s="104" t="s">
        <v>246</v>
      </c>
      <c r="J320" s="104"/>
      <c r="K320" s="106">
        <v>50</v>
      </c>
      <c r="L320" s="106">
        <f>K320*VLOOKUP(H320,dagsoorttabel1,2,FALSE)</f>
        <v>0.39215686274509803</v>
      </c>
      <c r="M320" s="107">
        <f>prodnorm53</f>
        <v>0</v>
      </c>
      <c r="N320" s="108">
        <f>dagwerk53</f>
        <v>0</v>
      </c>
      <c r="O320" s="104" t="s">
        <v>108</v>
      </c>
      <c r="P320" s="34">
        <f>uurtarief53</f>
        <v>0</v>
      </c>
      <c r="Q320" s="106" t="e">
        <f>IF(ISBLANK(M320),0,L320/ROUND(M320,4))</f>
        <v>#DIV/0!</v>
      </c>
      <c r="R320" s="106" t="e">
        <f>IF(ISBLANK(M320),0,Q320*ROUND(N320,2))</f>
        <v>#DIV/0!</v>
      </c>
      <c r="S320" s="34" t="e">
        <f>ROUND(P320,2)*Q320</f>
        <v>#DIV/0!</v>
      </c>
      <c r="T320" s="106" t="e">
        <f>Q320*dagenperjaar1</f>
        <v>#DIV/0!</v>
      </c>
      <c r="U320" s="35" t="e">
        <f>T320*ROUND(P320,2)</f>
        <v>#DIV/0!</v>
      </c>
    </row>
    <row r="321" spans="1:21" x14ac:dyDescent="0.2">
      <c r="A321" s="109" t="s">
        <v>403</v>
      </c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81" t="e">
        <f>IF(_xlfn.SINGLE(object13_urenjaar1)&gt;0,_xlfn.SINGLE(object13_prijsjaar1)/_xlfn.SINGLE(object13_urenjaar1),0)</f>
        <v>#DIV/0!</v>
      </c>
      <c r="Q321" s="80" t="e">
        <f>SUM(Q310:Q320)</f>
        <v>#DIV/0!</v>
      </c>
      <c r="R321" s="80" t="e">
        <f>SUM(R310:R320)</f>
        <v>#DIV/0!</v>
      </c>
      <c r="S321" s="81" t="e">
        <f>SUM(S310:S320)</f>
        <v>#DIV/0!</v>
      </c>
      <c r="T321" s="80" t="e">
        <f>SUM(T310:T320)</f>
        <v>#DIV/0!</v>
      </c>
      <c r="U321" s="82" t="e">
        <f>SUM(U310:U320)</f>
        <v>#DIV/0!</v>
      </c>
    </row>
    <row r="322" spans="1:21" x14ac:dyDescent="0.2">
      <c r="A322" s="88" t="s">
        <v>571</v>
      </c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77"/>
    </row>
    <row r="323" spans="1:21" x14ac:dyDescent="0.2">
      <c r="A323" s="90" t="s">
        <v>572</v>
      </c>
      <c r="B323" s="91" t="s">
        <v>50</v>
      </c>
      <c r="C323" s="91" t="s">
        <v>345</v>
      </c>
      <c r="D323" s="91" t="s">
        <v>346</v>
      </c>
      <c r="E323" s="92" t="s">
        <v>418</v>
      </c>
      <c r="F323" s="91" t="s">
        <v>348</v>
      </c>
      <c r="G323" s="91" t="s">
        <v>253</v>
      </c>
      <c r="H323" s="91" t="s">
        <v>11</v>
      </c>
      <c r="I323" s="91" t="s">
        <v>246</v>
      </c>
      <c r="J323" s="91"/>
      <c r="K323" s="93">
        <v>20</v>
      </c>
      <c r="L323" s="93">
        <f>K323*VLOOKUP(H323,dagsoorttabel1,2,FALSE)</f>
        <v>17.647058823529413</v>
      </c>
      <c r="M323" s="94">
        <f>prodnorm43</f>
        <v>0</v>
      </c>
      <c r="N323" s="95">
        <f>dagwerk43</f>
        <v>0</v>
      </c>
      <c r="O323" s="91" t="s">
        <v>108</v>
      </c>
      <c r="P323" s="96">
        <f>uurtarief43</f>
        <v>0</v>
      </c>
      <c r="Q323" s="93" t="e">
        <f>IF(ISBLANK(M323),0,L323/ROUND(M323,4))</f>
        <v>#DIV/0!</v>
      </c>
      <c r="R323" s="93" t="e">
        <f>IF(ISBLANK(M323),0,Q323*ROUND(N323,2))</f>
        <v>#DIV/0!</v>
      </c>
      <c r="S323" s="96" t="e">
        <f>ROUND(P323,2)*Q323</f>
        <v>#DIV/0!</v>
      </c>
      <c r="T323" s="93" t="e">
        <f>Q323*dagenperjaar1</f>
        <v>#DIV/0!</v>
      </c>
      <c r="U323" s="97" t="e">
        <f>T323*ROUND(P323,2)</f>
        <v>#DIV/0!</v>
      </c>
    </row>
    <row r="324" spans="1:21" x14ac:dyDescent="0.2">
      <c r="A324" s="98" t="s">
        <v>572</v>
      </c>
      <c r="B324" s="99" t="s">
        <v>50</v>
      </c>
      <c r="C324" s="99" t="s">
        <v>345</v>
      </c>
      <c r="D324" s="99" t="s">
        <v>349</v>
      </c>
      <c r="E324" s="100" t="s">
        <v>420</v>
      </c>
      <c r="F324" s="99" t="s">
        <v>348</v>
      </c>
      <c r="G324" s="99" t="s">
        <v>270</v>
      </c>
      <c r="H324" s="99" t="s">
        <v>11</v>
      </c>
      <c r="I324" s="99" t="s">
        <v>246</v>
      </c>
      <c r="J324" s="99"/>
      <c r="K324" s="101">
        <v>2</v>
      </c>
      <c r="L324" s="101">
        <f>K324*VLOOKUP(H324,dagsoorttabel1,2,FALSE)</f>
        <v>1.7647058823529411</v>
      </c>
      <c r="M324" s="102">
        <f>prodnorm65</f>
        <v>0</v>
      </c>
      <c r="N324" s="37">
        <f>dagwerk65</f>
        <v>0</v>
      </c>
      <c r="O324" s="99" t="s">
        <v>108</v>
      </c>
      <c r="P324" s="24">
        <f>uurtarief65</f>
        <v>0</v>
      </c>
      <c r="Q324" s="101" t="e">
        <f>IF(ISBLANK(M324),0,L324/ROUND(M324,4))</f>
        <v>#DIV/0!</v>
      </c>
      <c r="R324" s="101" t="e">
        <f>IF(ISBLANK(M324),0,Q324*ROUND(N324,2))</f>
        <v>#DIV/0!</v>
      </c>
      <c r="S324" s="24" t="e">
        <f>ROUND(P324,2)*Q324</f>
        <v>#DIV/0!</v>
      </c>
      <c r="T324" s="101" t="e">
        <f>Q324*dagenperjaar1</f>
        <v>#DIV/0!</v>
      </c>
      <c r="U324" s="25" t="e">
        <f>T324*ROUND(P324,2)</f>
        <v>#DIV/0!</v>
      </c>
    </row>
    <row r="325" spans="1:21" x14ac:dyDescent="0.2">
      <c r="A325" s="98" t="s">
        <v>572</v>
      </c>
      <c r="B325" s="99" t="s">
        <v>50</v>
      </c>
      <c r="C325" s="99" t="s">
        <v>345</v>
      </c>
      <c r="D325" s="99" t="s">
        <v>351</v>
      </c>
      <c r="E325" s="100" t="s">
        <v>547</v>
      </c>
      <c r="F325" s="99" t="s">
        <v>348</v>
      </c>
      <c r="G325" s="99" t="s">
        <v>251</v>
      </c>
      <c r="H325" s="99" t="s">
        <v>11</v>
      </c>
      <c r="I325" s="99" t="s">
        <v>246</v>
      </c>
      <c r="J325" s="99"/>
      <c r="K325" s="101">
        <v>2</v>
      </c>
      <c r="L325" s="101">
        <f>K325*VLOOKUP(H325,dagsoorttabel1,2,FALSE)</f>
        <v>1.7647058823529411</v>
      </c>
      <c r="M325" s="102">
        <f>prodnorm40</f>
        <v>0</v>
      </c>
      <c r="N325" s="37">
        <f>dagwerk40</f>
        <v>0</v>
      </c>
      <c r="O325" s="99" t="s">
        <v>108</v>
      </c>
      <c r="P325" s="24">
        <f>uurtarief40</f>
        <v>0</v>
      </c>
      <c r="Q325" s="101" t="e">
        <f>IF(ISBLANK(M325),0,L325/ROUND(M325,4))</f>
        <v>#DIV/0!</v>
      </c>
      <c r="R325" s="101" t="e">
        <f>IF(ISBLANK(M325),0,Q325*ROUND(N325,2))</f>
        <v>#DIV/0!</v>
      </c>
      <c r="S325" s="24" t="e">
        <f>ROUND(P325,2)*Q325</f>
        <v>#DIV/0!</v>
      </c>
      <c r="T325" s="101" t="e">
        <f>Q325*dagenperjaar1</f>
        <v>#DIV/0!</v>
      </c>
      <c r="U325" s="25" t="e">
        <f>T325*ROUND(P325,2)</f>
        <v>#DIV/0!</v>
      </c>
    </row>
    <row r="326" spans="1:21" x14ac:dyDescent="0.2">
      <c r="A326" s="98" t="s">
        <v>572</v>
      </c>
      <c r="B326" s="99" t="s">
        <v>50</v>
      </c>
      <c r="C326" s="99" t="s">
        <v>345</v>
      </c>
      <c r="D326" s="99" t="s">
        <v>353</v>
      </c>
      <c r="E326" s="100" t="s">
        <v>407</v>
      </c>
      <c r="F326" s="99" t="s">
        <v>348</v>
      </c>
      <c r="G326" s="99" t="s">
        <v>262</v>
      </c>
      <c r="H326" s="99" t="s">
        <v>11</v>
      </c>
      <c r="I326" s="99" t="s">
        <v>246</v>
      </c>
      <c r="J326" s="99"/>
      <c r="K326" s="101">
        <v>2</v>
      </c>
      <c r="L326" s="101">
        <f>K326*VLOOKUP(H326,dagsoorttabel1,2,FALSE)</f>
        <v>1.7647058823529411</v>
      </c>
      <c r="M326" s="102">
        <f>prodnorm58</f>
        <v>0</v>
      </c>
      <c r="N326" s="37">
        <f>dagwerk58</f>
        <v>0</v>
      </c>
      <c r="O326" s="99" t="s">
        <v>108</v>
      </c>
      <c r="P326" s="24">
        <f>uurtarief58</f>
        <v>0</v>
      </c>
      <c r="Q326" s="101" t="e">
        <f>IF(ISBLANK(M326),0,L326/ROUND(M326,4))</f>
        <v>#DIV/0!</v>
      </c>
      <c r="R326" s="101" t="e">
        <f>IF(ISBLANK(M326),0,Q326*ROUND(N326,2))</f>
        <v>#DIV/0!</v>
      </c>
      <c r="S326" s="24" t="e">
        <f>ROUND(P326,2)*Q326</f>
        <v>#DIV/0!</v>
      </c>
      <c r="T326" s="101" t="e">
        <f>Q326*dagenperjaar1</f>
        <v>#DIV/0!</v>
      </c>
      <c r="U326" s="25" t="e">
        <f>T326*ROUND(P326,2)</f>
        <v>#DIV/0!</v>
      </c>
    </row>
    <row r="327" spans="1:21" x14ac:dyDescent="0.2">
      <c r="A327" s="98" t="s">
        <v>572</v>
      </c>
      <c r="B327" s="99" t="s">
        <v>50</v>
      </c>
      <c r="C327" s="99" t="s">
        <v>345</v>
      </c>
      <c r="D327" s="99" t="s">
        <v>355</v>
      </c>
      <c r="E327" s="100" t="s">
        <v>426</v>
      </c>
      <c r="F327" s="99" t="s">
        <v>348</v>
      </c>
      <c r="G327" s="99" t="s">
        <v>262</v>
      </c>
      <c r="H327" s="99" t="s">
        <v>11</v>
      </c>
      <c r="I327" s="99" t="s">
        <v>246</v>
      </c>
      <c r="J327" s="99"/>
      <c r="K327" s="101">
        <v>31</v>
      </c>
      <c r="L327" s="101">
        <f>K327*VLOOKUP(H327,dagsoorttabel1,2,FALSE)</f>
        <v>27.352941176470587</v>
      </c>
      <c r="M327" s="102">
        <f>prodnorm58</f>
        <v>0</v>
      </c>
      <c r="N327" s="37">
        <f>dagwerk58</f>
        <v>0</v>
      </c>
      <c r="O327" s="99" t="s">
        <v>108</v>
      </c>
      <c r="P327" s="24">
        <f>uurtarief58</f>
        <v>0</v>
      </c>
      <c r="Q327" s="101" t="e">
        <f>IF(ISBLANK(M327),0,L327/ROUND(M327,4))</f>
        <v>#DIV/0!</v>
      </c>
      <c r="R327" s="101" t="e">
        <f>IF(ISBLANK(M327),0,Q327*ROUND(N327,2))</f>
        <v>#DIV/0!</v>
      </c>
      <c r="S327" s="24" t="e">
        <f>ROUND(P327,2)*Q327</f>
        <v>#DIV/0!</v>
      </c>
      <c r="T327" s="101" t="e">
        <f>Q327*dagenperjaar1</f>
        <v>#DIV/0!</v>
      </c>
      <c r="U327" s="25" t="e">
        <f>T327*ROUND(P327,2)</f>
        <v>#DIV/0!</v>
      </c>
    </row>
    <row r="328" spans="1:21" x14ac:dyDescent="0.2">
      <c r="A328" s="98" t="s">
        <v>572</v>
      </c>
      <c r="B328" s="99" t="s">
        <v>50</v>
      </c>
      <c r="C328" s="99" t="s">
        <v>345</v>
      </c>
      <c r="D328" s="99" t="s">
        <v>357</v>
      </c>
      <c r="E328" s="100" t="s">
        <v>547</v>
      </c>
      <c r="F328" s="99" t="s">
        <v>348</v>
      </c>
      <c r="G328" s="99" t="s">
        <v>251</v>
      </c>
      <c r="H328" s="99" t="s">
        <v>11</v>
      </c>
      <c r="I328" s="99" t="s">
        <v>246</v>
      </c>
      <c r="J328" s="99"/>
      <c r="K328" s="101">
        <v>12</v>
      </c>
      <c r="L328" s="101">
        <f>K328*VLOOKUP(H328,dagsoorttabel1,2,FALSE)</f>
        <v>10.588235294117647</v>
      </c>
      <c r="M328" s="102">
        <f>prodnorm40</f>
        <v>0</v>
      </c>
      <c r="N328" s="37">
        <f>dagwerk40</f>
        <v>0</v>
      </c>
      <c r="O328" s="99" t="s">
        <v>108</v>
      </c>
      <c r="P328" s="24">
        <f>uurtarief40</f>
        <v>0</v>
      </c>
      <c r="Q328" s="101" t="e">
        <f>IF(ISBLANK(M328),0,L328/ROUND(M328,4))</f>
        <v>#DIV/0!</v>
      </c>
      <c r="R328" s="101" t="e">
        <f>IF(ISBLANK(M328),0,Q328*ROUND(N328,2))</f>
        <v>#DIV/0!</v>
      </c>
      <c r="S328" s="24" t="e">
        <f>ROUND(P328,2)*Q328</f>
        <v>#DIV/0!</v>
      </c>
      <c r="T328" s="101" t="e">
        <f>Q328*dagenperjaar1</f>
        <v>#DIV/0!</v>
      </c>
      <c r="U328" s="25" t="e">
        <f>T328*ROUND(P328,2)</f>
        <v>#DIV/0!</v>
      </c>
    </row>
    <row r="329" spans="1:21" x14ac:dyDescent="0.2">
      <c r="A329" s="98" t="s">
        <v>572</v>
      </c>
      <c r="B329" s="99" t="s">
        <v>50</v>
      </c>
      <c r="C329" s="99" t="s">
        <v>345</v>
      </c>
      <c r="D329" s="99" t="s">
        <v>359</v>
      </c>
      <c r="E329" s="100" t="s">
        <v>420</v>
      </c>
      <c r="F329" s="99" t="s">
        <v>348</v>
      </c>
      <c r="G329" s="99" t="s">
        <v>270</v>
      </c>
      <c r="H329" s="99" t="s">
        <v>11</v>
      </c>
      <c r="I329" s="99" t="s">
        <v>246</v>
      </c>
      <c r="J329" s="99"/>
      <c r="K329" s="101">
        <v>2</v>
      </c>
      <c r="L329" s="101">
        <f>K329*VLOOKUP(H329,dagsoorttabel1,2,FALSE)</f>
        <v>1.7647058823529411</v>
      </c>
      <c r="M329" s="102">
        <f>prodnorm65</f>
        <v>0</v>
      </c>
      <c r="N329" s="37">
        <f>dagwerk65</f>
        <v>0</v>
      </c>
      <c r="O329" s="99" t="s">
        <v>108</v>
      </c>
      <c r="P329" s="24">
        <f>uurtarief65</f>
        <v>0</v>
      </c>
      <c r="Q329" s="101" t="e">
        <f>IF(ISBLANK(M329),0,L329/ROUND(M329,4))</f>
        <v>#DIV/0!</v>
      </c>
      <c r="R329" s="101" t="e">
        <f>IF(ISBLANK(M329),0,Q329*ROUND(N329,2))</f>
        <v>#DIV/0!</v>
      </c>
      <c r="S329" s="24" t="e">
        <f>ROUND(P329,2)*Q329</f>
        <v>#DIV/0!</v>
      </c>
      <c r="T329" s="101" t="e">
        <f>Q329*dagenperjaar1</f>
        <v>#DIV/0!</v>
      </c>
      <c r="U329" s="25" t="e">
        <f>T329*ROUND(P329,2)</f>
        <v>#DIV/0!</v>
      </c>
    </row>
    <row r="330" spans="1:21" x14ac:dyDescent="0.2">
      <c r="A330" s="98" t="s">
        <v>572</v>
      </c>
      <c r="B330" s="99" t="s">
        <v>50</v>
      </c>
      <c r="C330" s="99" t="s">
        <v>345</v>
      </c>
      <c r="D330" s="99" t="s">
        <v>361</v>
      </c>
      <c r="E330" s="100" t="s">
        <v>426</v>
      </c>
      <c r="F330" s="99" t="s">
        <v>348</v>
      </c>
      <c r="G330" s="99" t="s">
        <v>262</v>
      </c>
      <c r="H330" s="99" t="s">
        <v>11</v>
      </c>
      <c r="I330" s="99" t="s">
        <v>246</v>
      </c>
      <c r="J330" s="99"/>
      <c r="K330" s="101">
        <v>31</v>
      </c>
      <c r="L330" s="101">
        <f>K330*VLOOKUP(H330,dagsoorttabel1,2,FALSE)</f>
        <v>27.352941176470587</v>
      </c>
      <c r="M330" s="102">
        <f>prodnorm58</f>
        <v>0</v>
      </c>
      <c r="N330" s="37">
        <f>dagwerk58</f>
        <v>0</v>
      </c>
      <c r="O330" s="99" t="s">
        <v>108</v>
      </c>
      <c r="P330" s="24">
        <f>uurtarief58</f>
        <v>0</v>
      </c>
      <c r="Q330" s="101" t="e">
        <f>IF(ISBLANK(M330),0,L330/ROUND(M330,4))</f>
        <v>#DIV/0!</v>
      </c>
      <c r="R330" s="101" t="e">
        <f>IF(ISBLANK(M330),0,Q330*ROUND(N330,2))</f>
        <v>#DIV/0!</v>
      </c>
      <c r="S330" s="24" t="e">
        <f>ROUND(P330,2)*Q330</f>
        <v>#DIV/0!</v>
      </c>
      <c r="T330" s="101" t="e">
        <f>Q330*dagenperjaar1</f>
        <v>#DIV/0!</v>
      </c>
      <c r="U330" s="25" t="e">
        <f>T330*ROUND(P330,2)</f>
        <v>#DIV/0!</v>
      </c>
    </row>
    <row r="331" spans="1:21" x14ac:dyDescent="0.2">
      <c r="A331" s="98" t="s">
        <v>572</v>
      </c>
      <c r="B331" s="99" t="s">
        <v>50</v>
      </c>
      <c r="C331" s="99" t="s">
        <v>345</v>
      </c>
      <c r="D331" s="99" t="s">
        <v>363</v>
      </c>
      <c r="E331" s="100" t="s">
        <v>547</v>
      </c>
      <c r="F331" s="99" t="s">
        <v>348</v>
      </c>
      <c r="G331" s="99" t="s">
        <v>251</v>
      </c>
      <c r="H331" s="99" t="s">
        <v>11</v>
      </c>
      <c r="I331" s="99" t="s">
        <v>246</v>
      </c>
      <c r="J331" s="99"/>
      <c r="K331" s="101">
        <v>12</v>
      </c>
      <c r="L331" s="101">
        <f>K331*VLOOKUP(H331,dagsoorttabel1,2,FALSE)</f>
        <v>10.588235294117647</v>
      </c>
      <c r="M331" s="102">
        <f>prodnorm40</f>
        <v>0</v>
      </c>
      <c r="N331" s="37">
        <f>dagwerk40</f>
        <v>0</v>
      </c>
      <c r="O331" s="99" t="s">
        <v>108</v>
      </c>
      <c r="P331" s="24">
        <f>uurtarief40</f>
        <v>0</v>
      </c>
      <c r="Q331" s="101" t="e">
        <f>IF(ISBLANK(M331),0,L331/ROUND(M331,4))</f>
        <v>#DIV/0!</v>
      </c>
      <c r="R331" s="101" t="e">
        <f>IF(ISBLANK(M331),0,Q331*ROUND(N331,2))</f>
        <v>#DIV/0!</v>
      </c>
      <c r="S331" s="24" t="e">
        <f>ROUND(P331,2)*Q331</f>
        <v>#DIV/0!</v>
      </c>
      <c r="T331" s="101" t="e">
        <f>Q331*dagenperjaar1</f>
        <v>#DIV/0!</v>
      </c>
      <c r="U331" s="25" t="e">
        <f>T331*ROUND(P331,2)</f>
        <v>#DIV/0!</v>
      </c>
    </row>
    <row r="332" spans="1:21" x14ac:dyDescent="0.2">
      <c r="A332" s="98" t="s">
        <v>572</v>
      </c>
      <c r="B332" s="99" t="s">
        <v>50</v>
      </c>
      <c r="C332" s="99" t="s">
        <v>345</v>
      </c>
      <c r="D332" s="99" t="s">
        <v>365</v>
      </c>
      <c r="E332" s="100" t="s">
        <v>420</v>
      </c>
      <c r="F332" s="99" t="s">
        <v>348</v>
      </c>
      <c r="G332" s="99" t="s">
        <v>270</v>
      </c>
      <c r="H332" s="99" t="s">
        <v>11</v>
      </c>
      <c r="I332" s="99" t="s">
        <v>246</v>
      </c>
      <c r="J332" s="99"/>
      <c r="K332" s="101">
        <v>2</v>
      </c>
      <c r="L332" s="101">
        <f>K332*VLOOKUP(H332,dagsoorttabel1,2,FALSE)</f>
        <v>1.7647058823529411</v>
      </c>
      <c r="M332" s="102">
        <f>prodnorm65</f>
        <v>0</v>
      </c>
      <c r="N332" s="37">
        <f>dagwerk65</f>
        <v>0</v>
      </c>
      <c r="O332" s="99" t="s">
        <v>108</v>
      </c>
      <c r="P332" s="24">
        <f>uurtarief65</f>
        <v>0</v>
      </c>
      <c r="Q332" s="101" t="e">
        <f>IF(ISBLANK(M332),0,L332/ROUND(M332,4))</f>
        <v>#DIV/0!</v>
      </c>
      <c r="R332" s="101" t="e">
        <f>IF(ISBLANK(M332),0,Q332*ROUND(N332,2))</f>
        <v>#DIV/0!</v>
      </c>
      <c r="S332" s="24" t="e">
        <f>ROUND(P332,2)*Q332</f>
        <v>#DIV/0!</v>
      </c>
      <c r="T332" s="101" t="e">
        <f>Q332*dagenperjaar1</f>
        <v>#DIV/0!</v>
      </c>
      <c r="U332" s="25" t="e">
        <f>T332*ROUND(P332,2)</f>
        <v>#DIV/0!</v>
      </c>
    </row>
    <row r="333" spans="1:21" x14ac:dyDescent="0.2">
      <c r="A333" s="98" t="s">
        <v>572</v>
      </c>
      <c r="B333" s="99" t="s">
        <v>50</v>
      </c>
      <c r="C333" s="99" t="s">
        <v>345</v>
      </c>
      <c r="D333" s="99" t="s">
        <v>367</v>
      </c>
      <c r="E333" s="100" t="s">
        <v>559</v>
      </c>
      <c r="F333" s="99" t="s">
        <v>348</v>
      </c>
      <c r="G333" s="99" t="s">
        <v>259</v>
      </c>
      <c r="H333" s="99" t="s">
        <v>11</v>
      </c>
      <c r="I333" s="99" t="s">
        <v>246</v>
      </c>
      <c r="J333" s="99"/>
      <c r="K333" s="101">
        <v>200</v>
      </c>
      <c r="L333" s="101">
        <f>K333*VLOOKUP(H333,dagsoorttabel1,2,FALSE)</f>
        <v>176.47058823529412</v>
      </c>
      <c r="M333" s="102">
        <f>prodnorm52</f>
        <v>0</v>
      </c>
      <c r="N333" s="37">
        <f>dagwerk52</f>
        <v>0</v>
      </c>
      <c r="O333" s="99" t="s">
        <v>108</v>
      </c>
      <c r="P333" s="24">
        <f>uurtarief52</f>
        <v>0</v>
      </c>
      <c r="Q333" s="101" t="e">
        <f>IF(ISBLANK(M333),0,L333/ROUND(M333,4))</f>
        <v>#DIV/0!</v>
      </c>
      <c r="R333" s="101" t="e">
        <f>IF(ISBLANK(M333),0,Q333*ROUND(N333,2))</f>
        <v>#DIV/0!</v>
      </c>
      <c r="S333" s="24" t="e">
        <f>ROUND(P333,2)*Q333</f>
        <v>#DIV/0!</v>
      </c>
      <c r="T333" s="101" t="e">
        <f>Q333*dagenperjaar1</f>
        <v>#DIV/0!</v>
      </c>
      <c r="U333" s="25" t="e">
        <f>T333*ROUND(P333,2)</f>
        <v>#DIV/0!</v>
      </c>
    </row>
    <row r="334" spans="1:21" x14ac:dyDescent="0.2">
      <c r="A334" s="98" t="s">
        <v>572</v>
      </c>
      <c r="B334" s="99" t="s">
        <v>50</v>
      </c>
      <c r="C334" s="99" t="s">
        <v>345</v>
      </c>
      <c r="D334" s="99" t="s">
        <v>369</v>
      </c>
      <c r="E334" s="100" t="s">
        <v>466</v>
      </c>
      <c r="F334" s="99" t="s">
        <v>348</v>
      </c>
      <c r="G334" s="99" t="s">
        <v>259</v>
      </c>
      <c r="H334" s="99" t="s">
        <v>28</v>
      </c>
      <c r="I334" s="99" t="s">
        <v>246</v>
      </c>
      <c r="J334" s="99"/>
      <c r="K334" s="101">
        <v>38</v>
      </c>
      <c r="L334" s="101">
        <f>K334*VLOOKUP(H334,dagsoorttabel1,2,FALSE)</f>
        <v>0.29803921568627451</v>
      </c>
      <c r="M334" s="102">
        <f>prodnorm53</f>
        <v>0</v>
      </c>
      <c r="N334" s="37">
        <f>dagwerk53</f>
        <v>0</v>
      </c>
      <c r="O334" s="99" t="s">
        <v>108</v>
      </c>
      <c r="P334" s="24">
        <f>uurtarief53</f>
        <v>0</v>
      </c>
      <c r="Q334" s="101" t="e">
        <f>IF(ISBLANK(M334),0,L334/ROUND(M334,4))</f>
        <v>#DIV/0!</v>
      </c>
      <c r="R334" s="101" t="e">
        <f>IF(ISBLANK(M334),0,Q334*ROUND(N334,2))</f>
        <v>#DIV/0!</v>
      </c>
      <c r="S334" s="24" t="e">
        <f>ROUND(P334,2)*Q334</f>
        <v>#DIV/0!</v>
      </c>
      <c r="T334" s="101" t="e">
        <f>Q334*dagenperjaar1</f>
        <v>#DIV/0!</v>
      </c>
      <c r="U334" s="25" t="e">
        <f>T334*ROUND(P334,2)</f>
        <v>#DIV/0!</v>
      </c>
    </row>
    <row r="335" spans="1:21" x14ac:dyDescent="0.2">
      <c r="A335" s="103" t="s">
        <v>572</v>
      </c>
      <c r="B335" s="104" t="s">
        <v>50</v>
      </c>
      <c r="C335" s="104" t="s">
        <v>345</v>
      </c>
      <c r="D335" s="104" t="s">
        <v>371</v>
      </c>
      <c r="E335" s="105" t="s">
        <v>464</v>
      </c>
      <c r="F335" s="104" t="s">
        <v>348</v>
      </c>
      <c r="G335" s="104" t="s">
        <v>277</v>
      </c>
      <c r="H335" s="104" t="s">
        <v>28</v>
      </c>
      <c r="I335" s="104" t="s">
        <v>246</v>
      </c>
      <c r="J335" s="104"/>
      <c r="K335" s="106">
        <v>16</v>
      </c>
      <c r="L335" s="106">
        <f>K335*VLOOKUP(H335,dagsoorttabel1,2,FALSE)</f>
        <v>0.12549019607843137</v>
      </c>
      <c r="M335" s="107">
        <f>prodnorm76</f>
        <v>0</v>
      </c>
      <c r="N335" s="108">
        <f>dagwerk76</f>
        <v>0</v>
      </c>
      <c r="O335" s="104" t="s">
        <v>108</v>
      </c>
      <c r="P335" s="34">
        <f>uurtarief76</f>
        <v>0</v>
      </c>
      <c r="Q335" s="106" t="e">
        <f>IF(ISBLANK(M335),0,L335/ROUND(M335,4))</f>
        <v>#DIV/0!</v>
      </c>
      <c r="R335" s="106" t="e">
        <f>IF(ISBLANK(M335),0,Q335*ROUND(N335,2))</f>
        <v>#DIV/0!</v>
      </c>
      <c r="S335" s="34" t="e">
        <f>ROUND(P335,2)*Q335</f>
        <v>#DIV/0!</v>
      </c>
      <c r="T335" s="106" t="e">
        <f>Q335*dagenperjaar1</f>
        <v>#DIV/0!</v>
      </c>
      <c r="U335" s="35" t="e">
        <f>T335*ROUND(P335,2)</f>
        <v>#DIV/0!</v>
      </c>
    </row>
    <row r="336" spans="1:21" x14ac:dyDescent="0.2">
      <c r="A336" s="109" t="s">
        <v>403</v>
      </c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81" t="e">
        <f>IF(_xlfn.SINGLE(object14_urenjaar1)&gt;0,_xlfn.SINGLE(object14_prijsjaar1)/_xlfn.SINGLE(object14_urenjaar1),0)</f>
        <v>#DIV/0!</v>
      </c>
      <c r="Q336" s="80" t="e">
        <f>SUM(Q323:Q335)</f>
        <v>#DIV/0!</v>
      </c>
      <c r="R336" s="80" t="e">
        <f>SUM(R323:R335)</f>
        <v>#DIV/0!</v>
      </c>
      <c r="S336" s="81" t="e">
        <f>SUM(S323:S335)</f>
        <v>#DIV/0!</v>
      </c>
      <c r="T336" s="80" t="e">
        <f>SUM(T323:T335)</f>
        <v>#DIV/0!</v>
      </c>
      <c r="U336" s="82" t="e">
        <f>SUM(U323:U335)</f>
        <v>#DIV/0!</v>
      </c>
    </row>
    <row r="337" spans="1:21" x14ac:dyDescent="0.2">
      <c r="A337" s="88" t="s">
        <v>573</v>
      </c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77"/>
    </row>
    <row r="338" spans="1:21" x14ac:dyDescent="0.2">
      <c r="A338" s="90" t="s">
        <v>574</v>
      </c>
      <c r="B338" s="91" t="s">
        <v>50</v>
      </c>
      <c r="C338" s="91" t="s">
        <v>345</v>
      </c>
      <c r="D338" s="91" t="s">
        <v>346</v>
      </c>
      <c r="E338" s="92" t="s">
        <v>418</v>
      </c>
      <c r="F338" s="91" t="s">
        <v>348</v>
      </c>
      <c r="G338" s="91" t="s">
        <v>253</v>
      </c>
      <c r="H338" s="91" t="s">
        <v>11</v>
      </c>
      <c r="I338" s="91" t="s">
        <v>246</v>
      </c>
      <c r="J338" s="91"/>
      <c r="K338" s="93">
        <v>22.5</v>
      </c>
      <c r="L338" s="93">
        <f>K338*VLOOKUP(H338,dagsoorttabel1,2,FALSE)</f>
        <v>19.852941176470587</v>
      </c>
      <c r="M338" s="94">
        <f>prodnorm43</f>
        <v>0</v>
      </c>
      <c r="N338" s="95">
        <f>dagwerk43</f>
        <v>0</v>
      </c>
      <c r="O338" s="91" t="s">
        <v>108</v>
      </c>
      <c r="P338" s="96">
        <f>uurtarief43</f>
        <v>0</v>
      </c>
      <c r="Q338" s="93" t="e">
        <f>IF(ISBLANK(M338),0,L338/ROUND(M338,4))</f>
        <v>#DIV/0!</v>
      </c>
      <c r="R338" s="93" t="e">
        <f>IF(ISBLANK(M338),0,Q338*ROUND(N338,2))</f>
        <v>#DIV/0!</v>
      </c>
      <c r="S338" s="96" t="e">
        <f>ROUND(P338,2)*Q338</f>
        <v>#DIV/0!</v>
      </c>
      <c r="T338" s="93" t="e">
        <f>Q338*dagenperjaar1</f>
        <v>#DIV/0!</v>
      </c>
      <c r="U338" s="97" t="e">
        <f>T338*ROUND(P338,2)</f>
        <v>#DIV/0!</v>
      </c>
    </row>
    <row r="339" spans="1:21" x14ac:dyDescent="0.2">
      <c r="A339" s="98" t="s">
        <v>574</v>
      </c>
      <c r="B339" s="99" t="s">
        <v>50</v>
      </c>
      <c r="C339" s="99" t="s">
        <v>345</v>
      </c>
      <c r="D339" s="99" t="s">
        <v>349</v>
      </c>
      <c r="E339" s="100" t="s">
        <v>575</v>
      </c>
      <c r="F339" s="99" t="s">
        <v>348</v>
      </c>
      <c r="G339" s="99" t="s">
        <v>270</v>
      </c>
      <c r="H339" s="99" t="s">
        <v>11</v>
      </c>
      <c r="I339" s="99" t="s">
        <v>246</v>
      </c>
      <c r="J339" s="99"/>
      <c r="K339" s="101">
        <v>4.5</v>
      </c>
      <c r="L339" s="101">
        <f>K339*VLOOKUP(H339,dagsoorttabel1,2,FALSE)</f>
        <v>3.9705882352941178</v>
      </c>
      <c r="M339" s="102">
        <f>prodnorm65</f>
        <v>0</v>
      </c>
      <c r="N339" s="37">
        <f>dagwerk65</f>
        <v>0</v>
      </c>
      <c r="O339" s="99" t="s">
        <v>108</v>
      </c>
      <c r="P339" s="24">
        <f>uurtarief65</f>
        <v>0</v>
      </c>
      <c r="Q339" s="101" t="e">
        <f>IF(ISBLANK(M339),0,L339/ROUND(M339,4))</f>
        <v>#DIV/0!</v>
      </c>
      <c r="R339" s="101" t="e">
        <f>IF(ISBLANK(M339),0,Q339*ROUND(N339,2))</f>
        <v>#DIV/0!</v>
      </c>
      <c r="S339" s="24" t="e">
        <f>ROUND(P339,2)*Q339</f>
        <v>#DIV/0!</v>
      </c>
      <c r="T339" s="101" t="e">
        <f>Q339*dagenperjaar1</f>
        <v>#DIV/0!</v>
      </c>
      <c r="U339" s="25" t="e">
        <f>T339*ROUND(P339,2)</f>
        <v>#DIV/0!</v>
      </c>
    </row>
    <row r="340" spans="1:21" x14ac:dyDescent="0.2">
      <c r="A340" s="98" t="s">
        <v>574</v>
      </c>
      <c r="B340" s="99" t="s">
        <v>50</v>
      </c>
      <c r="C340" s="99" t="s">
        <v>345</v>
      </c>
      <c r="D340" s="99" t="s">
        <v>351</v>
      </c>
      <c r="E340" s="100" t="s">
        <v>421</v>
      </c>
      <c r="F340" s="99" t="s">
        <v>348</v>
      </c>
      <c r="G340" s="99" t="s">
        <v>277</v>
      </c>
      <c r="H340" s="99" t="s">
        <v>11</v>
      </c>
      <c r="I340" s="99" t="s">
        <v>246</v>
      </c>
      <c r="J340" s="99"/>
      <c r="K340" s="101">
        <v>5</v>
      </c>
      <c r="L340" s="101">
        <f>K340*VLOOKUP(H340,dagsoorttabel1,2,FALSE)</f>
        <v>4.4117647058823533</v>
      </c>
      <c r="M340" s="102">
        <f>prodnorm74</f>
        <v>0</v>
      </c>
      <c r="N340" s="37">
        <f>dagwerk74</f>
        <v>0</v>
      </c>
      <c r="O340" s="99" t="s">
        <v>108</v>
      </c>
      <c r="P340" s="24">
        <f>uurtarief74</f>
        <v>0</v>
      </c>
      <c r="Q340" s="101" t="e">
        <f>IF(ISBLANK(M340),0,L340/ROUND(M340,4))</f>
        <v>#DIV/0!</v>
      </c>
      <c r="R340" s="101" t="e">
        <f>IF(ISBLANK(M340),0,Q340*ROUND(N340,2))</f>
        <v>#DIV/0!</v>
      </c>
      <c r="S340" s="24" t="e">
        <f>ROUND(P340,2)*Q340</f>
        <v>#DIV/0!</v>
      </c>
      <c r="T340" s="101" t="e">
        <f>Q340*dagenperjaar1</f>
        <v>#DIV/0!</v>
      </c>
      <c r="U340" s="25" t="e">
        <f>T340*ROUND(P340,2)</f>
        <v>#DIV/0!</v>
      </c>
    </row>
    <row r="341" spans="1:21" x14ac:dyDescent="0.2">
      <c r="A341" s="98" t="s">
        <v>574</v>
      </c>
      <c r="B341" s="99" t="s">
        <v>50</v>
      </c>
      <c r="C341" s="99" t="s">
        <v>345</v>
      </c>
      <c r="D341" s="99" t="s">
        <v>353</v>
      </c>
      <c r="E341" s="100" t="s">
        <v>426</v>
      </c>
      <c r="F341" s="99" t="s">
        <v>348</v>
      </c>
      <c r="G341" s="99" t="s">
        <v>262</v>
      </c>
      <c r="H341" s="99" t="s">
        <v>11</v>
      </c>
      <c r="I341" s="99" t="s">
        <v>246</v>
      </c>
      <c r="J341" s="99"/>
      <c r="K341" s="101">
        <v>18</v>
      </c>
      <c r="L341" s="101">
        <f>K341*VLOOKUP(H341,dagsoorttabel1,2,FALSE)</f>
        <v>15.882352941176471</v>
      </c>
      <c r="M341" s="102">
        <f>prodnorm58</f>
        <v>0</v>
      </c>
      <c r="N341" s="37">
        <f>dagwerk58</f>
        <v>0</v>
      </c>
      <c r="O341" s="99" t="s">
        <v>108</v>
      </c>
      <c r="P341" s="24">
        <f>uurtarief58</f>
        <v>0</v>
      </c>
      <c r="Q341" s="101" t="e">
        <f>IF(ISBLANK(M341),0,L341/ROUND(M341,4))</f>
        <v>#DIV/0!</v>
      </c>
      <c r="R341" s="101" t="e">
        <f>IF(ISBLANK(M341),0,Q341*ROUND(N341,2))</f>
        <v>#DIV/0!</v>
      </c>
      <c r="S341" s="24" t="e">
        <f>ROUND(P341,2)*Q341</f>
        <v>#DIV/0!</v>
      </c>
      <c r="T341" s="101" t="e">
        <f>Q341*dagenperjaar1</f>
        <v>#DIV/0!</v>
      </c>
      <c r="U341" s="25" t="e">
        <f>T341*ROUND(P341,2)</f>
        <v>#DIV/0!</v>
      </c>
    </row>
    <row r="342" spans="1:21" x14ac:dyDescent="0.2">
      <c r="A342" s="98" t="s">
        <v>574</v>
      </c>
      <c r="B342" s="99" t="s">
        <v>50</v>
      </c>
      <c r="C342" s="99" t="s">
        <v>345</v>
      </c>
      <c r="D342" s="99" t="s">
        <v>355</v>
      </c>
      <c r="E342" s="100" t="s">
        <v>547</v>
      </c>
      <c r="F342" s="99" t="s">
        <v>348</v>
      </c>
      <c r="G342" s="99" t="s">
        <v>251</v>
      </c>
      <c r="H342" s="99" t="s">
        <v>11</v>
      </c>
      <c r="I342" s="99" t="s">
        <v>246</v>
      </c>
      <c r="J342" s="99"/>
      <c r="K342" s="101">
        <v>14</v>
      </c>
      <c r="L342" s="101">
        <f>K342*VLOOKUP(H342,dagsoorttabel1,2,FALSE)</f>
        <v>12.352941176470587</v>
      </c>
      <c r="M342" s="102">
        <f>prodnorm40</f>
        <v>0</v>
      </c>
      <c r="N342" s="37">
        <f>dagwerk40</f>
        <v>0</v>
      </c>
      <c r="O342" s="99" t="s">
        <v>108</v>
      </c>
      <c r="P342" s="24">
        <f>uurtarief40</f>
        <v>0</v>
      </c>
      <c r="Q342" s="101" t="e">
        <f>IF(ISBLANK(M342),0,L342/ROUND(M342,4))</f>
        <v>#DIV/0!</v>
      </c>
      <c r="R342" s="101" t="e">
        <f>IF(ISBLANK(M342),0,Q342*ROUND(N342,2))</f>
        <v>#DIV/0!</v>
      </c>
      <c r="S342" s="24" t="e">
        <f>ROUND(P342,2)*Q342</f>
        <v>#DIV/0!</v>
      </c>
      <c r="T342" s="101" t="e">
        <f>Q342*dagenperjaar1</f>
        <v>#DIV/0!</v>
      </c>
      <c r="U342" s="25" t="e">
        <f>T342*ROUND(P342,2)</f>
        <v>#DIV/0!</v>
      </c>
    </row>
    <row r="343" spans="1:21" x14ac:dyDescent="0.2">
      <c r="A343" s="98" t="s">
        <v>574</v>
      </c>
      <c r="B343" s="99" t="s">
        <v>50</v>
      </c>
      <c r="C343" s="99" t="s">
        <v>345</v>
      </c>
      <c r="D343" s="99" t="s">
        <v>357</v>
      </c>
      <c r="E343" s="100" t="s">
        <v>547</v>
      </c>
      <c r="F343" s="99" t="s">
        <v>348</v>
      </c>
      <c r="G343" s="99" t="s">
        <v>251</v>
      </c>
      <c r="H343" s="99" t="s">
        <v>11</v>
      </c>
      <c r="I343" s="99" t="s">
        <v>246</v>
      </c>
      <c r="J343" s="99"/>
      <c r="K343" s="101">
        <v>1.5</v>
      </c>
      <c r="L343" s="101">
        <f>K343*VLOOKUP(H343,dagsoorttabel1,2,FALSE)</f>
        <v>1.3235294117647058</v>
      </c>
      <c r="M343" s="102">
        <f>prodnorm40</f>
        <v>0</v>
      </c>
      <c r="N343" s="37">
        <f>dagwerk40</f>
        <v>0</v>
      </c>
      <c r="O343" s="99" t="s">
        <v>108</v>
      </c>
      <c r="P343" s="24">
        <f>uurtarief40</f>
        <v>0</v>
      </c>
      <c r="Q343" s="101" t="e">
        <f>IF(ISBLANK(M343),0,L343/ROUND(M343,4))</f>
        <v>#DIV/0!</v>
      </c>
      <c r="R343" s="101" t="e">
        <f>IF(ISBLANK(M343),0,Q343*ROUND(N343,2))</f>
        <v>#DIV/0!</v>
      </c>
      <c r="S343" s="24" t="e">
        <f>ROUND(P343,2)*Q343</f>
        <v>#DIV/0!</v>
      </c>
      <c r="T343" s="101" t="e">
        <f>Q343*dagenperjaar1</f>
        <v>#DIV/0!</v>
      </c>
      <c r="U343" s="25" t="e">
        <f>T343*ROUND(P343,2)</f>
        <v>#DIV/0!</v>
      </c>
    </row>
    <row r="344" spans="1:21" x14ac:dyDescent="0.2">
      <c r="A344" s="98" t="s">
        <v>574</v>
      </c>
      <c r="B344" s="99" t="s">
        <v>50</v>
      </c>
      <c r="C344" s="99" t="s">
        <v>345</v>
      </c>
      <c r="D344" s="99" t="s">
        <v>359</v>
      </c>
      <c r="E344" s="100" t="s">
        <v>547</v>
      </c>
      <c r="F344" s="99" t="s">
        <v>348</v>
      </c>
      <c r="G344" s="99" t="s">
        <v>251</v>
      </c>
      <c r="H344" s="99" t="s">
        <v>11</v>
      </c>
      <c r="I344" s="99" t="s">
        <v>246</v>
      </c>
      <c r="J344" s="99"/>
      <c r="K344" s="101">
        <v>1.5</v>
      </c>
      <c r="L344" s="101">
        <f>K344*VLOOKUP(H344,dagsoorttabel1,2,FALSE)</f>
        <v>1.3235294117647058</v>
      </c>
      <c r="M344" s="102">
        <f>prodnorm40</f>
        <v>0</v>
      </c>
      <c r="N344" s="37">
        <f>dagwerk40</f>
        <v>0</v>
      </c>
      <c r="O344" s="99" t="s">
        <v>108</v>
      </c>
      <c r="P344" s="24">
        <f>uurtarief40</f>
        <v>0</v>
      </c>
      <c r="Q344" s="101" t="e">
        <f>IF(ISBLANK(M344),0,L344/ROUND(M344,4))</f>
        <v>#DIV/0!</v>
      </c>
      <c r="R344" s="101" t="e">
        <f>IF(ISBLANK(M344),0,Q344*ROUND(N344,2))</f>
        <v>#DIV/0!</v>
      </c>
      <c r="S344" s="24" t="e">
        <f>ROUND(P344,2)*Q344</f>
        <v>#DIV/0!</v>
      </c>
      <c r="T344" s="101" t="e">
        <f>Q344*dagenperjaar1</f>
        <v>#DIV/0!</v>
      </c>
      <c r="U344" s="25" t="e">
        <f>T344*ROUND(P344,2)</f>
        <v>#DIV/0!</v>
      </c>
    </row>
    <row r="345" spans="1:21" x14ac:dyDescent="0.2">
      <c r="A345" s="98" t="s">
        <v>574</v>
      </c>
      <c r="B345" s="99" t="s">
        <v>50</v>
      </c>
      <c r="C345" s="99" t="s">
        <v>345</v>
      </c>
      <c r="D345" s="99" t="s">
        <v>361</v>
      </c>
      <c r="E345" s="100" t="s">
        <v>420</v>
      </c>
      <c r="F345" s="99" t="s">
        <v>348</v>
      </c>
      <c r="G345" s="99" t="s">
        <v>270</v>
      </c>
      <c r="H345" s="99" t="s">
        <v>11</v>
      </c>
      <c r="I345" s="99" t="s">
        <v>246</v>
      </c>
      <c r="J345" s="99"/>
      <c r="K345" s="101">
        <v>1.5</v>
      </c>
      <c r="L345" s="101">
        <f>K345*VLOOKUP(H345,dagsoorttabel1,2,FALSE)</f>
        <v>1.3235294117647058</v>
      </c>
      <c r="M345" s="102">
        <f>prodnorm65</f>
        <v>0</v>
      </c>
      <c r="N345" s="37">
        <f>dagwerk65</f>
        <v>0</v>
      </c>
      <c r="O345" s="99" t="s">
        <v>108</v>
      </c>
      <c r="P345" s="24">
        <f>uurtarief65</f>
        <v>0</v>
      </c>
      <c r="Q345" s="101" t="e">
        <f>IF(ISBLANK(M345),0,L345/ROUND(M345,4))</f>
        <v>#DIV/0!</v>
      </c>
      <c r="R345" s="101" t="e">
        <f>IF(ISBLANK(M345),0,Q345*ROUND(N345,2))</f>
        <v>#DIV/0!</v>
      </c>
      <c r="S345" s="24" t="e">
        <f>ROUND(P345,2)*Q345</f>
        <v>#DIV/0!</v>
      </c>
      <c r="T345" s="101" t="e">
        <f>Q345*dagenperjaar1</f>
        <v>#DIV/0!</v>
      </c>
      <c r="U345" s="25" t="e">
        <f>T345*ROUND(P345,2)</f>
        <v>#DIV/0!</v>
      </c>
    </row>
    <row r="346" spans="1:21" x14ac:dyDescent="0.2">
      <c r="A346" s="98" t="s">
        <v>574</v>
      </c>
      <c r="B346" s="99" t="s">
        <v>50</v>
      </c>
      <c r="C346" s="99" t="s">
        <v>345</v>
      </c>
      <c r="D346" s="99" t="s">
        <v>363</v>
      </c>
      <c r="E346" s="100" t="s">
        <v>426</v>
      </c>
      <c r="F346" s="99" t="s">
        <v>348</v>
      </c>
      <c r="G346" s="99" t="s">
        <v>262</v>
      </c>
      <c r="H346" s="99" t="s">
        <v>11</v>
      </c>
      <c r="I346" s="99" t="s">
        <v>246</v>
      </c>
      <c r="J346" s="99"/>
      <c r="K346" s="101">
        <v>16.5</v>
      </c>
      <c r="L346" s="101">
        <f>K346*VLOOKUP(H346,dagsoorttabel1,2,FALSE)</f>
        <v>14.558823529411764</v>
      </c>
      <c r="M346" s="102">
        <f>prodnorm58</f>
        <v>0</v>
      </c>
      <c r="N346" s="37">
        <f>dagwerk58</f>
        <v>0</v>
      </c>
      <c r="O346" s="99" t="s">
        <v>108</v>
      </c>
      <c r="P346" s="24">
        <f>uurtarief58</f>
        <v>0</v>
      </c>
      <c r="Q346" s="101" t="e">
        <f>IF(ISBLANK(M346),0,L346/ROUND(M346,4))</f>
        <v>#DIV/0!</v>
      </c>
      <c r="R346" s="101" t="e">
        <f>IF(ISBLANK(M346),0,Q346*ROUND(N346,2))</f>
        <v>#DIV/0!</v>
      </c>
      <c r="S346" s="24" t="e">
        <f>ROUND(P346,2)*Q346</f>
        <v>#DIV/0!</v>
      </c>
      <c r="T346" s="101" t="e">
        <f>Q346*dagenperjaar1</f>
        <v>#DIV/0!</v>
      </c>
      <c r="U346" s="25" t="e">
        <f>T346*ROUND(P346,2)</f>
        <v>#DIV/0!</v>
      </c>
    </row>
    <row r="347" spans="1:21" x14ac:dyDescent="0.2">
      <c r="A347" s="98" t="s">
        <v>574</v>
      </c>
      <c r="B347" s="99" t="s">
        <v>50</v>
      </c>
      <c r="C347" s="99" t="s">
        <v>345</v>
      </c>
      <c r="D347" s="99" t="s">
        <v>365</v>
      </c>
      <c r="E347" s="100" t="s">
        <v>420</v>
      </c>
      <c r="F347" s="99" t="s">
        <v>348</v>
      </c>
      <c r="G347" s="99" t="s">
        <v>270</v>
      </c>
      <c r="H347" s="99" t="s">
        <v>11</v>
      </c>
      <c r="I347" s="99" t="s">
        <v>246</v>
      </c>
      <c r="J347" s="99"/>
      <c r="K347" s="101">
        <v>1.5</v>
      </c>
      <c r="L347" s="101">
        <f>K347*VLOOKUP(H347,dagsoorttabel1,2,FALSE)</f>
        <v>1.3235294117647058</v>
      </c>
      <c r="M347" s="102">
        <f>prodnorm65</f>
        <v>0</v>
      </c>
      <c r="N347" s="37">
        <f>dagwerk65</f>
        <v>0</v>
      </c>
      <c r="O347" s="99" t="s">
        <v>108</v>
      </c>
      <c r="P347" s="24">
        <f>uurtarief65</f>
        <v>0</v>
      </c>
      <c r="Q347" s="101" t="e">
        <f>IF(ISBLANK(M347),0,L347/ROUND(M347,4))</f>
        <v>#DIV/0!</v>
      </c>
      <c r="R347" s="101" t="e">
        <f>IF(ISBLANK(M347),0,Q347*ROUND(N347,2))</f>
        <v>#DIV/0!</v>
      </c>
      <c r="S347" s="24" t="e">
        <f>ROUND(P347,2)*Q347</f>
        <v>#DIV/0!</v>
      </c>
      <c r="T347" s="101" t="e">
        <f>Q347*dagenperjaar1</f>
        <v>#DIV/0!</v>
      </c>
      <c r="U347" s="25" t="e">
        <f>T347*ROUND(P347,2)</f>
        <v>#DIV/0!</v>
      </c>
    </row>
    <row r="348" spans="1:21" x14ac:dyDescent="0.2">
      <c r="A348" s="98" t="s">
        <v>574</v>
      </c>
      <c r="B348" s="99" t="s">
        <v>50</v>
      </c>
      <c r="C348" s="99" t="s">
        <v>345</v>
      </c>
      <c r="D348" s="99" t="s">
        <v>367</v>
      </c>
      <c r="E348" s="100" t="s">
        <v>547</v>
      </c>
      <c r="F348" s="99" t="s">
        <v>348</v>
      </c>
      <c r="G348" s="99" t="s">
        <v>251</v>
      </c>
      <c r="H348" s="99" t="s">
        <v>11</v>
      </c>
      <c r="I348" s="99" t="s">
        <v>246</v>
      </c>
      <c r="J348" s="99"/>
      <c r="K348" s="101">
        <v>14</v>
      </c>
      <c r="L348" s="101">
        <f>K348*VLOOKUP(H348,dagsoorttabel1,2,FALSE)</f>
        <v>12.352941176470587</v>
      </c>
      <c r="M348" s="102">
        <f>prodnorm40</f>
        <v>0</v>
      </c>
      <c r="N348" s="37">
        <f>dagwerk40</f>
        <v>0</v>
      </c>
      <c r="O348" s="99" t="s">
        <v>108</v>
      </c>
      <c r="P348" s="24">
        <f>uurtarief40</f>
        <v>0</v>
      </c>
      <c r="Q348" s="101" t="e">
        <f>IF(ISBLANK(M348),0,L348/ROUND(M348,4))</f>
        <v>#DIV/0!</v>
      </c>
      <c r="R348" s="101" t="e">
        <f>IF(ISBLANK(M348),0,Q348*ROUND(N348,2))</f>
        <v>#DIV/0!</v>
      </c>
      <c r="S348" s="24" t="e">
        <f>ROUND(P348,2)*Q348</f>
        <v>#DIV/0!</v>
      </c>
      <c r="T348" s="101" t="e">
        <f>Q348*dagenperjaar1</f>
        <v>#DIV/0!</v>
      </c>
      <c r="U348" s="25" t="e">
        <f>T348*ROUND(P348,2)</f>
        <v>#DIV/0!</v>
      </c>
    </row>
    <row r="349" spans="1:21" x14ac:dyDescent="0.2">
      <c r="A349" s="98" t="s">
        <v>574</v>
      </c>
      <c r="B349" s="99" t="s">
        <v>50</v>
      </c>
      <c r="C349" s="99" t="s">
        <v>345</v>
      </c>
      <c r="D349" s="99" t="s">
        <v>369</v>
      </c>
      <c r="E349" s="100" t="s">
        <v>547</v>
      </c>
      <c r="F349" s="99" t="s">
        <v>348</v>
      </c>
      <c r="G349" s="99" t="s">
        <v>251</v>
      </c>
      <c r="H349" s="99" t="s">
        <v>11</v>
      </c>
      <c r="I349" s="99" t="s">
        <v>246</v>
      </c>
      <c r="J349" s="99"/>
      <c r="K349" s="101">
        <v>1.5</v>
      </c>
      <c r="L349" s="101">
        <f>K349*VLOOKUP(H349,dagsoorttabel1,2,FALSE)</f>
        <v>1.3235294117647058</v>
      </c>
      <c r="M349" s="102">
        <f>prodnorm40</f>
        <v>0</v>
      </c>
      <c r="N349" s="37">
        <f>dagwerk40</f>
        <v>0</v>
      </c>
      <c r="O349" s="99" t="s">
        <v>108</v>
      </c>
      <c r="P349" s="24">
        <f>uurtarief40</f>
        <v>0</v>
      </c>
      <c r="Q349" s="101" t="e">
        <f>IF(ISBLANK(M349),0,L349/ROUND(M349,4))</f>
        <v>#DIV/0!</v>
      </c>
      <c r="R349" s="101" t="e">
        <f>IF(ISBLANK(M349),0,Q349*ROUND(N349,2))</f>
        <v>#DIV/0!</v>
      </c>
      <c r="S349" s="24" t="e">
        <f>ROUND(P349,2)*Q349</f>
        <v>#DIV/0!</v>
      </c>
      <c r="T349" s="101" t="e">
        <f>Q349*dagenperjaar1</f>
        <v>#DIV/0!</v>
      </c>
      <c r="U349" s="25" t="e">
        <f>T349*ROUND(P349,2)</f>
        <v>#DIV/0!</v>
      </c>
    </row>
    <row r="350" spans="1:21" x14ac:dyDescent="0.2">
      <c r="A350" s="98" t="s">
        <v>574</v>
      </c>
      <c r="B350" s="99" t="s">
        <v>50</v>
      </c>
      <c r="C350" s="99" t="s">
        <v>345</v>
      </c>
      <c r="D350" s="99" t="s">
        <v>371</v>
      </c>
      <c r="E350" s="100" t="s">
        <v>547</v>
      </c>
      <c r="F350" s="99" t="s">
        <v>348</v>
      </c>
      <c r="G350" s="99" t="s">
        <v>251</v>
      </c>
      <c r="H350" s="99" t="s">
        <v>11</v>
      </c>
      <c r="I350" s="99" t="s">
        <v>246</v>
      </c>
      <c r="J350" s="99"/>
      <c r="K350" s="101">
        <v>1.5</v>
      </c>
      <c r="L350" s="101">
        <f>K350*VLOOKUP(H350,dagsoorttabel1,2,FALSE)</f>
        <v>1.3235294117647058</v>
      </c>
      <c r="M350" s="102">
        <f>prodnorm40</f>
        <v>0</v>
      </c>
      <c r="N350" s="37">
        <f>dagwerk40</f>
        <v>0</v>
      </c>
      <c r="O350" s="99" t="s">
        <v>108</v>
      </c>
      <c r="P350" s="24">
        <f>uurtarief40</f>
        <v>0</v>
      </c>
      <c r="Q350" s="101" t="e">
        <f>IF(ISBLANK(M350),0,L350/ROUND(M350,4))</f>
        <v>#DIV/0!</v>
      </c>
      <c r="R350" s="101" t="e">
        <f>IF(ISBLANK(M350),0,Q350*ROUND(N350,2))</f>
        <v>#DIV/0!</v>
      </c>
      <c r="S350" s="24" t="e">
        <f>ROUND(P350,2)*Q350</f>
        <v>#DIV/0!</v>
      </c>
      <c r="T350" s="101" t="e">
        <f>Q350*dagenperjaar1</f>
        <v>#DIV/0!</v>
      </c>
      <c r="U350" s="25" t="e">
        <f>T350*ROUND(P350,2)</f>
        <v>#DIV/0!</v>
      </c>
    </row>
    <row r="351" spans="1:21" x14ac:dyDescent="0.2">
      <c r="A351" s="98" t="s">
        <v>574</v>
      </c>
      <c r="B351" s="99" t="s">
        <v>50</v>
      </c>
      <c r="C351" s="99" t="s">
        <v>345</v>
      </c>
      <c r="D351" s="99" t="s">
        <v>373</v>
      </c>
      <c r="E351" s="100" t="s">
        <v>559</v>
      </c>
      <c r="F351" s="99" t="s">
        <v>348</v>
      </c>
      <c r="G351" s="99" t="s">
        <v>259</v>
      </c>
      <c r="H351" s="99" t="s">
        <v>11</v>
      </c>
      <c r="I351" s="99" t="s">
        <v>246</v>
      </c>
      <c r="J351" s="99"/>
      <c r="K351" s="101">
        <v>252</v>
      </c>
      <c r="L351" s="101">
        <f>K351*VLOOKUP(H351,dagsoorttabel1,2,FALSE)</f>
        <v>222.35294117647058</v>
      </c>
      <c r="M351" s="102">
        <f>prodnorm52</f>
        <v>0</v>
      </c>
      <c r="N351" s="37">
        <f>dagwerk52</f>
        <v>0</v>
      </c>
      <c r="O351" s="99" t="s">
        <v>108</v>
      </c>
      <c r="P351" s="24">
        <f>uurtarief52</f>
        <v>0</v>
      </c>
      <c r="Q351" s="101" t="e">
        <f>IF(ISBLANK(M351),0,L351/ROUND(M351,4))</f>
        <v>#DIV/0!</v>
      </c>
      <c r="R351" s="101" t="e">
        <f>IF(ISBLANK(M351),0,Q351*ROUND(N351,2))</f>
        <v>#DIV/0!</v>
      </c>
      <c r="S351" s="24" t="e">
        <f>ROUND(P351,2)*Q351</f>
        <v>#DIV/0!</v>
      </c>
      <c r="T351" s="101" t="e">
        <f>Q351*dagenperjaar1</f>
        <v>#DIV/0!</v>
      </c>
      <c r="U351" s="25" t="e">
        <f>T351*ROUND(P351,2)</f>
        <v>#DIV/0!</v>
      </c>
    </row>
    <row r="352" spans="1:21" x14ac:dyDescent="0.2">
      <c r="A352" s="103" t="s">
        <v>574</v>
      </c>
      <c r="B352" s="104" t="s">
        <v>50</v>
      </c>
      <c r="C352" s="104" t="s">
        <v>345</v>
      </c>
      <c r="D352" s="104" t="s">
        <v>375</v>
      </c>
      <c r="E352" s="105" t="s">
        <v>466</v>
      </c>
      <c r="F352" s="104" t="s">
        <v>348</v>
      </c>
      <c r="G352" s="104" t="s">
        <v>259</v>
      </c>
      <c r="H352" s="104" t="s">
        <v>28</v>
      </c>
      <c r="I352" s="104" t="s">
        <v>246</v>
      </c>
      <c r="J352" s="104"/>
      <c r="K352" s="106">
        <v>33.5</v>
      </c>
      <c r="L352" s="106">
        <f>K352*VLOOKUP(H352,dagsoorttabel1,2,FALSE)</f>
        <v>0.2627450980392157</v>
      </c>
      <c r="M352" s="107">
        <f>prodnorm53</f>
        <v>0</v>
      </c>
      <c r="N352" s="108">
        <f>dagwerk53</f>
        <v>0</v>
      </c>
      <c r="O352" s="104" t="s">
        <v>108</v>
      </c>
      <c r="P352" s="34">
        <f>uurtarief53</f>
        <v>0</v>
      </c>
      <c r="Q352" s="106" t="e">
        <f>IF(ISBLANK(M352),0,L352/ROUND(M352,4))</f>
        <v>#DIV/0!</v>
      </c>
      <c r="R352" s="106" t="e">
        <f>IF(ISBLANK(M352),0,Q352*ROUND(N352,2))</f>
        <v>#DIV/0!</v>
      </c>
      <c r="S352" s="34" t="e">
        <f>ROUND(P352,2)*Q352</f>
        <v>#DIV/0!</v>
      </c>
      <c r="T352" s="106" t="e">
        <f>Q352*dagenperjaar1</f>
        <v>#DIV/0!</v>
      </c>
      <c r="U352" s="35" t="e">
        <f>T352*ROUND(P352,2)</f>
        <v>#DIV/0!</v>
      </c>
    </row>
    <row r="353" spans="1:21" x14ac:dyDescent="0.2">
      <c r="A353" s="109" t="s">
        <v>403</v>
      </c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81" t="e">
        <f>IF(_xlfn.SINGLE(object15_urenjaar1)&gt;0,_xlfn.SINGLE(object15_prijsjaar1)/_xlfn.SINGLE(object15_urenjaar1),0)</f>
        <v>#DIV/0!</v>
      </c>
      <c r="Q353" s="80" t="e">
        <f>SUM(Q338:Q352)</f>
        <v>#DIV/0!</v>
      </c>
      <c r="R353" s="80" t="e">
        <f>SUM(R338:R352)</f>
        <v>#DIV/0!</v>
      </c>
      <c r="S353" s="81" t="e">
        <f>SUM(S338:S352)</f>
        <v>#DIV/0!</v>
      </c>
      <c r="T353" s="80" t="e">
        <f>SUM(T338:T352)</f>
        <v>#DIV/0!</v>
      </c>
      <c r="U353" s="82" t="e">
        <f>SUM(U338:U352)</f>
        <v>#DIV/0!</v>
      </c>
    </row>
    <row r="354" spans="1:21" x14ac:dyDescent="0.2">
      <c r="A354" s="88" t="s">
        <v>576</v>
      </c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77"/>
    </row>
    <row r="355" spans="1:21" x14ac:dyDescent="0.2">
      <c r="A355" s="90" t="s">
        <v>577</v>
      </c>
      <c r="B355" s="91" t="s">
        <v>50</v>
      </c>
      <c r="C355" s="91" t="s">
        <v>345</v>
      </c>
      <c r="D355" s="91" t="s">
        <v>346</v>
      </c>
      <c r="E355" s="92" t="s">
        <v>578</v>
      </c>
      <c r="F355" s="91" t="s">
        <v>443</v>
      </c>
      <c r="G355" s="91" t="s">
        <v>259</v>
      </c>
      <c r="H355" s="91" t="s">
        <v>11</v>
      </c>
      <c r="I355" s="91" t="s">
        <v>246</v>
      </c>
      <c r="J355" s="91"/>
      <c r="K355" s="93">
        <v>252.26</v>
      </c>
      <c r="L355" s="93">
        <f>K355*VLOOKUP(H355,dagsoorttabel1,2,FALSE)</f>
        <v>222.58235294117645</v>
      </c>
      <c r="M355" s="94">
        <f>prodnorm52</f>
        <v>0</v>
      </c>
      <c r="N355" s="95">
        <f>dagwerk52</f>
        <v>0</v>
      </c>
      <c r="O355" s="91" t="s">
        <v>108</v>
      </c>
      <c r="P355" s="96">
        <f>uurtarief52</f>
        <v>0</v>
      </c>
      <c r="Q355" s="93" t="e">
        <f>IF(ISBLANK(M355),0,L355/ROUND(M355,4))</f>
        <v>#DIV/0!</v>
      </c>
      <c r="R355" s="93" t="e">
        <f>IF(ISBLANK(M355),0,Q355*ROUND(N355,2))</f>
        <v>#DIV/0!</v>
      </c>
      <c r="S355" s="96" t="e">
        <f>ROUND(P355,2)*Q355</f>
        <v>#DIV/0!</v>
      </c>
      <c r="T355" s="93" t="e">
        <f>Q355*dagenperjaar1</f>
        <v>#DIV/0!</v>
      </c>
      <c r="U355" s="97" t="e">
        <f>T355*ROUND(P355,2)</f>
        <v>#DIV/0!</v>
      </c>
    </row>
    <row r="356" spans="1:21" x14ac:dyDescent="0.2">
      <c r="A356" s="98" t="s">
        <v>577</v>
      </c>
      <c r="B356" s="99" t="s">
        <v>50</v>
      </c>
      <c r="C356" s="99" t="s">
        <v>345</v>
      </c>
      <c r="D356" s="99" t="s">
        <v>349</v>
      </c>
      <c r="E356" s="100" t="s">
        <v>579</v>
      </c>
      <c r="F356" s="99" t="s">
        <v>443</v>
      </c>
      <c r="G356" s="99" t="s">
        <v>259</v>
      </c>
      <c r="H356" s="99" t="s">
        <v>28</v>
      </c>
      <c r="I356" s="99" t="s">
        <v>246</v>
      </c>
      <c r="J356" s="99"/>
      <c r="K356" s="101">
        <v>33.18</v>
      </c>
      <c r="L356" s="101">
        <f>K356*VLOOKUP(H356,dagsoorttabel1,2,FALSE)</f>
        <v>0.26023529411764706</v>
      </c>
      <c r="M356" s="102">
        <f>prodnorm53</f>
        <v>0</v>
      </c>
      <c r="N356" s="37">
        <f>dagwerk53</f>
        <v>0</v>
      </c>
      <c r="O356" s="99" t="s">
        <v>108</v>
      </c>
      <c r="P356" s="24">
        <f>uurtarief53</f>
        <v>0</v>
      </c>
      <c r="Q356" s="101" t="e">
        <f>IF(ISBLANK(M356),0,L356/ROUND(M356,4))</f>
        <v>#DIV/0!</v>
      </c>
      <c r="R356" s="101" t="e">
        <f>IF(ISBLANK(M356),0,Q356*ROUND(N356,2))</f>
        <v>#DIV/0!</v>
      </c>
      <c r="S356" s="24" t="e">
        <f>ROUND(P356,2)*Q356</f>
        <v>#DIV/0!</v>
      </c>
      <c r="T356" s="101" t="e">
        <f>Q356*dagenperjaar1</f>
        <v>#DIV/0!</v>
      </c>
      <c r="U356" s="25" t="e">
        <f>T356*ROUND(P356,2)</f>
        <v>#DIV/0!</v>
      </c>
    </row>
    <row r="357" spans="1:21" x14ac:dyDescent="0.2">
      <c r="A357" s="98" t="s">
        <v>577</v>
      </c>
      <c r="B357" s="99" t="s">
        <v>50</v>
      </c>
      <c r="C357" s="99" t="s">
        <v>345</v>
      </c>
      <c r="D357" s="99" t="s">
        <v>351</v>
      </c>
      <c r="E357" s="100" t="s">
        <v>391</v>
      </c>
      <c r="F357" s="99" t="s">
        <v>348</v>
      </c>
      <c r="G357" s="99" t="s">
        <v>277</v>
      </c>
      <c r="H357" s="99" t="s">
        <v>11</v>
      </c>
      <c r="I357" s="99" t="s">
        <v>246</v>
      </c>
      <c r="J357" s="99"/>
      <c r="K357" s="101">
        <v>16</v>
      </c>
      <c r="L357" s="101">
        <f>K357*VLOOKUP(H357,dagsoorttabel1,2,FALSE)</f>
        <v>14.117647058823529</v>
      </c>
      <c r="M357" s="102">
        <f>prodnorm74</f>
        <v>0</v>
      </c>
      <c r="N357" s="37">
        <f>dagwerk74</f>
        <v>0</v>
      </c>
      <c r="O357" s="99" t="s">
        <v>108</v>
      </c>
      <c r="P357" s="24">
        <f>uurtarief74</f>
        <v>0</v>
      </c>
      <c r="Q357" s="101" t="e">
        <f>IF(ISBLANK(M357),0,L357/ROUND(M357,4))</f>
        <v>#DIV/0!</v>
      </c>
      <c r="R357" s="101" t="e">
        <f>IF(ISBLANK(M357),0,Q357*ROUND(N357,2))</f>
        <v>#DIV/0!</v>
      </c>
      <c r="S357" s="24" t="e">
        <f>ROUND(P357,2)*Q357</f>
        <v>#DIV/0!</v>
      </c>
      <c r="T357" s="101" t="e">
        <f>Q357*dagenperjaar1</f>
        <v>#DIV/0!</v>
      </c>
      <c r="U357" s="25" t="e">
        <f>T357*ROUND(P357,2)</f>
        <v>#DIV/0!</v>
      </c>
    </row>
    <row r="358" spans="1:21" x14ac:dyDescent="0.2">
      <c r="A358" s="98" t="s">
        <v>577</v>
      </c>
      <c r="B358" s="99" t="s">
        <v>50</v>
      </c>
      <c r="C358" s="99" t="s">
        <v>345</v>
      </c>
      <c r="D358" s="99" t="s">
        <v>353</v>
      </c>
      <c r="E358" s="100" t="s">
        <v>407</v>
      </c>
      <c r="F358" s="99" t="s">
        <v>348</v>
      </c>
      <c r="G358" s="99" t="s">
        <v>262</v>
      </c>
      <c r="H358" s="99" t="s">
        <v>11</v>
      </c>
      <c r="I358" s="99" t="s">
        <v>246</v>
      </c>
      <c r="J358" s="99"/>
      <c r="K358" s="101">
        <v>19.330000000000002</v>
      </c>
      <c r="L358" s="101">
        <f>K358*VLOOKUP(H358,dagsoorttabel1,2,FALSE)</f>
        <v>17.055882352941179</v>
      </c>
      <c r="M358" s="102">
        <f>prodnorm58</f>
        <v>0</v>
      </c>
      <c r="N358" s="37">
        <f>dagwerk58</f>
        <v>0</v>
      </c>
      <c r="O358" s="99" t="s">
        <v>108</v>
      </c>
      <c r="P358" s="24">
        <f>uurtarief58</f>
        <v>0</v>
      </c>
      <c r="Q358" s="101" t="e">
        <f>IF(ISBLANK(M358),0,L358/ROUND(M358,4))</f>
        <v>#DIV/0!</v>
      </c>
      <c r="R358" s="101" t="e">
        <f>IF(ISBLANK(M358),0,Q358*ROUND(N358,2))</f>
        <v>#DIV/0!</v>
      </c>
      <c r="S358" s="24" t="e">
        <f>ROUND(P358,2)*Q358</f>
        <v>#DIV/0!</v>
      </c>
      <c r="T358" s="101" t="e">
        <f>Q358*dagenperjaar1</f>
        <v>#DIV/0!</v>
      </c>
      <c r="U358" s="25" t="e">
        <f>T358*ROUND(P358,2)</f>
        <v>#DIV/0!</v>
      </c>
    </row>
    <row r="359" spans="1:21" x14ac:dyDescent="0.2">
      <c r="A359" s="98" t="s">
        <v>577</v>
      </c>
      <c r="B359" s="99" t="s">
        <v>50</v>
      </c>
      <c r="C359" s="99" t="s">
        <v>345</v>
      </c>
      <c r="D359" s="99" t="s">
        <v>355</v>
      </c>
      <c r="E359" s="100" t="s">
        <v>407</v>
      </c>
      <c r="F359" s="99" t="s">
        <v>348</v>
      </c>
      <c r="G359" s="99" t="s">
        <v>262</v>
      </c>
      <c r="H359" s="99" t="s">
        <v>11</v>
      </c>
      <c r="I359" s="99" t="s">
        <v>246</v>
      </c>
      <c r="J359" s="99"/>
      <c r="K359" s="101">
        <v>19.330000000000002</v>
      </c>
      <c r="L359" s="101">
        <f>K359*VLOOKUP(H359,dagsoorttabel1,2,FALSE)</f>
        <v>17.055882352941179</v>
      </c>
      <c r="M359" s="102">
        <f>prodnorm58</f>
        <v>0</v>
      </c>
      <c r="N359" s="37">
        <f>dagwerk58</f>
        <v>0</v>
      </c>
      <c r="O359" s="99" t="s">
        <v>108</v>
      </c>
      <c r="P359" s="24">
        <f>uurtarief58</f>
        <v>0</v>
      </c>
      <c r="Q359" s="101" t="e">
        <f>IF(ISBLANK(M359),0,L359/ROUND(M359,4))</f>
        <v>#DIV/0!</v>
      </c>
      <c r="R359" s="101" t="e">
        <f>IF(ISBLANK(M359),0,Q359*ROUND(N359,2))</f>
        <v>#DIV/0!</v>
      </c>
      <c r="S359" s="24" t="e">
        <f>ROUND(P359,2)*Q359</f>
        <v>#DIV/0!</v>
      </c>
      <c r="T359" s="101" t="e">
        <f>Q359*dagenperjaar1</f>
        <v>#DIV/0!</v>
      </c>
      <c r="U359" s="25" t="e">
        <f>T359*ROUND(P359,2)</f>
        <v>#DIV/0!</v>
      </c>
    </row>
    <row r="360" spans="1:21" x14ac:dyDescent="0.2">
      <c r="A360" s="98" t="s">
        <v>577</v>
      </c>
      <c r="B360" s="99" t="s">
        <v>50</v>
      </c>
      <c r="C360" s="99" t="s">
        <v>345</v>
      </c>
      <c r="D360" s="99" t="s">
        <v>357</v>
      </c>
      <c r="E360" s="100" t="s">
        <v>580</v>
      </c>
      <c r="F360" s="99" t="s">
        <v>348</v>
      </c>
      <c r="G360" s="99" t="s">
        <v>251</v>
      </c>
      <c r="H360" s="99" t="s">
        <v>11</v>
      </c>
      <c r="I360" s="99" t="s">
        <v>246</v>
      </c>
      <c r="J360" s="99"/>
      <c r="K360" s="101">
        <v>2</v>
      </c>
      <c r="L360" s="101">
        <f>K360*VLOOKUP(H360,dagsoorttabel1,2,FALSE)</f>
        <v>1.7647058823529411</v>
      </c>
      <c r="M360" s="102">
        <f>prodnorm40</f>
        <v>0</v>
      </c>
      <c r="N360" s="37">
        <f>dagwerk40</f>
        <v>0</v>
      </c>
      <c r="O360" s="99" t="s">
        <v>108</v>
      </c>
      <c r="P360" s="24">
        <f>uurtarief40</f>
        <v>0</v>
      </c>
      <c r="Q360" s="101" t="e">
        <f>IF(ISBLANK(M360),0,L360/ROUND(M360,4))</f>
        <v>#DIV/0!</v>
      </c>
      <c r="R360" s="101" t="e">
        <f>IF(ISBLANK(M360),0,Q360*ROUND(N360,2))</f>
        <v>#DIV/0!</v>
      </c>
      <c r="S360" s="24" t="e">
        <f>ROUND(P360,2)*Q360</f>
        <v>#DIV/0!</v>
      </c>
      <c r="T360" s="101" t="e">
        <f>Q360*dagenperjaar1</f>
        <v>#DIV/0!</v>
      </c>
      <c r="U360" s="25" t="e">
        <f>T360*ROUND(P360,2)</f>
        <v>#DIV/0!</v>
      </c>
    </row>
    <row r="361" spans="1:21" x14ac:dyDescent="0.2">
      <c r="A361" s="98" t="s">
        <v>577</v>
      </c>
      <c r="B361" s="99" t="s">
        <v>50</v>
      </c>
      <c r="C361" s="99" t="s">
        <v>345</v>
      </c>
      <c r="D361" s="99" t="s">
        <v>359</v>
      </c>
      <c r="E361" s="100" t="s">
        <v>580</v>
      </c>
      <c r="F361" s="99" t="s">
        <v>348</v>
      </c>
      <c r="G361" s="99" t="s">
        <v>251</v>
      </c>
      <c r="H361" s="99" t="s">
        <v>11</v>
      </c>
      <c r="I361" s="99" t="s">
        <v>246</v>
      </c>
      <c r="J361" s="99"/>
      <c r="K361" s="101">
        <v>2</v>
      </c>
      <c r="L361" s="101">
        <f>K361*VLOOKUP(H361,dagsoorttabel1,2,FALSE)</f>
        <v>1.7647058823529411</v>
      </c>
      <c r="M361" s="102">
        <f>prodnorm40</f>
        <v>0</v>
      </c>
      <c r="N361" s="37">
        <f>dagwerk40</f>
        <v>0</v>
      </c>
      <c r="O361" s="99" t="s">
        <v>108</v>
      </c>
      <c r="P361" s="24">
        <f>uurtarief40</f>
        <v>0</v>
      </c>
      <c r="Q361" s="101" t="e">
        <f>IF(ISBLANK(M361),0,L361/ROUND(M361,4))</f>
        <v>#DIV/0!</v>
      </c>
      <c r="R361" s="101" t="e">
        <f>IF(ISBLANK(M361),0,Q361*ROUND(N361,2))</f>
        <v>#DIV/0!</v>
      </c>
      <c r="S361" s="24" t="e">
        <f>ROUND(P361,2)*Q361</f>
        <v>#DIV/0!</v>
      </c>
      <c r="T361" s="101" t="e">
        <f>Q361*dagenperjaar1</f>
        <v>#DIV/0!</v>
      </c>
      <c r="U361" s="25" t="e">
        <f>T361*ROUND(P361,2)</f>
        <v>#DIV/0!</v>
      </c>
    </row>
    <row r="362" spans="1:21" x14ac:dyDescent="0.2">
      <c r="A362" s="98" t="s">
        <v>577</v>
      </c>
      <c r="B362" s="99" t="s">
        <v>50</v>
      </c>
      <c r="C362" s="99" t="s">
        <v>345</v>
      </c>
      <c r="D362" s="99" t="s">
        <v>361</v>
      </c>
      <c r="E362" s="100" t="s">
        <v>527</v>
      </c>
      <c r="F362" s="99" t="s">
        <v>348</v>
      </c>
      <c r="G362" s="99" t="s">
        <v>251</v>
      </c>
      <c r="H362" s="99" t="s">
        <v>11</v>
      </c>
      <c r="I362" s="99" t="s">
        <v>246</v>
      </c>
      <c r="J362" s="99"/>
      <c r="K362" s="101">
        <v>10</v>
      </c>
      <c r="L362" s="101">
        <f>K362*VLOOKUP(H362,dagsoorttabel1,2,FALSE)</f>
        <v>8.8235294117647065</v>
      </c>
      <c r="M362" s="102">
        <f>prodnorm40</f>
        <v>0</v>
      </c>
      <c r="N362" s="37">
        <f>dagwerk40</f>
        <v>0</v>
      </c>
      <c r="O362" s="99" t="s">
        <v>108</v>
      </c>
      <c r="P362" s="24">
        <f>uurtarief40</f>
        <v>0</v>
      </c>
      <c r="Q362" s="101" t="e">
        <f>IF(ISBLANK(M362),0,L362/ROUND(M362,4))</f>
        <v>#DIV/0!</v>
      </c>
      <c r="R362" s="101" t="e">
        <f>IF(ISBLANK(M362),0,Q362*ROUND(N362,2))</f>
        <v>#DIV/0!</v>
      </c>
      <c r="S362" s="24" t="e">
        <f>ROUND(P362,2)*Q362</f>
        <v>#DIV/0!</v>
      </c>
      <c r="T362" s="101" t="e">
        <f>Q362*dagenperjaar1</f>
        <v>#DIV/0!</v>
      </c>
      <c r="U362" s="25" t="e">
        <f>T362*ROUND(P362,2)</f>
        <v>#DIV/0!</v>
      </c>
    </row>
    <row r="363" spans="1:21" x14ac:dyDescent="0.2">
      <c r="A363" s="98" t="s">
        <v>577</v>
      </c>
      <c r="B363" s="99" t="s">
        <v>50</v>
      </c>
      <c r="C363" s="99" t="s">
        <v>345</v>
      </c>
      <c r="D363" s="99" t="s">
        <v>363</v>
      </c>
      <c r="E363" s="100" t="s">
        <v>527</v>
      </c>
      <c r="F363" s="99" t="s">
        <v>348</v>
      </c>
      <c r="G363" s="99" t="s">
        <v>251</v>
      </c>
      <c r="H363" s="99" t="s">
        <v>11</v>
      </c>
      <c r="I363" s="99" t="s">
        <v>246</v>
      </c>
      <c r="J363" s="99"/>
      <c r="K363" s="101">
        <v>10</v>
      </c>
      <c r="L363" s="101">
        <f>K363*VLOOKUP(H363,dagsoorttabel1,2,FALSE)</f>
        <v>8.8235294117647065</v>
      </c>
      <c r="M363" s="102">
        <f>prodnorm40</f>
        <v>0</v>
      </c>
      <c r="N363" s="37">
        <f>dagwerk40</f>
        <v>0</v>
      </c>
      <c r="O363" s="99" t="s">
        <v>108</v>
      </c>
      <c r="P363" s="24">
        <f>uurtarief40</f>
        <v>0</v>
      </c>
      <c r="Q363" s="101" t="e">
        <f>IF(ISBLANK(M363),0,L363/ROUND(M363,4))</f>
        <v>#DIV/0!</v>
      </c>
      <c r="R363" s="101" t="e">
        <f>IF(ISBLANK(M363),0,Q363*ROUND(N363,2))</f>
        <v>#DIV/0!</v>
      </c>
      <c r="S363" s="24" t="e">
        <f>ROUND(P363,2)*Q363</f>
        <v>#DIV/0!</v>
      </c>
      <c r="T363" s="101" t="e">
        <f>Q363*dagenperjaar1</f>
        <v>#DIV/0!</v>
      </c>
      <c r="U363" s="25" t="e">
        <f>T363*ROUND(P363,2)</f>
        <v>#DIV/0!</v>
      </c>
    </row>
    <row r="364" spans="1:21" x14ac:dyDescent="0.2">
      <c r="A364" s="98" t="s">
        <v>577</v>
      </c>
      <c r="B364" s="99" t="s">
        <v>50</v>
      </c>
      <c r="C364" s="99" t="s">
        <v>345</v>
      </c>
      <c r="D364" s="99" t="s">
        <v>365</v>
      </c>
      <c r="E364" s="100" t="s">
        <v>380</v>
      </c>
      <c r="F364" s="99" t="s">
        <v>348</v>
      </c>
      <c r="G364" s="99" t="s">
        <v>270</v>
      </c>
      <c r="H364" s="99" t="s">
        <v>11</v>
      </c>
      <c r="I364" s="99" t="s">
        <v>246</v>
      </c>
      <c r="J364" s="99"/>
      <c r="K364" s="101">
        <v>1.5</v>
      </c>
      <c r="L364" s="101">
        <f>K364*VLOOKUP(H364,dagsoorttabel1,2,FALSE)</f>
        <v>1.3235294117647058</v>
      </c>
      <c r="M364" s="102">
        <f>prodnorm65</f>
        <v>0</v>
      </c>
      <c r="N364" s="37">
        <f>dagwerk65</f>
        <v>0</v>
      </c>
      <c r="O364" s="99" t="s">
        <v>108</v>
      </c>
      <c r="P364" s="24">
        <f>uurtarief65</f>
        <v>0</v>
      </c>
      <c r="Q364" s="101" t="e">
        <f>IF(ISBLANK(M364),0,L364/ROUND(M364,4))</f>
        <v>#DIV/0!</v>
      </c>
      <c r="R364" s="101" t="e">
        <f>IF(ISBLANK(M364),0,Q364*ROUND(N364,2))</f>
        <v>#DIV/0!</v>
      </c>
      <c r="S364" s="24" t="e">
        <f>ROUND(P364,2)*Q364</f>
        <v>#DIV/0!</v>
      </c>
      <c r="T364" s="101" t="e">
        <f>Q364*dagenperjaar1</f>
        <v>#DIV/0!</v>
      </c>
      <c r="U364" s="25" t="e">
        <f>T364*ROUND(P364,2)</f>
        <v>#DIV/0!</v>
      </c>
    </row>
    <row r="365" spans="1:21" x14ac:dyDescent="0.2">
      <c r="A365" s="98" t="s">
        <v>577</v>
      </c>
      <c r="B365" s="99" t="s">
        <v>50</v>
      </c>
      <c r="C365" s="99" t="s">
        <v>345</v>
      </c>
      <c r="D365" s="99" t="s">
        <v>367</v>
      </c>
      <c r="E365" s="100" t="s">
        <v>380</v>
      </c>
      <c r="F365" s="99" t="s">
        <v>348</v>
      </c>
      <c r="G365" s="99" t="s">
        <v>270</v>
      </c>
      <c r="H365" s="99" t="s">
        <v>11</v>
      </c>
      <c r="I365" s="99" t="s">
        <v>246</v>
      </c>
      <c r="J365" s="99"/>
      <c r="K365" s="101">
        <v>1.5</v>
      </c>
      <c r="L365" s="101">
        <f>K365*VLOOKUP(H365,dagsoorttabel1,2,FALSE)</f>
        <v>1.3235294117647058</v>
      </c>
      <c r="M365" s="102">
        <f>prodnorm65</f>
        <v>0</v>
      </c>
      <c r="N365" s="37">
        <f>dagwerk65</f>
        <v>0</v>
      </c>
      <c r="O365" s="99" t="s">
        <v>108</v>
      </c>
      <c r="P365" s="24">
        <f>uurtarief65</f>
        <v>0</v>
      </c>
      <c r="Q365" s="101" t="e">
        <f>IF(ISBLANK(M365),0,L365/ROUND(M365,4))</f>
        <v>#DIV/0!</v>
      </c>
      <c r="R365" s="101" t="e">
        <f>IF(ISBLANK(M365),0,Q365*ROUND(N365,2))</f>
        <v>#DIV/0!</v>
      </c>
      <c r="S365" s="24" t="e">
        <f>ROUND(P365,2)*Q365</f>
        <v>#DIV/0!</v>
      </c>
      <c r="T365" s="101" t="e">
        <f>Q365*dagenperjaar1</f>
        <v>#DIV/0!</v>
      </c>
      <c r="U365" s="25" t="e">
        <f>T365*ROUND(P365,2)</f>
        <v>#DIV/0!</v>
      </c>
    </row>
    <row r="366" spans="1:21" x14ac:dyDescent="0.2">
      <c r="A366" s="103" t="s">
        <v>577</v>
      </c>
      <c r="B366" s="104" t="s">
        <v>50</v>
      </c>
      <c r="C366" s="104" t="s">
        <v>345</v>
      </c>
      <c r="D366" s="104" t="s">
        <v>369</v>
      </c>
      <c r="E366" s="105" t="s">
        <v>380</v>
      </c>
      <c r="F366" s="104" t="s">
        <v>348</v>
      </c>
      <c r="G366" s="104" t="s">
        <v>270</v>
      </c>
      <c r="H366" s="104" t="s">
        <v>11</v>
      </c>
      <c r="I366" s="104" t="s">
        <v>246</v>
      </c>
      <c r="J366" s="104"/>
      <c r="K366" s="106">
        <v>1.5</v>
      </c>
      <c r="L366" s="106">
        <f>K366*VLOOKUP(H366,dagsoorttabel1,2,FALSE)</f>
        <v>1.3235294117647058</v>
      </c>
      <c r="M366" s="107">
        <f>prodnorm65</f>
        <v>0</v>
      </c>
      <c r="N366" s="108">
        <f>dagwerk65</f>
        <v>0</v>
      </c>
      <c r="O366" s="104" t="s">
        <v>108</v>
      </c>
      <c r="P366" s="34">
        <f>uurtarief65</f>
        <v>0</v>
      </c>
      <c r="Q366" s="106" t="e">
        <f>IF(ISBLANK(M366),0,L366/ROUND(M366,4))</f>
        <v>#DIV/0!</v>
      </c>
      <c r="R366" s="106" t="e">
        <f>IF(ISBLANK(M366),0,Q366*ROUND(N366,2))</f>
        <v>#DIV/0!</v>
      </c>
      <c r="S366" s="34" t="e">
        <f>ROUND(P366,2)*Q366</f>
        <v>#DIV/0!</v>
      </c>
      <c r="T366" s="106" t="e">
        <f>Q366*dagenperjaar1</f>
        <v>#DIV/0!</v>
      </c>
      <c r="U366" s="35" t="e">
        <f>T366*ROUND(P366,2)</f>
        <v>#DIV/0!</v>
      </c>
    </row>
    <row r="367" spans="1:21" x14ac:dyDescent="0.2">
      <c r="A367" s="109" t="s">
        <v>403</v>
      </c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81" t="e">
        <f>IF(_xlfn.SINGLE(object16_urenjaar1)&gt;0,_xlfn.SINGLE(object16_prijsjaar1)/_xlfn.SINGLE(object16_urenjaar1),0)</f>
        <v>#DIV/0!</v>
      </c>
      <c r="Q367" s="80" t="e">
        <f>SUM(Q355:Q366)</f>
        <v>#DIV/0!</v>
      </c>
      <c r="R367" s="80" t="e">
        <f>SUM(R355:R366)</f>
        <v>#DIV/0!</v>
      </c>
      <c r="S367" s="81" t="e">
        <f>SUM(S355:S366)</f>
        <v>#DIV/0!</v>
      </c>
      <c r="T367" s="80" t="e">
        <f>SUM(T355:T366)</f>
        <v>#DIV/0!</v>
      </c>
      <c r="U367" s="82" t="e">
        <f>SUM(U355:U366)</f>
        <v>#DIV/0!</v>
      </c>
    </row>
    <row r="368" spans="1:21" x14ac:dyDescent="0.2">
      <c r="A368" s="88" t="s">
        <v>581</v>
      </c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77"/>
    </row>
    <row r="369" spans="1:21" x14ac:dyDescent="0.2">
      <c r="A369" s="90" t="s">
        <v>582</v>
      </c>
      <c r="B369" s="91" t="s">
        <v>50</v>
      </c>
      <c r="C369" s="91" t="s">
        <v>345</v>
      </c>
      <c r="D369" s="91" t="s">
        <v>346</v>
      </c>
      <c r="E369" s="92" t="s">
        <v>415</v>
      </c>
      <c r="F369" s="91" t="s">
        <v>423</v>
      </c>
      <c r="G369" s="91" t="s">
        <v>277</v>
      </c>
      <c r="H369" s="91" t="s">
        <v>11</v>
      </c>
      <c r="I369" s="91" t="s">
        <v>246</v>
      </c>
      <c r="J369" s="91"/>
      <c r="K369" s="93">
        <v>26</v>
      </c>
      <c r="L369" s="93">
        <f>K369*VLOOKUP(H369,dagsoorttabel1,2,FALSE)</f>
        <v>22.941176470588236</v>
      </c>
      <c r="M369" s="94">
        <f>prodnorm74</f>
        <v>0</v>
      </c>
      <c r="N369" s="95">
        <f>dagwerk74</f>
        <v>0</v>
      </c>
      <c r="O369" s="91" t="s">
        <v>108</v>
      </c>
      <c r="P369" s="96">
        <f>uurtarief74</f>
        <v>0</v>
      </c>
      <c r="Q369" s="93" t="e">
        <f>IF(ISBLANK(M369),0,L369/ROUND(M369,4))</f>
        <v>#DIV/0!</v>
      </c>
      <c r="R369" s="93" t="e">
        <f>IF(ISBLANK(M369),0,Q369*ROUND(N369,2))</f>
        <v>#DIV/0!</v>
      </c>
      <c r="S369" s="96" t="e">
        <f>ROUND(P369,2)*Q369</f>
        <v>#DIV/0!</v>
      </c>
      <c r="T369" s="93" t="e">
        <f>Q369*dagenperjaar1</f>
        <v>#DIV/0!</v>
      </c>
      <c r="U369" s="97" t="e">
        <f>T369*ROUND(P369,2)</f>
        <v>#DIV/0!</v>
      </c>
    </row>
    <row r="370" spans="1:21" x14ac:dyDescent="0.2">
      <c r="A370" s="98" t="s">
        <v>582</v>
      </c>
      <c r="B370" s="99" t="s">
        <v>50</v>
      </c>
      <c r="C370" s="99" t="s">
        <v>345</v>
      </c>
      <c r="D370" s="99" t="s">
        <v>349</v>
      </c>
      <c r="E370" s="100" t="s">
        <v>529</v>
      </c>
      <c r="F370" s="99" t="s">
        <v>348</v>
      </c>
      <c r="G370" s="99" t="s">
        <v>262</v>
      </c>
      <c r="H370" s="99" t="s">
        <v>11</v>
      </c>
      <c r="I370" s="99" t="s">
        <v>246</v>
      </c>
      <c r="J370" s="99"/>
      <c r="K370" s="101">
        <v>25.1</v>
      </c>
      <c r="L370" s="101">
        <f>K370*VLOOKUP(H370,dagsoorttabel1,2,FALSE)</f>
        <v>22.147058823529413</v>
      </c>
      <c r="M370" s="102">
        <f>prodnorm58</f>
        <v>0</v>
      </c>
      <c r="N370" s="37">
        <f>dagwerk58</f>
        <v>0</v>
      </c>
      <c r="O370" s="99" t="s">
        <v>108</v>
      </c>
      <c r="P370" s="24">
        <f>uurtarief58</f>
        <v>0</v>
      </c>
      <c r="Q370" s="101" t="e">
        <f>IF(ISBLANK(M370),0,L370/ROUND(M370,4))</f>
        <v>#DIV/0!</v>
      </c>
      <c r="R370" s="101" t="e">
        <f>IF(ISBLANK(M370),0,Q370*ROUND(N370,2))</f>
        <v>#DIV/0!</v>
      </c>
      <c r="S370" s="24" t="e">
        <f>ROUND(P370,2)*Q370</f>
        <v>#DIV/0!</v>
      </c>
      <c r="T370" s="101" t="e">
        <f>Q370*dagenperjaar1</f>
        <v>#DIV/0!</v>
      </c>
      <c r="U370" s="25" t="e">
        <f>T370*ROUND(P370,2)</f>
        <v>#DIV/0!</v>
      </c>
    </row>
    <row r="371" spans="1:21" x14ac:dyDescent="0.2">
      <c r="A371" s="98" t="s">
        <v>582</v>
      </c>
      <c r="B371" s="99" t="s">
        <v>50</v>
      </c>
      <c r="C371" s="99" t="s">
        <v>345</v>
      </c>
      <c r="D371" s="99" t="s">
        <v>351</v>
      </c>
      <c r="E371" s="100" t="s">
        <v>380</v>
      </c>
      <c r="F371" s="99" t="s">
        <v>348</v>
      </c>
      <c r="G371" s="99" t="s">
        <v>270</v>
      </c>
      <c r="H371" s="99" t="s">
        <v>11</v>
      </c>
      <c r="I371" s="99" t="s">
        <v>246</v>
      </c>
      <c r="J371" s="99"/>
      <c r="K371" s="101">
        <v>2.34</v>
      </c>
      <c r="L371" s="101">
        <f>K371*VLOOKUP(H371,dagsoorttabel1,2,FALSE)</f>
        <v>2.0647058823529409</v>
      </c>
      <c r="M371" s="102">
        <f>prodnorm65</f>
        <v>0</v>
      </c>
      <c r="N371" s="37">
        <f>dagwerk65</f>
        <v>0</v>
      </c>
      <c r="O371" s="99" t="s">
        <v>108</v>
      </c>
      <c r="P371" s="24">
        <f>uurtarief65</f>
        <v>0</v>
      </c>
      <c r="Q371" s="101" t="e">
        <f>IF(ISBLANK(M371),0,L371/ROUND(M371,4))</f>
        <v>#DIV/0!</v>
      </c>
      <c r="R371" s="101" t="e">
        <f>IF(ISBLANK(M371),0,Q371*ROUND(N371,2))</f>
        <v>#DIV/0!</v>
      </c>
      <c r="S371" s="24" t="e">
        <f>ROUND(P371,2)*Q371</f>
        <v>#DIV/0!</v>
      </c>
      <c r="T371" s="101" t="e">
        <f>Q371*dagenperjaar1</f>
        <v>#DIV/0!</v>
      </c>
      <c r="U371" s="25" t="e">
        <f>T371*ROUND(P371,2)</f>
        <v>#DIV/0!</v>
      </c>
    </row>
    <row r="372" spans="1:21" x14ac:dyDescent="0.2">
      <c r="A372" s="98" t="s">
        <v>582</v>
      </c>
      <c r="B372" s="99" t="s">
        <v>50</v>
      </c>
      <c r="C372" s="99" t="s">
        <v>345</v>
      </c>
      <c r="D372" s="99" t="s">
        <v>353</v>
      </c>
      <c r="E372" s="100" t="s">
        <v>527</v>
      </c>
      <c r="F372" s="99" t="s">
        <v>348</v>
      </c>
      <c r="G372" s="99" t="s">
        <v>251</v>
      </c>
      <c r="H372" s="99" t="s">
        <v>11</v>
      </c>
      <c r="I372" s="99" t="s">
        <v>246</v>
      </c>
      <c r="J372" s="99"/>
      <c r="K372" s="101">
        <v>12.58</v>
      </c>
      <c r="L372" s="101">
        <f>K372*VLOOKUP(H372,dagsoorttabel1,2,FALSE)</f>
        <v>11.1</v>
      </c>
      <c r="M372" s="102">
        <f>prodnorm40</f>
        <v>0</v>
      </c>
      <c r="N372" s="37">
        <f>dagwerk40</f>
        <v>0</v>
      </c>
      <c r="O372" s="99" t="s">
        <v>108</v>
      </c>
      <c r="P372" s="24">
        <f>uurtarief40</f>
        <v>0</v>
      </c>
      <c r="Q372" s="101" t="e">
        <f>IF(ISBLANK(M372),0,L372/ROUND(M372,4))</f>
        <v>#DIV/0!</v>
      </c>
      <c r="R372" s="101" t="e">
        <f>IF(ISBLANK(M372),0,Q372*ROUND(N372,2))</f>
        <v>#DIV/0!</v>
      </c>
      <c r="S372" s="24" t="e">
        <f>ROUND(P372,2)*Q372</f>
        <v>#DIV/0!</v>
      </c>
      <c r="T372" s="101" t="e">
        <f>Q372*dagenperjaar1</f>
        <v>#DIV/0!</v>
      </c>
      <c r="U372" s="25" t="e">
        <f>T372*ROUND(P372,2)</f>
        <v>#DIV/0!</v>
      </c>
    </row>
    <row r="373" spans="1:21" x14ac:dyDescent="0.2">
      <c r="A373" s="98" t="s">
        <v>582</v>
      </c>
      <c r="B373" s="99" t="s">
        <v>50</v>
      </c>
      <c r="C373" s="99" t="s">
        <v>345</v>
      </c>
      <c r="D373" s="99" t="s">
        <v>355</v>
      </c>
      <c r="E373" s="100" t="s">
        <v>578</v>
      </c>
      <c r="F373" s="99" t="s">
        <v>443</v>
      </c>
      <c r="G373" s="99" t="s">
        <v>259</v>
      </c>
      <c r="H373" s="99" t="s">
        <v>11</v>
      </c>
      <c r="I373" s="99" t="s">
        <v>246</v>
      </c>
      <c r="J373" s="99"/>
      <c r="K373" s="101">
        <v>200</v>
      </c>
      <c r="L373" s="101">
        <f>K373*VLOOKUP(H373,dagsoorttabel1,2,FALSE)</f>
        <v>176.47058823529412</v>
      </c>
      <c r="M373" s="102">
        <f>prodnorm52</f>
        <v>0</v>
      </c>
      <c r="N373" s="37">
        <f>dagwerk52</f>
        <v>0</v>
      </c>
      <c r="O373" s="99" t="s">
        <v>108</v>
      </c>
      <c r="P373" s="24">
        <f>uurtarief52</f>
        <v>0</v>
      </c>
      <c r="Q373" s="101" t="e">
        <f>IF(ISBLANK(M373),0,L373/ROUND(M373,4))</f>
        <v>#DIV/0!</v>
      </c>
      <c r="R373" s="101" t="e">
        <f>IF(ISBLANK(M373),0,Q373*ROUND(N373,2))</f>
        <v>#DIV/0!</v>
      </c>
      <c r="S373" s="24" t="e">
        <f>ROUND(P373,2)*Q373</f>
        <v>#DIV/0!</v>
      </c>
      <c r="T373" s="101" t="e">
        <f>Q373*dagenperjaar1</f>
        <v>#DIV/0!</v>
      </c>
      <c r="U373" s="25" t="e">
        <f>T373*ROUND(P373,2)</f>
        <v>#DIV/0!</v>
      </c>
    </row>
    <row r="374" spans="1:21" x14ac:dyDescent="0.2">
      <c r="A374" s="98" t="s">
        <v>582</v>
      </c>
      <c r="B374" s="99" t="s">
        <v>50</v>
      </c>
      <c r="C374" s="99" t="s">
        <v>345</v>
      </c>
      <c r="D374" s="99" t="s">
        <v>357</v>
      </c>
      <c r="E374" s="100" t="s">
        <v>579</v>
      </c>
      <c r="F374" s="99" t="s">
        <v>443</v>
      </c>
      <c r="G374" s="99" t="s">
        <v>259</v>
      </c>
      <c r="H374" s="99" t="s">
        <v>28</v>
      </c>
      <c r="I374" s="99" t="s">
        <v>246</v>
      </c>
      <c r="J374" s="99"/>
      <c r="K374" s="101">
        <v>25.77</v>
      </c>
      <c r="L374" s="101">
        <f>K374*VLOOKUP(H374,dagsoorttabel1,2,FALSE)</f>
        <v>0.20211764705882351</v>
      </c>
      <c r="M374" s="102">
        <f>prodnorm53</f>
        <v>0</v>
      </c>
      <c r="N374" s="37">
        <f>dagwerk53</f>
        <v>0</v>
      </c>
      <c r="O374" s="99" t="s">
        <v>108</v>
      </c>
      <c r="P374" s="24">
        <f>uurtarief53</f>
        <v>0</v>
      </c>
      <c r="Q374" s="101" t="e">
        <f>IF(ISBLANK(M374),0,L374/ROUND(M374,4))</f>
        <v>#DIV/0!</v>
      </c>
      <c r="R374" s="101" t="e">
        <f>IF(ISBLANK(M374),0,Q374*ROUND(N374,2))</f>
        <v>#DIV/0!</v>
      </c>
      <c r="S374" s="24" t="e">
        <f>ROUND(P374,2)*Q374</f>
        <v>#DIV/0!</v>
      </c>
      <c r="T374" s="101" t="e">
        <f>Q374*dagenperjaar1</f>
        <v>#DIV/0!</v>
      </c>
      <c r="U374" s="25" t="e">
        <f>T374*ROUND(P374,2)</f>
        <v>#DIV/0!</v>
      </c>
    </row>
    <row r="375" spans="1:21" x14ac:dyDescent="0.2">
      <c r="A375" s="98" t="s">
        <v>582</v>
      </c>
      <c r="B375" s="99" t="s">
        <v>50</v>
      </c>
      <c r="C375" s="99" t="s">
        <v>345</v>
      </c>
      <c r="D375" s="99" t="s">
        <v>359</v>
      </c>
      <c r="E375" s="100" t="s">
        <v>529</v>
      </c>
      <c r="F375" s="99" t="s">
        <v>348</v>
      </c>
      <c r="G375" s="99" t="s">
        <v>262</v>
      </c>
      <c r="H375" s="99" t="s">
        <v>11</v>
      </c>
      <c r="I375" s="99" t="s">
        <v>246</v>
      </c>
      <c r="J375" s="99"/>
      <c r="K375" s="101">
        <v>22.58</v>
      </c>
      <c r="L375" s="101">
        <f>K375*VLOOKUP(H375,dagsoorttabel1,2,FALSE)</f>
        <v>19.923529411764704</v>
      </c>
      <c r="M375" s="102">
        <f>prodnorm58</f>
        <v>0</v>
      </c>
      <c r="N375" s="37">
        <f>dagwerk58</f>
        <v>0</v>
      </c>
      <c r="O375" s="99" t="s">
        <v>108</v>
      </c>
      <c r="P375" s="24">
        <f>uurtarief58</f>
        <v>0</v>
      </c>
      <c r="Q375" s="101" t="e">
        <f>IF(ISBLANK(M375),0,L375/ROUND(M375,4))</f>
        <v>#DIV/0!</v>
      </c>
      <c r="R375" s="101" t="e">
        <f>IF(ISBLANK(M375),0,Q375*ROUND(N375,2))</f>
        <v>#DIV/0!</v>
      </c>
      <c r="S375" s="24" t="e">
        <f>ROUND(P375,2)*Q375</f>
        <v>#DIV/0!</v>
      </c>
      <c r="T375" s="101" t="e">
        <f>Q375*dagenperjaar1</f>
        <v>#DIV/0!</v>
      </c>
      <c r="U375" s="25" t="e">
        <f>T375*ROUND(P375,2)</f>
        <v>#DIV/0!</v>
      </c>
    </row>
    <row r="376" spans="1:21" x14ac:dyDescent="0.2">
      <c r="A376" s="98" t="s">
        <v>582</v>
      </c>
      <c r="B376" s="99" t="s">
        <v>50</v>
      </c>
      <c r="C376" s="99" t="s">
        <v>345</v>
      </c>
      <c r="D376" s="99" t="s">
        <v>361</v>
      </c>
      <c r="E376" s="100" t="s">
        <v>380</v>
      </c>
      <c r="F376" s="99" t="s">
        <v>348</v>
      </c>
      <c r="G376" s="99" t="s">
        <v>270</v>
      </c>
      <c r="H376" s="99" t="s">
        <v>11</v>
      </c>
      <c r="I376" s="99" t="s">
        <v>246</v>
      </c>
      <c r="J376" s="99"/>
      <c r="K376" s="101">
        <v>1.5</v>
      </c>
      <c r="L376" s="101">
        <f>K376*VLOOKUP(H376,dagsoorttabel1,2,FALSE)</f>
        <v>1.3235294117647058</v>
      </c>
      <c r="M376" s="102">
        <f>prodnorm65</f>
        <v>0</v>
      </c>
      <c r="N376" s="37">
        <f>dagwerk65</f>
        <v>0</v>
      </c>
      <c r="O376" s="99" t="s">
        <v>108</v>
      </c>
      <c r="P376" s="24">
        <f>uurtarief65</f>
        <v>0</v>
      </c>
      <c r="Q376" s="101" t="e">
        <f>IF(ISBLANK(M376),0,L376/ROUND(M376,4))</f>
        <v>#DIV/0!</v>
      </c>
      <c r="R376" s="101" t="e">
        <f>IF(ISBLANK(M376),0,Q376*ROUND(N376,2))</f>
        <v>#DIV/0!</v>
      </c>
      <c r="S376" s="24" t="e">
        <f>ROUND(P376,2)*Q376</f>
        <v>#DIV/0!</v>
      </c>
      <c r="T376" s="101" t="e">
        <f>Q376*dagenperjaar1</f>
        <v>#DIV/0!</v>
      </c>
      <c r="U376" s="25" t="e">
        <f>T376*ROUND(P376,2)</f>
        <v>#DIV/0!</v>
      </c>
    </row>
    <row r="377" spans="1:21" x14ac:dyDescent="0.2">
      <c r="A377" s="103" t="s">
        <v>582</v>
      </c>
      <c r="B377" s="104" t="s">
        <v>50</v>
      </c>
      <c r="C377" s="104" t="s">
        <v>345</v>
      </c>
      <c r="D377" s="104" t="s">
        <v>363</v>
      </c>
      <c r="E377" s="105" t="s">
        <v>527</v>
      </c>
      <c r="F377" s="104" t="s">
        <v>348</v>
      </c>
      <c r="G377" s="104" t="s">
        <v>251</v>
      </c>
      <c r="H377" s="104" t="s">
        <v>11</v>
      </c>
      <c r="I377" s="104" t="s">
        <v>246</v>
      </c>
      <c r="J377" s="104"/>
      <c r="K377" s="106">
        <v>12.58</v>
      </c>
      <c r="L377" s="106">
        <f>K377*VLOOKUP(H377,dagsoorttabel1,2,FALSE)</f>
        <v>11.1</v>
      </c>
      <c r="M377" s="107">
        <f>prodnorm40</f>
        <v>0</v>
      </c>
      <c r="N377" s="108">
        <f>dagwerk40</f>
        <v>0</v>
      </c>
      <c r="O377" s="104" t="s">
        <v>108</v>
      </c>
      <c r="P377" s="34">
        <f>uurtarief40</f>
        <v>0</v>
      </c>
      <c r="Q377" s="106" t="e">
        <f>IF(ISBLANK(M377),0,L377/ROUND(M377,4))</f>
        <v>#DIV/0!</v>
      </c>
      <c r="R377" s="106" t="e">
        <f>IF(ISBLANK(M377),0,Q377*ROUND(N377,2))</f>
        <v>#DIV/0!</v>
      </c>
      <c r="S377" s="34" t="e">
        <f>ROUND(P377,2)*Q377</f>
        <v>#DIV/0!</v>
      </c>
      <c r="T377" s="106" t="e">
        <f>Q377*dagenperjaar1</f>
        <v>#DIV/0!</v>
      </c>
      <c r="U377" s="35" t="e">
        <f>T377*ROUND(P377,2)</f>
        <v>#DIV/0!</v>
      </c>
    </row>
    <row r="378" spans="1:21" x14ac:dyDescent="0.2">
      <c r="A378" s="109" t="s">
        <v>403</v>
      </c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81" t="e">
        <f>IF(_xlfn.SINGLE(object17_urenjaar1)&gt;0,_xlfn.SINGLE(object17_prijsjaar1)/_xlfn.SINGLE(object17_urenjaar1),0)</f>
        <v>#DIV/0!</v>
      </c>
      <c r="Q378" s="80" t="e">
        <f>SUM(Q369:Q377)</f>
        <v>#DIV/0!</v>
      </c>
      <c r="R378" s="80" t="e">
        <f>SUM(R369:R377)</f>
        <v>#DIV/0!</v>
      </c>
      <c r="S378" s="81" t="e">
        <f>SUM(S369:S377)</f>
        <v>#DIV/0!</v>
      </c>
      <c r="T378" s="80" t="e">
        <f>SUM(T369:T377)</f>
        <v>#DIV/0!</v>
      </c>
      <c r="U378" s="82" t="e">
        <f>SUM(U369:U377)</f>
        <v>#DIV/0!</v>
      </c>
    </row>
    <row r="379" spans="1:21" x14ac:dyDescent="0.2">
      <c r="A379" s="88" t="s">
        <v>583</v>
      </c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77"/>
    </row>
    <row r="380" spans="1:21" x14ac:dyDescent="0.2">
      <c r="A380" s="47" t="s">
        <v>584</v>
      </c>
      <c r="B380" s="48" t="s">
        <v>50</v>
      </c>
      <c r="C380" s="48" t="s">
        <v>585</v>
      </c>
      <c r="D380" s="48" t="s">
        <v>50</v>
      </c>
      <c r="E380" s="89" t="s">
        <v>586</v>
      </c>
      <c r="F380" s="48" t="s">
        <v>50</v>
      </c>
      <c r="G380" s="48" t="s">
        <v>293</v>
      </c>
      <c r="H380" s="48" t="s">
        <v>19</v>
      </c>
      <c r="I380" s="48" t="s">
        <v>294</v>
      </c>
      <c r="J380" s="48"/>
      <c r="K380" s="66">
        <v>1</v>
      </c>
      <c r="L380" s="66">
        <f>K380*VLOOKUP(H380,dagsoorttabel1,2,FALSE)</f>
        <v>0.23529411764705882</v>
      </c>
      <c r="M380" s="67"/>
      <c r="N380" s="68">
        <f>dagwerk30</f>
        <v>0</v>
      </c>
      <c r="O380" s="48" t="s">
        <v>296</v>
      </c>
      <c r="P380" s="49">
        <f>uurtarief30</f>
        <v>0</v>
      </c>
      <c r="Q380" s="66">
        <f>L380</f>
        <v>0.23529411764705882</v>
      </c>
      <c r="R380" s="66">
        <f>Q380*ROUND(N380,2)</f>
        <v>0</v>
      </c>
      <c r="S380" s="49">
        <f>ROUND(P380,2)*Q380</f>
        <v>0</v>
      </c>
      <c r="T380" s="66">
        <f>Q380*dagenperjaar1</f>
        <v>60</v>
      </c>
      <c r="U380" s="50">
        <f>T380*ROUND(P380,2)</f>
        <v>0</v>
      </c>
    </row>
    <row r="381" spans="1:21" x14ac:dyDescent="0.2">
      <c r="A381" s="44" t="s">
        <v>587</v>
      </c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6"/>
    </row>
    <row r="382" spans="1:21" x14ac:dyDescent="0.2">
      <c r="A382" s="90" t="s">
        <v>588</v>
      </c>
      <c r="B382" s="91" t="s">
        <v>50</v>
      </c>
      <c r="C382" s="91" t="s">
        <v>345</v>
      </c>
      <c r="D382" s="91" t="s">
        <v>346</v>
      </c>
      <c r="E382" s="92" t="s">
        <v>529</v>
      </c>
      <c r="F382" s="91" t="s">
        <v>348</v>
      </c>
      <c r="G382" s="91" t="s">
        <v>262</v>
      </c>
      <c r="H382" s="91" t="s">
        <v>11</v>
      </c>
      <c r="I382" s="91" t="s">
        <v>246</v>
      </c>
      <c r="J382" s="91"/>
      <c r="K382" s="93">
        <v>17.919999999999998</v>
      </c>
      <c r="L382" s="93">
        <f>K382*VLOOKUP(H382,dagsoorttabel1,2,FALSE)</f>
        <v>15.81176470588235</v>
      </c>
      <c r="M382" s="94">
        <f>prodnorm58</f>
        <v>0</v>
      </c>
      <c r="N382" s="95">
        <f>dagwerk58</f>
        <v>0</v>
      </c>
      <c r="O382" s="91" t="s">
        <v>108</v>
      </c>
      <c r="P382" s="96">
        <f>uurtarief58</f>
        <v>0</v>
      </c>
      <c r="Q382" s="93" t="e">
        <f>IF(ISBLANK(M382),0,L382/ROUND(M382,4))</f>
        <v>#DIV/0!</v>
      </c>
      <c r="R382" s="93" t="e">
        <f>IF(ISBLANK(M382),0,Q382*ROUND(N382,2))</f>
        <v>#DIV/0!</v>
      </c>
      <c r="S382" s="96" t="e">
        <f>ROUND(P382,2)*Q382</f>
        <v>#DIV/0!</v>
      </c>
      <c r="T382" s="93" t="e">
        <f>Q382*dagenperjaar1</f>
        <v>#DIV/0!</v>
      </c>
      <c r="U382" s="97" t="e">
        <f>T382*ROUND(P382,2)</f>
        <v>#DIV/0!</v>
      </c>
    </row>
    <row r="383" spans="1:21" x14ac:dyDescent="0.2">
      <c r="A383" s="98" t="s">
        <v>588</v>
      </c>
      <c r="B383" s="99" t="s">
        <v>50</v>
      </c>
      <c r="C383" s="99" t="s">
        <v>345</v>
      </c>
      <c r="D383" s="99" t="s">
        <v>349</v>
      </c>
      <c r="E383" s="100" t="s">
        <v>527</v>
      </c>
      <c r="F383" s="99" t="s">
        <v>348</v>
      </c>
      <c r="G383" s="99" t="s">
        <v>251</v>
      </c>
      <c r="H383" s="99" t="s">
        <v>11</v>
      </c>
      <c r="I383" s="99" t="s">
        <v>246</v>
      </c>
      <c r="J383" s="99"/>
      <c r="K383" s="101">
        <v>16.079999999999998</v>
      </c>
      <c r="L383" s="101">
        <f>K383*VLOOKUP(H383,dagsoorttabel1,2,FALSE)</f>
        <v>14.188235294117645</v>
      </c>
      <c r="M383" s="102">
        <f>prodnorm40</f>
        <v>0</v>
      </c>
      <c r="N383" s="37">
        <f>dagwerk40</f>
        <v>0</v>
      </c>
      <c r="O383" s="99" t="s">
        <v>108</v>
      </c>
      <c r="P383" s="24">
        <f>uurtarief40</f>
        <v>0</v>
      </c>
      <c r="Q383" s="101" t="e">
        <f>IF(ISBLANK(M383),0,L383/ROUND(M383,4))</f>
        <v>#DIV/0!</v>
      </c>
      <c r="R383" s="101" t="e">
        <f>IF(ISBLANK(M383),0,Q383*ROUND(N383,2))</f>
        <v>#DIV/0!</v>
      </c>
      <c r="S383" s="24" t="e">
        <f>ROUND(P383,2)*Q383</f>
        <v>#DIV/0!</v>
      </c>
      <c r="T383" s="101" t="e">
        <f>Q383*dagenperjaar1</f>
        <v>#DIV/0!</v>
      </c>
      <c r="U383" s="25" t="e">
        <f>T383*ROUND(P383,2)</f>
        <v>#DIV/0!</v>
      </c>
    </row>
    <row r="384" spans="1:21" x14ac:dyDescent="0.2">
      <c r="A384" s="98" t="s">
        <v>588</v>
      </c>
      <c r="B384" s="99" t="s">
        <v>50</v>
      </c>
      <c r="C384" s="99" t="s">
        <v>345</v>
      </c>
      <c r="D384" s="99" t="s">
        <v>351</v>
      </c>
      <c r="E384" s="100" t="s">
        <v>380</v>
      </c>
      <c r="F384" s="99" t="s">
        <v>348</v>
      </c>
      <c r="G384" s="99" t="s">
        <v>270</v>
      </c>
      <c r="H384" s="99" t="s">
        <v>11</v>
      </c>
      <c r="I384" s="99" t="s">
        <v>246</v>
      </c>
      <c r="J384" s="99"/>
      <c r="K384" s="101">
        <v>1.04</v>
      </c>
      <c r="L384" s="101">
        <f>K384*VLOOKUP(H384,dagsoorttabel1,2,FALSE)</f>
        <v>0.91764705882352937</v>
      </c>
      <c r="M384" s="102">
        <f>prodnorm65</f>
        <v>0</v>
      </c>
      <c r="N384" s="37">
        <f>dagwerk65</f>
        <v>0</v>
      </c>
      <c r="O384" s="99" t="s">
        <v>108</v>
      </c>
      <c r="P384" s="24">
        <f>uurtarief65</f>
        <v>0</v>
      </c>
      <c r="Q384" s="101" t="e">
        <f>IF(ISBLANK(M384),0,L384/ROUND(M384,4))</f>
        <v>#DIV/0!</v>
      </c>
      <c r="R384" s="101" t="e">
        <f>IF(ISBLANK(M384),0,Q384*ROUND(N384,2))</f>
        <v>#DIV/0!</v>
      </c>
      <c r="S384" s="24" t="e">
        <f>ROUND(P384,2)*Q384</f>
        <v>#DIV/0!</v>
      </c>
      <c r="T384" s="101" t="e">
        <f>Q384*dagenperjaar1</f>
        <v>#DIV/0!</v>
      </c>
      <c r="U384" s="25" t="e">
        <f>T384*ROUND(P384,2)</f>
        <v>#DIV/0!</v>
      </c>
    </row>
    <row r="385" spans="1:21" x14ac:dyDescent="0.2">
      <c r="A385" s="98" t="s">
        <v>588</v>
      </c>
      <c r="B385" s="99" t="s">
        <v>50</v>
      </c>
      <c r="C385" s="99" t="s">
        <v>345</v>
      </c>
      <c r="D385" s="99" t="s">
        <v>353</v>
      </c>
      <c r="E385" s="100" t="s">
        <v>559</v>
      </c>
      <c r="F385" s="99" t="s">
        <v>443</v>
      </c>
      <c r="G385" s="99" t="s">
        <v>259</v>
      </c>
      <c r="H385" s="99" t="s">
        <v>11</v>
      </c>
      <c r="I385" s="99" t="s">
        <v>246</v>
      </c>
      <c r="J385" s="99"/>
      <c r="K385" s="101">
        <v>267</v>
      </c>
      <c r="L385" s="101">
        <f>K385*VLOOKUP(H385,dagsoorttabel1,2,FALSE)</f>
        <v>235.58823529411765</v>
      </c>
      <c r="M385" s="102">
        <f>prodnorm52</f>
        <v>0</v>
      </c>
      <c r="N385" s="37">
        <f>dagwerk52</f>
        <v>0</v>
      </c>
      <c r="O385" s="99" t="s">
        <v>108</v>
      </c>
      <c r="P385" s="24">
        <f>uurtarief52</f>
        <v>0</v>
      </c>
      <c r="Q385" s="101" t="e">
        <f>IF(ISBLANK(M385),0,L385/ROUND(M385,4))</f>
        <v>#DIV/0!</v>
      </c>
      <c r="R385" s="101" t="e">
        <f>IF(ISBLANK(M385),0,Q385*ROUND(N385,2))</f>
        <v>#DIV/0!</v>
      </c>
      <c r="S385" s="24" t="e">
        <f>ROUND(P385,2)*Q385</f>
        <v>#DIV/0!</v>
      </c>
      <c r="T385" s="101" t="e">
        <f>Q385*dagenperjaar1</f>
        <v>#DIV/0!</v>
      </c>
      <c r="U385" s="25" t="e">
        <f>T385*ROUND(P385,2)</f>
        <v>#DIV/0!</v>
      </c>
    </row>
    <row r="386" spans="1:21" x14ac:dyDescent="0.2">
      <c r="A386" s="98" t="s">
        <v>588</v>
      </c>
      <c r="B386" s="99" t="s">
        <v>50</v>
      </c>
      <c r="C386" s="99" t="s">
        <v>345</v>
      </c>
      <c r="D386" s="99" t="s">
        <v>355</v>
      </c>
      <c r="E386" s="100" t="s">
        <v>466</v>
      </c>
      <c r="F386" s="99" t="s">
        <v>443</v>
      </c>
      <c r="G386" s="99" t="s">
        <v>259</v>
      </c>
      <c r="H386" s="99" t="s">
        <v>28</v>
      </c>
      <c r="I386" s="99" t="s">
        <v>246</v>
      </c>
      <c r="J386" s="99"/>
      <c r="K386" s="101">
        <v>32.06</v>
      </c>
      <c r="L386" s="101">
        <f>K386*VLOOKUP(H386,dagsoorttabel1,2,FALSE)</f>
        <v>0.25145098039215685</v>
      </c>
      <c r="M386" s="102">
        <f>prodnorm53</f>
        <v>0</v>
      </c>
      <c r="N386" s="37">
        <f>dagwerk53</f>
        <v>0</v>
      </c>
      <c r="O386" s="99" t="s">
        <v>108</v>
      </c>
      <c r="P386" s="24">
        <f>uurtarief53</f>
        <v>0</v>
      </c>
      <c r="Q386" s="101" t="e">
        <f>IF(ISBLANK(M386),0,L386/ROUND(M386,4))</f>
        <v>#DIV/0!</v>
      </c>
      <c r="R386" s="101" t="e">
        <f>IF(ISBLANK(M386),0,Q386*ROUND(N386,2))</f>
        <v>#DIV/0!</v>
      </c>
      <c r="S386" s="24" t="e">
        <f>ROUND(P386,2)*Q386</f>
        <v>#DIV/0!</v>
      </c>
      <c r="T386" s="101" t="e">
        <f>Q386*dagenperjaar1</f>
        <v>#DIV/0!</v>
      </c>
      <c r="U386" s="25" t="e">
        <f>T386*ROUND(P386,2)</f>
        <v>#DIV/0!</v>
      </c>
    </row>
    <row r="387" spans="1:21" x14ac:dyDescent="0.2">
      <c r="A387" s="98" t="s">
        <v>588</v>
      </c>
      <c r="B387" s="99" t="s">
        <v>50</v>
      </c>
      <c r="C387" s="99" t="s">
        <v>345</v>
      </c>
      <c r="D387" s="99" t="s">
        <v>357</v>
      </c>
      <c r="E387" s="100" t="s">
        <v>409</v>
      </c>
      <c r="F387" s="99" t="s">
        <v>348</v>
      </c>
      <c r="G387" s="99" t="s">
        <v>277</v>
      </c>
      <c r="H387" s="99" t="s">
        <v>11</v>
      </c>
      <c r="I387" s="99" t="s">
        <v>246</v>
      </c>
      <c r="J387" s="99"/>
      <c r="K387" s="101">
        <v>5.25</v>
      </c>
      <c r="L387" s="101">
        <f>K387*VLOOKUP(H387,dagsoorttabel1,2,FALSE)</f>
        <v>4.6323529411764701</v>
      </c>
      <c r="M387" s="102">
        <f>prodnorm74</f>
        <v>0</v>
      </c>
      <c r="N387" s="37">
        <f>dagwerk74</f>
        <v>0</v>
      </c>
      <c r="O387" s="99" t="s">
        <v>108</v>
      </c>
      <c r="P387" s="24">
        <f>uurtarief74</f>
        <v>0</v>
      </c>
      <c r="Q387" s="101" t="e">
        <f>IF(ISBLANK(M387),0,L387/ROUND(M387,4))</f>
        <v>#DIV/0!</v>
      </c>
      <c r="R387" s="101" t="e">
        <f>IF(ISBLANK(M387),0,Q387*ROUND(N387,2))</f>
        <v>#DIV/0!</v>
      </c>
      <c r="S387" s="24" t="e">
        <f>ROUND(P387,2)*Q387</f>
        <v>#DIV/0!</v>
      </c>
      <c r="T387" s="101" t="e">
        <f>Q387*dagenperjaar1</f>
        <v>#DIV/0!</v>
      </c>
      <c r="U387" s="25" t="e">
        <f>T387*ROUND(P387,2)</f>
        <v>#DIV/0!</v>
      </c>
    </row>
    <row r="388" spans="1:21" x14ac:dyDescent="0.2">
      <c r="A388" s="98" t="s">
        <v>588</v>
      </c>
      <c r="B388" s="99" t="s">
        <v>50</v>
      </c>
      <c r="C388" s="99" t="s">
        <v>345</v>
      </c>
      <c r="D388" s="99" t="s">
        <v>359</v>
      </c>
      <c r="E388" s="100" t="s">
        <v>527</v>
      </c>
      <c r="F388" s="99" t="s">
        <v>348</v>
      </c>
      <c r="G388" s="99" t="s">
        <v>251</v>
      </c>
      <c r="H388" s="99" t="s">
        <v>11</v>
      </c>
      <c r="I388" s="99" t="s">
        <v>246</v>
      </c>
      <c r="J388" s="99"/>
      <c r="K388" s="101">
        <v>2</v>
      </c>
      <c r="L388" s="101">
        <f>K388*VLOOKUP(H388,dagsoorttabel1,2,FALSE)</f>
        <v>1.7647058823529411</v>
      </c>
      <c r="M388" s="102">
        <f>prodnorm40</f>
        <v>0</v>
      </c>
      <c r="N388" s="37">
        <f>dagwerk40</f>
        <v>0</v>
      </c>
      <c r="O388" s="99" t="s">
        <v>108</v>
      </c>
      <c r="P388" s="24">
        <f>uurtarief40</f>
        <v>0</v>
      </c>
      <c r="Q388" s="101" t="e">
        <f>IF(ISBLANK(M388),0,L388/ROUND(M388,4))</f>
        <v>#DIV/0!</v>
      </c>
      <c r="R388" s="101" t="e">
        <f>IF(ISBLANK(M388),0,Q388*ROUND(N388,2))</f>
        <v>#DIV/0!</v>
      </c>
      <c r="S388" s="24" t="e">
        <f>ROUND(P388,2)*Q388</f>
        <v>#DIV/0!</v>
      </c>
      <c r="T388" s="101" t="e">
        <f>Q388*dagenperjaar1</f>
        <v>#DIV/0!</v>
      </c>
      <c r="U388" s="25" t="e">
        <f>T388*ROUND(P388,2)</f>
        <v>#DIV/0!</v>
      </c>
    </row>
    <row r="389" spans="1:21" x14ac:dyDescent="0.2">
      <c r="A389" s="98" t="s">
        <v>588</v>
      </c>
      <c r="B389" s="99" t="s">
        <v>50</v>
      </c>
      <c r="C389" s="99" t="s">
        <v>345</v>
      </c>
      <c r="D389" s="99" t="s">
        <v>361</v>
      </c>
      <c r="E389" s="100" t="s">
        <v>380</v>
      </c>
      <c r="F389" s="99" t="s">
        <v>348</v>
      </c>
      <c r="G389" s="99" t="s">
        <v>270</v>
      </c>
      <c r="H389" s="99" t="s">
        <v>11</v>
      </c>
      <c r="I389" s="99" t="s">
        <v>246</v>
      </c>
      <c r="J389" s="99"/>
      <c r="K389" s="101">
        <v>1.04</v>
      </c>
      <c r="L389" s="101">
        <f>K389*VLOOKUP(H389,dagsoorttabel1,2,FALSE)</f>
        <v>0.91764705882352937</v>
      </c>
      <c r="M389" s="102">
        <f>prodnorm65</f>
        <v>0</v>
      </c>
      <c r="N389" s="37">
        <f>dagwerk65</f>
        <v>0</v>
      </c>
      <c r="O389" s="99" t="s">
        <v>108</v>
      </c>
      <c r="P389" s="24">
        <f>uurtarief65</f>
        <v>0</v>
      </c>
      <c r="Q389" s="101" t="e">
        <f>IF(ISBLANK(M389),0,L389/ROUND(M389,4))</f>
        <v>#DIV/0!</v>
      </c>
      <c r="R389" s="101" t="e">
        <f>IF(ISBLANK(M389),0,Q389*ROUND(N389,2))</f>
        <v>#DIV/0!</v>
      </c>
      <c r="S389" s="24" t="e">
        <f>ROUND(P389,2)*Q389</f>
        <v>#DIV/0!</v>
      </c>
      <c r="T389" s="101" t="e">
        <f>Q389*dagenperjaar1</f>
        <v>#DIV/0!</v>
      </c>
      <c r="U389" s="25" t="e">
        <f>T389*ROUND(P389,2)</f>
        <v>#DIV/0!</v>
      </c>
    </row>
    <row r="390" spans="1:21" x14ac:dyDescent="0.2">
      <c r="A390" s="98" t="s">
        <v>588</v>
      </c>
      <c r="B390" s="99" t="s">
        <v>50</v>
      </c>
      <c r="C390" s="99" t="s">
        <v>345</v>
      </c>
      <c r="D390" s="99" t="s">
        <v>363</v>
      </c>
      <c r="E390" s="100" t="s">
        <v>529</v>
      </c>
      <c r="F390" s="99" t="s">
        <v>348</v>
      </c>
      <c r="G390" s="99" t="s">
        <v>262</v>
      </c>
      <c r="H390" s="99" t="s">
        <v>11</v>
      </c>
      <c r="I390" s="99" t="s">
        <v>246</v>
      </c>
      <c r="J390" s="99"/>
      <c r="K390" s="101">
        <v>17.919999999999998</v>
      </c>
      <c r="L390" s="101">
        <f>K390*VLOOKUP(H390,dagsoorttabel1,2,FALSE)</f>
        <v>15.81176470588235</v>
      </c>
      <c r="M390" s="102">
        <f>prodnorm58</f>
        <v>0</v>
      </c>
      <c r="N390" s="37">
        <f>dagwerk58</f>
        <v>0</v>
      </c>
      <c r="O390" s="99" t="s">
        <v>108</v>
      </c>
      <c r="P390" s="24">
        <f>uurtarief58</f>
        <v>0</v>
      </c>
      <c r="Q390" s="101" t="e">
        <f>IF(ISBLANK(M390),0,L390/ROUND(M390,4))</f>
        <v>#DIV/0!</v>
      </c>
      <c r="R390" s="101" t="e">
        <f>IF(ISBLANK(M390),0,Q390*ROUND(N390,2))</f>
        <v>#DIV/0!</v>
      </c>
      <c r="S390" s="24" t="e">
        <f>ROUND(P390,2)*Q390</f>
        <v>#DIV/0!</v>
      </c>
      <c r="T390" s="101" t="e">
        <f>Q390*dagenperjaar1</f>
        <v>#DIV/0!</v>
      </c>
      <c r="U390" s="25" t="e">
        <f>T390*ROUND(P390,2)</f>
        <v>#DIV/0!</v>
      </c>
    </row>
    <row r="391" spans="1:21" x14ac:dyDescent="0.2">
      <c r="A391" s="98" t="s">
        <v>588</v>
      </c>
      <c r="B391" s="99" t="s">
        <v>50</v>
      </c>
      <c r="C391" s="99" t="s">
        <v>345</v>
      </c>
      <c r="D391" s="99" t="s">
        <v>365</v>
      </c>
      <c r="E391" s="100" t="s">
        <v>380</v>
      </c>
      <c r="F391" s="99" t="s">
        <v>348</v>
      </c>
      <c r="G391" s="99" t="s">
        <v>270</v>
      </c>
      <c r="H391" s="99" t="s">
        <v>11</v>
      </c>
      <c r="I391" s="99" t="s">
        <v>246</v>
      </c>
      <c r="J391" s="99"/>
      <c r="K391" s="101">
        <v>1.04</v>
      </c>
      <c r="L391" s="101">
        <f>K391*VLOOKUP(H391,dagsoorttabel1,2,FALSE)</f>
        <v>0.91764705882352937</v>
      </c>
      <c r="M391" s="102">
        <f>prodnorm65</f>
        <v>0</v>
      </c>
      <c r="N391" s="37">
        <f>dagwerk65</f>
        <v>0</v>
      </c>
      <c r="O391" s="99" t="s">
        <v>108</v>
      </c>
      <c r="P391" s="24">
        <f>uurtarief65</f>
        <v>0</v>
      </c>
      <c r="Q391" s="101" t="e">
        <f>IF(ISBLANK(M391),0,L391/ROUND(M391,4))</f>
        <v>#DIV/0!</v>
      </c>
      <c r="R391" s="101" t="e">
        <f>IF(ISBLANK(M391),0,Q391*ROUND(N391,2))</f>
        <v>#DIV/0!</v>
      </c>
      <c r="S391" s="24" t="e">
        <f>ROUND(P391,2)*Q391</f>
        <v>#DIV/0!</v>
      </c>
      <c r="T391" s="101" t="e">
        <f>Q391*dagenperjaar1</f>
        <v>#DIV/0!</v>
      </c>
      <c r="U391" s="25" t="e">
        <f>T391*ROUND(P391,2)</f>
        <v>#DIV/0!</v>
      </c>
    </row>
    <row r="392" spans="1:21" x14ac:dyDescent="0.2">
      <c r="A392" s="98" t="s">
        <v>588</v>
      </c>
      <c r="B392" s="99" t="s">
        <v>50</v>
      </c>
      <c r="C392" s="99" t="s">
        <v>345</v>
      </c>
      <c r="D392" s="99" t="s">
        <v>367</v>
      </c>
      <c r="E392" s="100" t="s">
        <v>527</v>
      </c>
      <c r="F392" s="99" t="s">
        <v>348</v>
      </c>
      <c r="G392" s="99" t="s">
        <v>251</v>
      </c>
      <c r="H392" s="99" t="s">
        <v>11</v>
      </c>
      <c r="I392" s="99" t="s">
        <v>246</v>
      </c>
      <c r="J392" s="99"/>
      <c r="K392" s="101">
        <v>16.079999999999998</v>
      </c>
      <c r="L392" s="101">
        <f>K392*VLOOKUP(H392,dagsoorttabel1,2,FALSE)</f>
        <v>14.188235294117645</v>
      </c>
      <c r="M392" s="102">
        <f>prodnorm40</f>
        <v>0</v>
      </c>
      <c r="N392" s="37">
        <f>dagwerk40</f>
        <v>0</v>
      </c>
      <c r="O392" s="99" t="s">
        <v>108</v>
      </c>
      <c r="P392" s="24">
        <f>uurtarief40</f>
        <v>0</v>
      </c>
      <c r="Q392" s="101" t="e">
        <f>IF(ISBLANK(M392),0,L392/ROUND(M392,4))</f>
        <v>#DIV/0!</v>
      </c>
      <c r="R392" s="101" t="e">
        <f>IF(ISBLANK(M392),0,Q392*ROUND(N392,2))</f>
        <v>#DIV/0!</v>
      </c>
      <c r="S392" s="24" t="e">
        <f>ROUND(P392,2)*Q392</f>
        <v>#DIV/0!</v>
      </c>
      <c r="T392" s="101" t="e">
        <f>Q392*dagenperjaar1</f>
        <v>#DIV/0!</v>
      </c>
      <c r="U392" s="25" t="e">
        <f>T392*ROUND(P392,2)</f>
        <v>#DIV/0!</v>
      </c>
    </row>
    <row r="393" spans="1:21" x14ac:dyDescent="0.2">
      <c r="A393" s="103" t="s">
        <v>588</v>
      </c>
      <c r="B393" s="104" t="s">
        <v>50</v>
      </c>
      <c r="C393" s="104" t="s">
        <v>345</v>
      </c>
      <c r="D393" s="104" t="s">
        <v>369</v>
      </c>
      <c r="E393" s="105" t="s">
        <v>415</v>
      </c>
      <c r="F393" s="104" t="s">
        <v>397</v>
      </c>
      <c r="G393" s="104" t="s">
        <v>277</v>
      </c>
      <c r="H393" s="104" t="s">
        <v>11</v>
      </c>
      <c r="I393" s="104" t="s">
        <v>246</v>
      </c>
      <c r="J393" s="104"/>
      <c r="K393" s="106">
        <v>16.079999999999998</v>
      </c>
      <c r="L393" s="106">
        <f>K393*VLOOKUP(H393,dagsoorttabel1,2,FALSE)</f>
        <v>14.188235294117645</v>
      </c>
      <c r="M393" s="107">
        <f>prodnorm74</f>
        <v>0</v>
      </c>
      <c r="N393" s="108">
        <f>dagwerk74</f>
        <v>0</v>
      </c>
      <c r="O393" s="104" t="s">
        <v>108</v>
      </c>
      <c r="P393" s="34">
        <f>uurtarief74</f>
        <v>0</v>
      </c>
      <c r="Q393" s="106" t="e">
        <f>IF(ISBLANK(M393),0,L393/ROUND(M393,4))</f>
        <v>#DIV/0!</v>
      </c>
      <c r="R393" s="106" t="e">
        <f>IF(ISBLANK(M393),0,Q393*ROUND(N393,2))</f>
        <v>#DIV/0!</v>
      </c>
      <c r="S393" s="34" t="e">
        <f>ROUND(P393,2)*Q393</f>
        <v>#DIV/0!</v>
      </c>
      <c r="T393" s="106" t="e">
        <f>Q393*dagenperjaar1</f>
        <v>#DIV/0!</v>
      </c>
      <c r="U393" s="35" t="e">
        <f>T393*ROUND(P393,2)</f>
        <v>#DIV/0!</v>
      </c>
    </row>
    <row r="394" spans="1:21" x14ac:dyDescent="0.2">
      <c r="A394" s="109" t="s">
        <v>403</v>
      </c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81" t="e">
        <f>IF(_xlfn.SINGLE(object19_urenjaar1)&gt;0,_xlfn.SINGLE(object19_prijsjaar1)/_xlfn.SINGLE(object19_urenjaar1),0)</f>
        <v>#DIV/0!</v>
      </c>
      <c r="Q394" s="80" t="e">
        <f>SUM(Q382:Q393)</f>
        <v>#DIV/0!</v>
      </c>
      <c r="R394" s="80" t="e">
        <f>SUM(R382:R393)</f>
        <v>#DIV/0!</v>
      </c>
      <c r="S394" s="81" t="e">
        <f>SUM(S382:S393)</f>
        <v>#DIV/0!</v>
      </c>
      <c r="T394" s="80" t="e">
        <f>SUM(T382:T393)</f>
        <v>#DIV/0!</v>
      </c>
      <c r="U394" s="82" t="e">
        <f>SUM(U382:U393)</f>
        <v>#DIV/0!</v>
      </c>
    </row>
    <row r="395" spans="1:21" x14ac:dyDescent="0.2">
      <c r="A395" s="88" t="s">
        <v>589</v>
      </c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77"/>
    </row>
    <row r="396" spans="1:21" x14ac:dyDescent="0.2">
      <c r="A396" s="90" t="s">
        <v>590</v>
      </c>
      <c r="B396" s="91" t="s">
        <v>50</v>
      </c>
      <c r="C396" s="91" t="s">
        <v>345</v>
      </c>
      <c r="D396" s="91" t="s">
        <v>346</v>
      </c>
      <c r="E396" s="92" t="s">
        <v>418</v>
      </c>
      <c r="F396" s="91" t="s">
        <v>397</v>
      </c>
      <c r="G396" s="91" t="s">
        <v>253</v>
      </c>
      <c r="H396" s="91" t="s">
        <v>13</v>
      </c>
      <c r="I396" s="91" t="s">
        <v>246</v>
      </c>
      <c r="J396" s="91"/>
      <c r="K396" s="93">
        <v>26.9</v>
      </c>
      <c r="L396" s="93">
        <f>K396*VLOOKUP(H396,dagsoorttabel1,2,FALSE)</f>
        <v>21.098039215686274</v>
      </c>
      <c r="M396" s="94">
        <f>prodnorm42</f>
        <v>0</v>
      </c>
      <c r="N396" s="95">
        <f>dagwerk42</f>
        <v>0</v>
      </c>
      <c r="O396" s="91" t="s">
        <v>108</v>
      </c>
      <c r="P396" s="96">
        <f>uurtarief42</f>
        <v>0</v>
      </c>
      <c r="Q396" s="93" t="e">
        <f>IF(ISBLANK(M396),0,L396/ROUND(M396,4))</f>
        <v>#DIV/0!</v>
      </c>
      <c r="R396" s="93" t="e">
        <f>IF(ISBLANK(M396),0,Q396*ROUND(N396,2))</f>
        <v>#DIV/0!</v>
      </c>
      <c r="S396" s="96" t="e">
        <f>ROUND(P396,2)*Q396</f>
        <v>#DIV/0!</v>
      </c>
      <c r="T396" s="93" t="e">
        <f>Q396*dagenperjaar1</f>
        <v>#DIV/0!</v>
      </c>
      <c r="U396" s="97" t="e">
        <f>T396*ROUND(P396,2)</f>
        <v>#DIV/0!</v>
      </c>
    </row>
    <row r="397" spans="1:21" x14ac:dyDescent="0.2">
      <c r="A397" s="98" t="s">
        <v>590</v>
      </c>
      <c r="B397" s="99" t="s">
        <v>50</v>
      </c>
      <c r="C397" s="99" t="s">
        <v>345</v>
      </c>
      <c r="D397" s="99" t="s">
        <v>346</v>
      </c>
      <c r="E397" s="100" t="s">
        <v>591</v>
      </c>
      <c r="F397" s="99" t="s">
        <v>548</v>
      </c>
      <c r="G397" s="99" t="s">
        <v>253</v>
      </c>
      <c r="H397" s="99" t="s">
        <v>13</v>
      </c>
      <c r="I397" s="99" t="s">
        <v>246</v>
      </c>
      <c r="J397" s="99"/>
      <c r="K397" s="101">
        <v>0</v>
      </c>
      <c r="L397" s="101">
        <f>K397*VLOOKUP(H397,dagsoorttabel1,2,FALSE)</f>
        <v>0</v>
      </c>
      <c r="M397" s="102"/>
      <c r="N397" s="37"/>
      <c r="O397" s="99" t="s">
        <v>108</v>
      </c>
      <c r="P397" s="24"/>
      <c r="Q397" s="101">
        <f>IF(ISBLANK(M397),0,L397/ROUND(M397,4))</f>
        <v>0</v>
      </c>
      <c r="R397" s="101">
        <f>IF(ISBLANK(M397),0,Q397*ROUND(N397,2))</f>
        <v>0</v>
      </c>
      <c r="S397" s="24">
        <f>ROUND(P397,2)*Q397</f>
        <v>0</v>
      </c>
      <c r="T397" s="101">
        <f>Q397*dagenperjaar1</f>
        <v>0</v>
      </c>
      <c r="U397" s="25">
        <f>T397*ROUND(P397,2)</f>
        <v>0</v>
      </c>
    </row>
    <row r="398" spans="1:21" x14ac:dyDescent="0.2">
      <c r="A398" s="98" t="s">
        <v>590</v>
      </c>
      <c r="B398" s="99" t="s">
        <v>50</v>
      </c>
      <c r="C398" s="99" t="s">
        <v>345</v>
      </c>
      <c r="D398" s="99" t="s">
        <v>349</v>
      </c>
      <c r="E398" s="100" t="s">
        <v>592</v>
      </c>
      <c r="F398" s="99" t="s">
        <v>397</v>
      </c>
      <c r="G398" s="99" t="s">
        <v>270</v>
      </c>
      <c r="H398" s="99" t="s">
        <v>13</v>
      </c>
      <c r="I398" s="99" t="s">
        <v>246</v>
      </c>
      <c r="J398" s="99"/>
      <c r="K398" s="101">
        <v>55</v>
      </c>
      <c r="L398" s="101">
        <f>K398*VLOOKUP(H398,dagsoorttabel1,2,FALSE)</f>
        <v>43.13725490196078</v>
      </c>
      <c r="M398" s="102">
        <f>prodnorm64</f>
        <v>0</v>
      </c>
      <c r="N398" s="37">
        <f>dagwerk64</f>
        <v>0</v>
      </c>
      <c r="O398" s="99" t="s">
        <v>108</v>
      </c>
      <c r="P398" s="24">
        <f>uurtarief64</f>
        <v>0</v>
      </c>
      <c r="Q398" s="101" t="e">
        <f>IF(ISBLANK(M398),0,L398/ROUND(M398,4))</f>
        <v>#DIV/0!</v>
      </c>
      <c r="R398" s="101" t="e">
        <f>IF(ISBLANK(M398),0,Q398*ROUND(N398,2))</f>
        <v>#DIV/0!</v>
      </c>
      <c r="S398" s="24" t="e">
        <f>ROUND(P398,2)*Q398</f>
        <v>#DIV/0!</v>
      </c>
      <c r="T398" s="101" t="e">
        <f>Q398*dagenperjaar1</f>
        <v>#DIV/0!</v>
      </c>
      <c r="U398" s="25" t="e">
        <f>T398*ROUND(P398,2)</f>
        <v>#DIV/0!</v>
      </c>
    </row>
    <row r="399" spans="1:21" x14ac:dyDescent="0.2">
      <c r="A399" s="98" t="s">
        <v>590</v>
      </c>
      <c r="B399" s="99" t="s">
        <v>50</v>
      </c>
      <c r="C399" s="99" t="s">
        <v>345</v>
      </c>
      <c r="D399" s="99" t="s">
        <v>349</v>
      </c>
      <c r="E399" s="100" t="s">
        <v>592</v>
      </c>
      <c r="F399" s="99" t="s">
        <v>548</v>
      </c>
      <c r="G399" s="99" t="s">
        <v>270</v>
      </c>
      <c r="H399" s="99" t="s">
        <v>13</v>
      </c>
      <c r="I399" s="99" t="s">
        <v>246</v>
      </c>
      <c r="J399" s="99"/>
      <c r="K399" s="101">
        <v>4.8</v>
      </c>
      <c r="L399" s="101">
        <f>K399*VLOOKUP(H399,dagsoorttabel1,2,FALSE)</f>
        <v>3.7647058823529411</v>
      </c>
      <c r="M399" s="102">
        <f>prodnorm64</f>
        <v>0</v>
      </c>
      <c r="N399" s="37">
        <f>dagwerk64</f>
        <v>0</v>
      </c>
      <c r="O399" s="99" t="s">
        <v>108</v>
      </c>
      <c r="P399" s="24">
        <f>uurtarief64</f>
        <v>0</v>
      </c>
      <c r="Q399" s="101" t="e">
        <f>IF(ISBLANK(M399),0,L399/ROUND(M399,4))</f>
        <v>#DIV/0!</v>
      </c>
      <c r="R399" s="101" t="e">
        <f>IF(ISBLANK(M399),0,Q399*ROUND(N399,2))</f>
        <v>#DIV/0!</v>
      </c>
      <c r="S399" s="24" t="e">
        <f>ROUND(P399,2)*Q399</f>
        <v>#DIV/0!</v>
      </c>
      <c r="T399" s="101" t="e">
        <f>Q399*dagenperjaar1</f>
        <v>#DIV/0!</v>
      </c>
      <c r="U399" s="25" t="e">
        <f>T399*ROUND(P399,2)</f>
        <v>#DIV/0!</v>
      </c>
    </row>
    <row r="400" spans="1:21" x14ac:dyDescent="0.2">
      <c r="A400" s="98" t="s">
        <v>590</v>
      </c>
      <c r="B400" s="99" t="s">
        <v>50</v>
      </c>
      <c r="C400" s="99" t="s">
        <v>345</v>
      </c>
      <c r="D400" s="99" t="s">
        <v>351</v>
      </c>
      <c r="E400" s="100" t="s">
        <v>593</v>
      </c>
      <c r="F400" s="99" t="s">
        <v>548</v>
      </c>
      <c r="G400" s="99" t="s">
        <v>245</v>
      </c>
      <c r="H400" s="99" t="s">
        <v>24</v>
      </c>
      <c r="I400" s="99" t="s">
        <v>246</v>
      </c>
      <c r="J400" s="99"/>
      <c r="K400" s="101">
        <v>3.36</v>
      </c>
      <c r="L400" s="101">
        <f>K400*VLOOKUP(H400,dagsoorttabel1,2,FALSE)</f>
        <v>0.15811764705882353</v>
      </c>
      <c r="M400" s="102">
        <f>prodnorm32</f>
        <v>0</v>
      </c>
      <c r="N400" s="37">
        <f>dagwerk32</f>
        <v>0</v>
      </c>
      <c r="O400" s="99" t="s">
        <v>108</v>
      </c>
      <c r="P400" s="24">
        <f>uurtarief32</f>
        <v>0</v>
      </c>
      <c r="Q400" s="101" t="e">
        <f>IF(ISBLANK(M400),0,L400/ROUND(M400,4))</f>
        <v>#DIV/0!</v>
      </c>
      <c r="R400" s="101" t="e">
        <f>IF(ISBLANK(M400),0,Q400*ROUND(N400,2))</f>
        <v>#DIV/0!</v>
      </c>
      <c r="S400" s="24" t="e">
        <f>ROUND(P400,2)*Q400</f>
        <v>#DIV/0!</v>
      </c>
      <c r="T400" s="101" t="e">
        <f>Q400*dagenperjaar1</f>
        <v>#DIV/0!</v>
      </c>
      <c r="U400" s="25" t="e">
        <f>T400*ROUND(P400,2)</f>
        <v>#DIV/0!</v>
      </c>
    </row>
    <row r="401" spans="1:21" x14ac:dyDescent="0.2">
      <c r="A401" s="98" t="s">
        <v>590</v>
      </c>
      <c r="B401" s="99" t="s">
        <v>50</v>
      </c>
      <c r="C401" s="99" t="s">
        <v>345</v>
      </c>
      <c r="D401" s="99" t="s">
        <v>353</v>
      </c>
      <c r="E401" s="100" t="s">
        <v>594</v>
      </c>
      <c r="F401" s="99" t="s">
        <v>397</v>
      </c>
      <c r="G401" s="99" t="s">
        <v>248</v>
      </c>
      <c r="H401" s="99" t="s">
        <v>13</v>
      </c>
      <c r="I401" s="99" t="s">
        <v>246</v>
      </c>
      <c r="J401" s="99"/>
      <c r="K401" s="101">
        <v>6.9</v>
      </c>
      <c r="L401" s="101">
        <f>K401*VLOOKUP(H401,dagsoorttabel1,2,FALSE)</f>
        <v>5.4117647058823533</v>
      </c>
      <c r="M401" s="102">
        <f>prodnorm35</f>
        <v>0</v>
      </c>
      <c r="N401" s="37">
        <f>dagwerk35</f>
        <v>0</v>
      </c>
      <c r="O401" s="99" t="s">
        <v>108</v>
      </c>
      <c r="P401" s="24">
        <f>uurtarief35</f>
        <v>0</v>
      </c>
      <c r="Q401" s="101" t="e">
        <f>IF(ISBLANK(M401),0,L401/ROUND(M401,4))</f>
        <v>#DIV/0!</v>
      </c>
      <c r="R401" s="101" t="e">
        <f>IF(ISBLANK(M401),0,Q401*ROUND(N401,2))</f>
        <v>#DIV/0!</v>
      </c>
      <c r="S401" s="24" t="e">
        <f>ROUND(P401,2)*Q401</f>
        <v>#DIV/0!</v>
      </c>
      <c r="T401" s="101" t="e">
        <f>Q401*dagenperjaar1</f>
        <v>#DIV/0!</v>
      </c>
      <c r="U401" s="25" t="e">
        <f>T401*ROUND(P401,2)</f>
        <v>#DIV/0!</v>
      </c>
    </row>
    <row r="402" spans="1:21" x14ac:dyDescent="0.2">
      <c r="A402" s="98" t="s">
        <v>590</v>
      </c>
      <c r="B402" s="99" t="s">
        <v>50</v>
      </c>
      <c r="C402" s="99" t="s">
        <v>345</v>
      </c>
      <c r="D402" s="99" t="s">
        <v>353</v>
      </c>
      <c r="E402" s="100" t="s">
        <v>595</v>
      </c>
      <c r="F402" s="99" t="s">
        <v>548</v>
      </c>
      <c r="G402" s="99" t="s">
        <v>262</v>
      </c>
      <c r="H402" s="99" t="s">
        <v>13</v>
      </c>
      <c r="I402" s="99" t="s">
        <v>246</v>
      </c>
      <c r="J402" s="99"/>
      <c r="K402" s="101">
        <v>25</v>
      </c>
      <c r="L402" s="101">
        <f>K402*VLOOKUP(H402,dagsoorttabel1,2,FALSE)</f>
        <v>19.607843137254903</v>
      </c>
      <c r="M402" s="102">
        <f>prodnorm57</f>
        <v>0</v>
      </c>
      <c r="N402" s="37">
        <f>dagwerk57</f>
        <v>0</v>
      </c>
      <c r="O402" s="99" t="s">
        <v>108</v>
      </c>
      <c r="P402" s="24">
        <f>uurtarief57</f>
        <v>0</v>
      </c>
      <c r="Q402" s="101" t="e">
        <f>IF(ISBLANK(M402),0,L402/ROUND(M402,4))</f>
        <v>#DIV/0!</v>
      </c>
      <c r="R402" s="101" t="e">
        <f>IF(ISBLANK(M402),0,Q402*ROUND(N402,2))</f>
        <v>#DIV/0!</v>
      </c>
      <c r="S402" s="24" t="e">
        <f>ROUND(P402,2)*Q402</f>
        <v>#DIV/0!</v>
      </c>
      <c r="T402" s="101" t="e">
        <f>Q402*dagenperjaar1</f>
        <v>#DIV/0!</v>
      </c>
      <c r="U402" s="25" t="e">
        <f>T402*ROUND(P402,2)</f>
        <v>#DIV/0!</v>
      </c>
    </row>
    <row r="403" spans="1:21" x14ac:dyDescent="0.2">
      <c r="A403" s="98" t="s">
        <v>590</v>
      </c>
      <c r="B403" s="99" t="s">
        <v>50</v>
      </c>
      <c r="C403" s="99" t="s">
        <v>345</v>
      </c>
      <c r="D403" s="99" t="s">
        <v>355</v>
      </c>
      <c r="E403" s="100" t="s">
        <v>596</v>
      </c>
      <c r="F403" s="99" t="s">
        <v>348</v>
      </c>
      <c r="G403" s="99" t="s">
        <v>270</v>
      </c>
      <c r="H403" s="99" t="s">
        <v>13</v>
      </c>
      <c r="I403" s="99" t="s">
        <v>246</v>
      </c>
      <c r="J403" s="99"/>
      <c r="K403" s="101">
        <v>4.0999999999999996</v>
      </c>
      <c r="L403" s="101">
        <f>K403*VLOOKUP(H403,dagsoorttabel1,2,FALSE)</f>
        <v>3.2156862745098036</v>
      </c>
      <c r="M403" s="102">
        <f>prodnorm64</f>
        <v>0</v>
      </c>
      <c r="N403" s="37">
        <f>dagwerk64</f>
        <v>0</v>
      </c>
      <c r="O403" s="99" t="s">
        <v>108</v>
      </c>
      <c r="P403" s="24">
        <f>uurtarief64</f>
        <v>0</v>
      </c>
      <c r="Q403" s="101" t="e">
        <f>IF(ISBLANK(M403),0,L403/ROUND(M403,4))</f>
        <v>#DIV/0!</v>
      </c>
      <c r="R403" s="101" t="e">
        <f>IF(ISBLANK(M403),0,Q403*ROUND(N403,2))</f>
        <v>#DIV/0!</v>
      </c>
      <c r="S403" s="24" t="e">
        <f>ROUND(P403,2)*Q403</f>
        <v>#DIV/0!</v>
      </c>
      <c r="T403" s="101" t="e">
        <f>Q403*dagenperjaar1</f>
        <v>#DIV/0!</v>
      </c>
      <c r="U403" s="25" t="e">
        <f>T403*ROUND(P403,2)</f>
        <v>#DIV/0!</v>
      </c>
    </row>
    <row r="404" spans="1:21" x14ac:dyDescent="0.2">
      <c r="A404" s="98" t="s">
        <v>590</v>
      </c>
      <c r="B404" s="99" t="s">
        <v>50</v>
      </c>
      <c r="C404" s="99" t="s">
        <v>345</v>
      </c>
      <c r="D404" s="99" t="s">
        <v>355</v>
      </c>
      <c r="E404" s="100" t="s">
        <v>597</v>
      </c>
      <c r="F404" s="99" t="s">
        <v>548</v>
      </c>
      <c r="G404" s="99" t="s">
        <v>251</v>
      </c>
      <c r="H404" s="99" t="s">
        <v>13</v>
      </c>
      <c r="I404" s="99" t="s">
        <v>246</v>
      </c>
      <c r="J404" s="99"/>
      <c r="K404" s="101">
        <v>4.5999999999999996</v>
      </c>
      <c r="L404" s="101">
        <f>K404*VLOOKUP(H404,dagsoorttabel1,2,FALSE)</f>
        <v>3.6078431372549016</v>
      </c>
      <c r="M404" s="102">
        <f>prodnorm39</f>
        <v>0</v>
      </c>
      <c r="N404" s="37">
        <f>dagwerk39</f>
        <v>0</v>
      </c>
      <c r="O404" s="99" t="s">
        <v>108</v>
      </c>
      <c r="P404" s="24">
        <f>uurtarief39</f>
        <v>0</v>
      </c>
      <c r="Q404" s="101" t="e">
        <f>IF(ISBLANK(M404),0,L404/ROUND(M404,4))</f>
        <v>#DIV/0!</v>
      </c>
      <c r="R404" s="101" t="e">
        <f>IF(ISBLANK(M404),0,Q404*ROUND(N404,2))</f>
        <v>#DIV/0!</v>
      </c>
      <c r="S404" s="24" t="e">
        <f>ROUND(P404,2)*Q404</f>
        <v>#DIV/0!</v>
      </c>
      <c r="T404" s="101" t="e">
        <f>Q404*dagenperjaar1</f>
        <v>#DIV/0!</v>
      </c>
      <c r="U404" s="25" t="e">
        <f>T404*ROUND(P404,2)</f>
        <v>#DIV/0!</v>
      </c>
    </row>
    <row r="405" spans="1:21" x14ac:dyDescent="0.2">
      <c r="A405" s="98" t="s">
        <v>590</v>
      </c>
      <c r="B405" s="99" t="s">
        <v>50</v>
      </c>
      <c r="C405" s="99" t="s">
        <v>345</v>
      </c>
      <c r="D405" s="99" t="s">
        <v>357</v>
      </c>
      <c r="E405" s="100" t="s">
        <v>598</v>
      </c>
      <c r="F405" s="99" t="s">
        <v>599</v>
      </c>
      <c r="G405" s="99" t="s">
        <v>259</v>
      </c>
      <c r="H405" s="99" t="s">
        <v>11</v>
      </c>
      <c r="I405" s="99" t="s">
        <v>246</v>
      </c>
      <c r="J405" s="99"/>
      <c r="K405" s="101">
        <v>308.39999999999998</v>
      </c>
      <c r="L405" s="101">
        <f>K405*VLOOKUP(H405,dagsoorttabel1,2,FALSE)</f>
        <v>272.11764705882348</v>
      </c>
      <c r="M405" s="102">
        <f>prodnorm52</f>
        <v>0</v>
      </c>
      <c r="N405" s="37">
        <f>dagwerk52</f>
        <v>0</v>
      </c>
      <c r="O405" s="99" t="s">
        <v>108</v>
      </c>
      <c r="P405" s="24">
        <f>uurtarief52</f>
        <v>0</v>
      </c>
      <c r="Q405" s="101" t="e">
        <f>IF(ISBLANK(M405),0,L405/ROUND(M405,4))</f>
        <v>#DIV/0!</v>
      </c>
      <c r="R405" s="101" t="e">
        <f>IF(ISBLANK(M405),0,Q405*ROUND(N405,2))</f>
        <v>#DIV/0!</v>
      </c>
      <c r="S405" s="24" t="e">
        <f>ROUND(P405,2)*Q405</f>
        <v>#DIV/0!</v>
      </c>
      <c r="T405" s="101" t="e">
        <f>Q405*dagenperjaar1</f>
        <v>#DIV/0!</v>
      </c>
      <c r="U405" s="25" t="e">
        <f>T405*ROUND(P405,2)</f>
        <v>#DIV/0!</v>
      </c>
    </row>
    <row r="406" spans="1:21" x14ac:dyDescent="0.2">
      <c r="A406" s="98" t="s">
        <v>590</v>
      </c>
      <c r="B406" s="99" t="s">
        <v>50</v>
      </c>
      <c r="C406" s="99" t="s">
        <v>345</v>
      </c>
      <c r="D406" s="99" t="s">
        <v>357</v>
      </c>
      <c r="E406" s="100" t="s">
        <v>600</v>
      </c>
      <c r="F406" s="99" t="s">
        <v>548</v>
      </c>
      <c r="G406" s="99" t="s">
        <v>270</v>
      </c>
      <c r="H406" s="99" t="s">
        <v>13</v>
      </c>
      <c r="I406" s="99" t="s">
        <v>246</v>
      </c>
      <c r="J406" s="99"/>
      <c r="K406" s="101">
        <v>0</v>
      </c>
      <c r="L406" s="101">
        <f>K406*VLOOKUP(H406,dagsoorttabel1,2,FALSE)</f>
        <v>0</v>
      </c>
      <c r="M406" s="102"/>
      <c r="N406" s="37"/>
      <c r="O406" s="99" t="s">
        <v>108</v>
      </c>
      <c r="P406" s="24"/>
      <c r="Q406" s="101">
        <f>IF(ISBLANK(M406),0,L406/ROUND(M406,4))</f>
        <v>0</v>
      </c>
      <c r="R406" s="101">
        <f>IF(ISBLANK(M406),0,Q406*ROUND(N406,2))</f>
        <v>0</v>
      </c>
      <c r="S406" s="24">
        <f>ROUND(P406,2)*Q406</f>
        <v>0</v>
      </c>
      <c r="T406" s="101">
        <f>Q406*dagenperjaar1</f>
        <v>0</v>
      </c>
      <c r="U406" s="25">
        <f>T406*ROUND(P406,2)</f>
        <v>0</v>
      </c>
    </row>
    <row r="407" spans="1:21" x14ac:dyDescent="0.2">
      <c r="A407" s="98" t="s">
        <v>590</v>
      </c>
      <c r="B407" s="99" t="s">
        <v>50</v>
      </c>
      <c r="C407" s="99" t="s">
        <v>345</v>
      </c>
      <c r="D407" s="99" t="s">
        <v>359</v>
      </c>
      <c r="E407" s="100" t="s">
        <v>466</v>
      </c>
      <c r="F407" s="99" t="s">
        <v>599</v>
      </c>
      <c r="G407" s="99" t="s">
        <v>259</v>
      </c>
      <c r="H407" s="99" t="s">
        <v>28</v>
      </c>
      <c r="I407" s="99" t="s">
        <v>246</v>
      </c>
      <c r="J407" s="99"/>
      <c r="K407" s="101">
        <v>14.6</v>
      </c>
      <c r="L407" s="101">
        <f>K407*VLOOKUP(H407,dagsoorttabel1,2,FALSE)</f>
        <v>0.11450980392156862</v>
      </c>
      <c r="M407" s="102">
        <f>prodnorm53</f>
        <v>0</v>
      </c>
      <c r="N407" s="37">
        <f>dagwerk53</f>
        <v>0</v>
      </c>
      <c r="O407" s="99" t="s">
        <v>108</v>
      </c>
      <c r="P407" s="24">
        <f>uurtarief53</f>
        <v>0</v>
      </c>
      <c r="Q407" s="101" t="e">
        <f>IF(ISBLANK(M407),0,L407/ROUND(M407,4))</f>
        <v>#DIV/0!</v>
      </c>
      <c r="R407" s="101" t="e">
        <f>IF(ISBLANK(M407),0,Q407*ROUND(N407,2))</f>
        <v>#DIV/0!</v>
      </c>
      <c r="S407" s="24" t="e">
        <f>ROUND(P407,2)*Q407</f>
        <v>#DIV/0!</v>
      </c>
      <c r="T407" s="101" t="e">
        <f>Q407*dagenperjaar1</f>
        <v>#DIV/0!</v>
      </c>
      <c r="U407" s="25" t="e">
        <f>T407*ROUND(P407,2)</f>
        <v>#DIV/0!</v>
      </c>
    </row>
    <row r="408" spans="1:21" x14ac:dyDescent="0.2">
      <c r="A408" s="98" t="s">
        <v>590</v>
      </c>
      <c r="B408" s="99" t="s">
        <v>50</v>
      </c>
      <c r="C408" s="99" t="s">
        <v>345</v>
      </c>
      <c r="D408" s="99" t="s">
        <v>359</v>
      </c>
      <c r="E408" s="100" t="s">
        <v>601</v>
      </c>
      <c r="F408" s="99" t="s">
        <v>548</v>
      </c>
      <c r="G408" s="99" t="s">
        <v>262</v>
      </c>
      <c r="H408" s="99" t="s">
        <v>13</v>
      </c>
      <c r="I408" s="99" t="s">
        <v>246</v>
      </c>
      <c r="J408" s="99"/>
      <c r="K408" s="101">
        <v>25</v>
      </c>
      <c r="L408" s="101">
        <f>K408*VLOOKUP(H408,dagsoorttabel1,2,FALSE)</f>
        <v>19.607843137254903</v>
      </c>
      <c r="M408" s="102">
        <f>prodnorm57</f>
        <v>0</v>
      </c>
      <c r="N408" s="37">
        <f>dagwerk57</f>
        <v>0</v>
      </c>
      <c r="O408" s="99" t="s">
        <v>108</v>
      </c>
      <c r="P408" s="24">
        <f>uurtarief57</f>
        <v>0</v>
      </c>
      <c r="Q408" s="101" t="e">
        <f>IF(ISBLANK(M408),0,L408/ROUND(M408,4))</f>
        <v>#DIV/0!</v>
      </c>
      <c r="R408" s="101" t="e">
        <f>IF(ISBLANK(M408),0,Q408*ROUND(N408,2))</f>
        <v>#DIV/0!</v>
      </c>
      <c r="S408" s="24" t="e">
        <f>ROUND(P408,2)*Q408</f>
        <v>#DIV/0!</v>
      </c>
      <c r="T408" s="101" t="e">
        <f>Q408*dagenperjaar1</f>
        <v>#DIV/0!</v>
      </c>
      <c r="U408" s="25" t="e">
        <f>T408*ROUND(P408,2)</f>
        <v>#DIV/0!</v>
      </c>
    </row>
    <row r="409" spans="1:21" x14ac:dyDescent="0.2">
      <c r="A409" s="98" t="s">
        <v>590</v>
      </c>
      <c r="B409" s="99" t="s">
        <v>50</v>
      </c>
      <c r="C409" s="99" t="s">
        <v>345</v>
      </c>
      <c r="D409" s="99" t="s">
        <v>361</v>
      </c>
      <c r="E409" s="100" t="s">
        <v>466</v>
      </c>
      <c r="F409" s="99" t="s">
        <v>599</v>
      </c>
      <c r="G409" s="99" t="s">
        <v>259</v>
      </c>
      <c r="H409" s="99" t="s">
        <v>28</v>
      </c>
      <c r="I409" s="99" t="s">
        <v>246</v>
      </c>
      <c r="J409" s="99"/>
      <c r="K409" s="101">
        <v>35.4</v>
      </c>
      <c r="L409" s="101">
        <f>K409*VLOOKUP(H409,dagsoorttabel1,2,FALSE)</f>
        <v>0.27764705882352941</v>
      </c>
      <c r="M409" s="102">
        <f>prodnorm53</f>
        <v>0</v>
      </c>
      <c r="N409" s="37">
        <f>dagwerk53</f>
        <v>0</v>
      </c>
      <c r="O409" s="99" t="s">
        <v>108</v>
      </c>
      <c r="P409" s="24">
        <f>uurtarief53</f>
        <v>0</v>
      </c>
      <c r="Q409" s="101" t="e">
        <f>IF(ISBLANK(M409),0,L409/ROUND(M409,4))</f>
        <v>#DIV/0!</v>
      </c>
      <c r="R409" s="101" t="e">
        <f>IF(ISBLANK(M409),0,Q409*ROUND(N409,2))</f>
        <v>#DIV/0!</v>
      </c>
      <c r="S409" s="24" t="e">
        <f>ROUND(P409,2)*Q409</f>
        <v>#DIV/0!</v>
      </c>
      <c r="T409" s="101" t="e">
        <f>Q409*dagenperjaar1</f>
        <v>#DIV/0!</v>
      </c>
      <c r="U409" s="25" t="e">
        <f>T409*ROUND(P409,2)</f>
        <v>#DIV/0!</v>
      </c>
    </row>
    <row r="410" spans="1:21" x14ac:dyDescent="0.2">
      <c r="A410" s="98" t="s">
        <v>590</v>
      </c>
      <c r="B410" s="99" t="s">
        <v>50</v>
      </c>
      <c r="C410" s="99" t="s">
        <v>345</v>
      </c>
      <c r="D410" s="99" t="s">
        <v>361</v>
      </c>
      <c r="E410" s="100" t="s">
        <v>602</v>
      </c>
      <c r="F410" s="99" t="s">
        <v>548</v>
      </c>
      <c r="G410" s="99" t="s">
        <v>270</v>
      </c>
      <c r="H410" s="99" t="s">
        <v>13</v>
      </c>
      <c r="I410" s="99" t="s">
        <v>246</v>
      </c>
      <c r="J410" s="99"/>
      <c r="K410" s="101">
        <v>0</v>
      </c>
      <c r="L410" s="101">
        <f>K410*VLOOKUP(H410,dagsoorttabel1,2,FALSE)</f>
        <v>0</v>
      </c>
      <c r="M410" s="102"/>
      <c r="N410" s="37"/>
      <c r="O410" s="99" t="s">
        <v>108</v>
      </c>
      <c r="P410" s="24"/>
      <c r="Q410" s="101">
        <f>IF(ISBLANK(M410),0,L410/ROUND(M410,4))</f>
        <v>0</v>
      </c>
      <c r="R410" s="101">
        <f>IF(ISBLANK(M410),0,Q410*ROUND(N410,2))</f>
        <v>0</v>
      </c>
      <c r="S410" s="24">
        <f>ROUND(P410,2)*Q410</f>
        <v>0</v>
      </c>
      <c r="T410" s="101">
        <f>Q410*dagenperjaar1</f>
        <v>0</v>
      </c>
      <c r="U410" s="25">
        <f>T410*ROUND(P410,2)</f>
        <v>0</v>
      </c>
    </row>
    <row r="411" spans="1:21" x14ac:dyDescent="0.2">
      <c r="A411" s="98" t="s">
        <v>590</v>
      </c>
      <c r="B411" s="99" t="s">
        <v>50</v>
      </c>
      <c r="C411" s="99" t="s">
        <v>345</v>
      </c>
      <c r="D411" s="99" t="s">
        <v>363</v>
      </c>
      <c r="E411" s="100" t="s">
        <v>603</v>
      </c>
      <c r="F411" s="99" t="s">
        <v>548</v>
      </c>
      <c r="G411" s="99" t="s">
        <v>251</v>
      </c>
      <c r="H411" s="99" t="s">
        <v>13</v>
      </c>
      <c r="I411" s="99" t="s">
        <v>246</v>
      </c>
      <c r="J411" s="99"/>
      <c r="K411" s="101">
        <v>4.5999999999999996</v>
      </c>
      <c r="L411" s="101">
        <f>K411*VLOOKUP(H411,dagsoorttabel1,2,FALSE)</f>
        <v>3.6078431372549016</v>
      </c>
      <c r="M411" s="102">
        <f>prodnorm39</f>
        <v>0</v>
      </c>
      <c r="N411" s="37">
        <f>dagwerk39</f>
        <v>0</v>
      </c>
      <c r="O411" s="99" t="s">
        <v>108</v>
      </c>
      <c r="P411" s="24">
        <f>uurtarief39</f>
        <v>0</v>
      </c>
      <c r="Q411" s="101" t="e">
        <f>IF(ISBLANK(M411),0,L411/ROUND(M411,4))</f>
        <v>#DIV/0!</v>
      </c>
      <c r="R411" s="101" t="e">
        <f>IF(ISBLANK(M411),0,Q411*ROUND(N411,2))</f>
        <v>#DIV/0!</v>
      </c>
      <c r="S411" s="24" t="e">
        <f>ROUND(P411,2)*Q411</f>
        <v>#DIV/0!</v>
      </c>
      <c r="T411" s="101" t="e">
        <f>Q411*dagenperjaar1</f>
        <v>#DIV/0!</v>
      </c>
      <c r="U411" s="25" t="e">
        <f>T411*ROUND(P411,2)</f>
        <v>#DIV/0!</v>
      </c>
    </row>
    <row r="412" spans="1:21" x14ac:dyDescent="0.2">
      <c r="A412" s="98" t="s">
        <v>590</v>
      </c>
      <c r="B412" s="99" t="s">
        <v>50</v>
      </c>
      <c r="C412" s="99" t="s">
        <v>345</v>
      </c>
      <c r="D412" s="99" t="s">
        <v>365</v>
      </c>
      <c r="E412" s="100" t="s">
        <v>604</v>
      </c>
      <c r="F412" s="99" t="s">
        <v>548</v>
      </c>
      <c r="G412" s="99" t="s">
        <v>262</v>
      </c>
      <c r="H412" s="99" t="s">
        <v>13</v>
      </c>
      <c r="I412" s="99" t="s">
        <v>246</v>
      </c>
      <c r="J412" s="99"/>
      <c r="K412" s="101">
        <v>7.2</v>
      </c>
      <c r="L412" s="101">
        <f>K412*VLOOKUP(H412,dagsoorttabel1,2,FALSE)</f>
        <v>5.6470588235294121</v>
      </c>
      <c r="M412" s="102">
        <f>prodnorm57</f>
        <v>0</v>
      </c>
      <c r="N412" s="37">
        <f>dagwerk57</f>
        <v>0</v>
      </c>
      <c r="O412" s="99" t="s">
        <v>108</v>
      </c>
      <c r="P412" s="24">
        <f>uurtarief57</f>
        <v>0</v>
      </c>
      <c r="Q412" s="101" t="e">
        <f>IF(ISBLANK(M412),0,L412/ROUND(M412,4))</f>
        <v>#DIV/0!</v>
      </c>
      <c r="R412" s="101" t="e">
        <f>IF(ISBLANK(M412),0,Q412*ROUND(N412,2))</f>
        <v>#DIV/0!</v>
      </c>
      <c r="S412" s="24" t="e">
        <f>ROUND(P412,2)*Q412</f>
        <v>#DIV/0!</v>
      </c>
      <c r="T412" s="101" t="e">
        <f>Q412*dagenperjaar1</f>
        <v>#DIV/0!</v>
      </c>
      <c r="U412" s="25" t="e">
        <f>T412*ROUND(P412,2)</f>
        <v>#DIV/0!</v>
      </c>
    </row>
    <row r="413" spans="1:21" x14ac:dyDescent="0.2">
      <c r="A413" s="98" t="s">
        <v>590</v>
      </c>
      <c r="B413" s="99" t="s">
        <v>50</v>
      </c>
      <c r="C413" s="99" t="s">
        <v>345</v>
      </c>
      <c r="D413" s="99" t="s">
        <v>367</v>
      </c>
      <c r="E413" s="100" t="s">
        <v>605</v>
      </c>
      <c r="F413" s="99" t="s">
        <v>548</v>
      </c>
      <c r="G413" s="99" t="s">
        <v>270</v>
      </c>
      <c r="H413" s="99" t="s">
        <v>13</v>
      </c>
      <c r="I413" s="99" t="s">
        <v>246</v>
      </c>
      <c r="J413" s="99"/>
      <c r="K413" s="101">
        <v>0</v>
      </c>
      <c r="L413" s="101">
        <f>K413*VLOOKUP(H413,dagsoorttabel1,2,FALSE)</f>
        <v>0</v>
      </c>
      <c r="M413" s="102"/>
      <c r="N413" s="37"/>
      <c r="O413" s="99" t="s">
        <v>108</v>
      </c>
      <c r="P413" s="24"/>
      <c r="Q413" s="101">
        <f>IF(ISBLANK(M413),0,L413/ROUND(M413,4))</f>
        <v>0</v>
      </c>
      <c r="R413" s="101">
        <f>IF(ISBLANK(M413),0,Q413*ROUND(N413,2))</f>
        <v>0</v>
      </c>
      <c r="S413" s="24">
        <f>ROUND(P413,2)*Q413</f>
        <v>0</v>
      </c>
      <c r="T413" s="101">
        <f>Q413*dagenperjaar1</f>
        <v>0</v>
      </c>
      <c r="U413" s="25">
        <f>T413*ROUND(P413,2)</f>
        <v>0</v>
      </c>
    </row>
    <row r="414" spans="1:21" x14ac:dyDescent="0.2">
      <c r="A414" s="98" t="s">
        <v>590</v>
      </c>
      <c r="B414" s="99" t="s">
        <v>50</v>
      </c>
      <c r="C414" s="99" t="s">
        <v>345</v>
      </c>
      <c r="D414" s="99" t="s">
        <v>369</v>
      </c>
      <c r="E414" s="100" t="s">
        <v>606</v>
      </c>
      <c r="F414" s="99" t="s">
        <v>607</v>
      </c>
      <c r="G414" s="99" t="s">
        <v>259</v>
      </c>
      <c r="H414" s="99" t="s">
        <v>13</v>
      </c>
      <c r="I414" s="99" t="s">
        <v>246</v>
      </c>
      <c r="J414" s="99"/>
      <c r="K414" s="101">
        <v>315.15000000000003</v>
      </c>
      <c r="L414" s="101">
        <f>K414*VLOOKUP(H414,dagsoorttabel1,2,FALSE)</f>
        <v>247.1764705882353</v>
      </c>
      <c r="M414" s="102">
        <f>prodnorm51</f>
        <v>0</v>
      </c>
      <c r="N414" s="37">
        <f>dagwerk51</f>
        <v>0</v>
      </c>
      <c r="O414" s="99" t="s">
        <v>108</v>
      </c>
      <c r="P414" s="24">
        <f>uurtarief51</f>
        <v>0</v>
      </c>
      <c r="Q414" s="101" t="e">
        <f>IF(ISBLANK(M414),0,L414/ROUND(M414,4))</f>
        <v>#DIV/0!</v>
      </c>
      <c r="R414" s="101" t="e">
        <f>IF(ISBLANK(M414),0,Q414*ROUND(N414,2))</f>
        <v>#DIV/0!</v>
      </c>
      <c r="S414" s="24" t="e">
        <f>ROUND(P414,2)*Q414</f>
        <v>#DIV/0!</v>
      </c>
      <c r="T414" s="101" t="e">
        <f>Q414*dagenperjaar1</f>
        <v>#DIV/0!</v>
      </c>
      <c r="U414" s="25" t="e">
        <f>T414*ROUND(P414,2)</f>
        <v>#DIV/0!</v>
      </c>
    </row>
    <row r="415" spans="1:21" x14ac:dyDescent="0.2">
      <c r="A415" s="98" t="s">
        <v>590</v>
      </c>
      <c r="B415" s="99" t="s">
        <v>50</v>
      </c>
      <c r="C415" s="99" t="s">
        <v>345</v>
      </c>
      <c r="D415" s="99" t="s">
        <v>371</v>
      </c>
      <c r="E415" s="100" t="s">
        <v>608</v>
      </c>
      <c r="F415" s="99" t="s">
        <v>548</v>
      </c>
      <c r="G415" s="99" t="s">
        <v>245</v>
      </c>
      <c r="H415" s="99" t="s">
        <v>24</v>
      </c>
      <c r="I415" s="99" t="s">
        <v>246</v>
      </c>
      <c r="J415" s="99"/>
      <c r="K415" s="101">
        <v>9.5</v>
      </c>
      <c r="L415" s="101">
        <f>K415*VLOOKUP(H415,dagsoorttabel1,2,FALSE)</f>
        <v>0.44705882352941173</v>
      </c>
      <c r="M415" s="102">
        <f>prodnorm32</f>
        <v>0</v>
      </c>
      <c r="N415" s="37">
        <f>dagwerk32</f>
        <v>0</v>
      </c>
      <c r="O415" s="99" t="s">
        <v>108</v>
      </c>
      <c r="P415" s="24">
        <f>uurtarief32</f>
        <v>0</v>
      </c>
      <c r="Q415" s="101" t="e">
        <f>IF(ISBLANK(M415),0,L415/ROUND(M415,4))</f>
        <v>#DIV/0!</v>
      </c>
      <c r="R415" s="101" t="e">
        <f>IF(ISBLANK(M415),0,Q415*ROUND(N415,2))</f>
        <v>#DIV/0!</v>
      </c>
      <c r="S415" s="24" t="e">
        <f>ROUND(P415,2)*Q415</f>
        <v>#DIV/0!</v>
      </c>
      <c r="T415" s="101" t="e">
        <f>Q415*dagenperjaar1</f>
        <v>#DIV/0!</v>
      </c>
      <c r="U415" s="25" t="e">
        <f>T415*ROUND(P415,2)</f>
        <v>#DIV/0!</v>
      </c>
    </row>
    <row r="416" spans="1:21" x14ac:dyDescent="0.2">
      <c r="A416" s="98" t="s">
        <v>590</v>
      </c>
      <c r="B416" s="99" t="s">
        <v>50</v>
      </c>
      <c r="C416" s="99" t="s">
        <v>345</v>
      </c>
      <c r="D416" s="99" t="s">
        <v>373</v>
      </c>
      <c r="E416" s="100" t="s">
        <v>609</v>
      </c>
      <c r="F416" s="99" t="s">
        <v>607</v>
      </c>
      <c r="G416" s="99" t="s">
        <v>259</v>
      </c>
      <c r="H416" s="99" t="s">
        <v>13</v>
      </c>
      <c r="I416" s="99" t="s">
        <v>246</v>
      </c>
      <c r="J416" s="99"/>
      <c r="K416" s="101">
        <v>28</v>
      </c>
      <c r="L416" s="101">
        <f>K416*VLOOKUP(H416,dagsoorttabel1,2,FALSE)</f>
        <v>21.96078431372549</v>
      </c>
      <c r="M416" s="102">
        <f>prodnorm51</f>
        <v>0</v>
      </c>
      <c r="N416" s="37">
        <f>dagwerk51</f>
        <v>0</v>
      </c>
      <c r="O416" s="99" t="s">
        <v>108</v>
      </c>
      <c r="P416" s="24">
        <f>uurtarief51</f>
        <v>0</v>
      </c>
      <c r="Q416" s="101" t="e">
        <f>IF(ISBLANK(M416),0,L416/ROUND(M416,4))</f>
        <v>#DIV/0!</v>
      </c>
      <c r="R416" s="101" t="e">
        <f>IF(ISBLANK(M416),0,Q416*ROUND(N416,2))</f>
        <v>#DIV/0!</v>
      </c>
      <c r="S416" s="24" t="e">
        <f>ROUND(P416,2)*Q416</f>
        <v>#DIV/0!</v>
      </c>
      <c r="T416" s="101" t="e">
        <f>Q416*dagenperjaar1</f>
        <v>#DIV/0!</v>
      </c>
      <c r="U416" s="25" t="e">
        <f>T416*ROUND(P416,2)</f>
        <v>#DIV/0!</v>
      </c>
    </row>
    <row r="417" spans="1:21" x14ac:dyDescent="0.2">
      <c r="A417" s="98" t="s">
        <v>590</v>
      </c>
      <c r="B417" s="99" t="s">
        <v>50</v>
      </c>
      <c r="C417" s="99" t="s">
        <v>345</v>
      </c>
      <c r="D417" s="99" t="s">
        <v>375</v>
      </c>
      <c r="E417" s="100" t="s">
        <v>610</v>
      </c>
      <c r="F417" s="99" t="s">
        <v>607</v>
      </c>
      <c r="G417" s="99" t="s">
        <v>259</v>
      </c>
      <c r="H417" s="99" t="s">
        <v>13</v>
      </c>
      <c r="I417" s="99" t="s">
        <v>246</v>
      </c>
      <c r="J417" s="99"/>
      <c r="K417" s="101">
        <v>1.71</v>
      </c>
      <c r="L417" s="101">
        <f>K417*VLOOKUP(H417,dagsoorttabel1,2,FALSE)</f>
        <v>1.3411764705882352</v>
      </c>
      <c r="M417" s="102">
        <f>prodnorm51</f>
        <v>0</v>
      </c>
      <c r="N417" s="37">
        <f>dagwerk51</f>
        <v>0</v>
      </c>
      <c r="O417" s="99" t="s">
        <v>108</v>
      </c>
      <c r="P417" s="24">
        <f>uurtarief51</f>
        <v>0</v>
      </c>
      <c r="Q417" s="101" t="e">
        <f>IF(ISBLANK(M417),0,L417/ROUND(M417,4))</f>
        <v>#DIV/0!</v>
      </c>
      <c r="R417" s="101" t="e">
        <f>IF(ISBLANK(M417),0,Q417*ROUND(N417,2))</f>
        <v>#DIV/0!</v>
      </c>
      <c r="S417" s="24" t="e">
        <f>ROUND(P417,2)*Q417</f>
        <v>#DIV/0!</v>
      </c>
      <c r="T417" s="101" t="e">
        <f>Q417*dagenperjaar1</f>
        <v>#DIV/0!</v>
      </c>
      <c r="U417" s="25" t="e">
        <f>T417*ROUND(P417,2)</f>
        <v>#DIV/0!</v>
      </c>
    </row>
    <row r="418" spans="1:21" x14ac:dyDescent="0.2">
      <c r="A418" s="98" t="s">
        <v>590</v>
      </c>
      <c r="B418" s="99" t="s">
        <v>50</v>
      </c>
      <c r="C418" s="99" t="s">
        <v>345</v>
      </c>
      <c r="D418" s="99" t="s">
        <v>377</v>
      </c>
      <c r="E418" s="100" t="s">
        <v>611</v>
      </c>
      <c r="F418" s="99" t="s">
        <v>548</v>
      </c>
      <c r="G418" s="99" t="s">
        <v>275</v>
      </c>
      <c r="H418" s="99" t="s">
        <v>24</v>
      </c>
      <c r="I418" s="99" t="s">
        <v>246</v>
      </c>
      <c r="J418" s="99"/>
      <c r="K418" s="101">
        <v>9.4</v>
      </c>
      <c r="L418" s="101">
        <f>K418*VLOOKUP(H418,dagsoorttabel1,2,FALSE)</f>
        <v>0.44235294117647062</v>
      </c>
      <c r="M418" s="102">
        <f>prodnorm70</f>
        <v>0</v>
      </c>
      <c r="N418" s="37">
        <f>dagwerk70</f>
        <v>0</v>
      </c>
      <c r="O418" s="99" t="s">
        <v>108</v>
      </c>
      <c r="P418" s="24">
        <f>uurtarief70</f>
        <v>0</v>
      </c>
      <c r="Q418" s="101" t="e">
        <f>IF(ISBLANK(M418),0,L418/ROUND(M418,4))</f>
        <v>#DIV/0!</v>
      </c>
      <c r="R418" s="101" t="e">
        <f>IF(ISBLANK(M418),0,Q418*ROUND(N418,2))</f>
        <v>#DIV/0!</v>
      </c>
      <c r="S418" s="24" t="e">
        <f>ROUND(P418,2)*Q418</f>
        <v>#DIV/0!</v>
      </c>
      <c r="T418" s="101" t="e">
        <f>Q418*dagenperjaar1</f>
        <v>#DIV/0!</v>
      </c>
      <c r="U418" s="25" t="e">
        <f>T418*ROUND(P418,2)</f>
        <v>#DIV/0!</v>
      </c>
    </row>
    <row r="419" spans="1:21" x14ac:dyDescent="0.2">
      <c r="A419" s="98" t="s">
        <v>590</v>
      </c>
      <c r="B419" s="99" t="s">
        <v>50</v>
      </c>
      <c r="C419" s="99" t="s">
        <v>345</v>
      </c>
      <c r="D419" s="99" t="s">
        <v>453</v>
      </c>
      <c r="E419" s="100" t="s">
        <v>421</v>
      </c>
      <c r="F419" s="99" t="s">
        <v>397</v>
      </c>
      <c r="G419" s="99" t="s">
        <v>277</v>
      </c>
      <c r="H419" s="99" t="s">
        <v>13</v>
      </c>
      <c r="I419" s="99" t="s">
        <v>246</v>
      </c>
      <c r="J419" s="99"/>
      <c r="K419" s="101">
        <v>3.3</v>
      </c>
      <c r="L419" s="101">
        <f>K419*VLOOKUP(H419,dagsoorttabel1,2,FALSE)</f>
        <v>2.5882352941176467</v>
      </c>
      <c r="M419" s="102">
        <f>prodnorm73</f>
        <v>0</v>
      </c>
      <c r="N419" s="37">
        <f>dagwerk73</f>
        <v>0</v>
      </c>
      <c r="O419" s="99" t="s">
        <v>108</v>
      </c>
      <c r="P419" s="24">
        <f>uurtarief73</f>
        <v>0</v>
      </c>
      <c r="Q419" s="101" t="e">
        <f>IF(ISBLANK(M419),0,L419/ROUND(M419,4))</f>
        <v>#DIV/0!</v>
      </c>
      <c r="R419" s="101" t="e">
        <f>IF(ISBLANK(M419),0,Q419*ROUND(N419,2))</f>
        <v>#DIV/0!</v>
      </c>
      <c r="S419" s="24" t="e">
        <f>ROUND(P419,2)*Q419</f>
        <v>#DIV/0!</v>
      </c>
      <c r="T419" s="101" t="e">
        <f>Q419*dagenperjaar1</f>
        <v>#DIV/0!</v>
      </c>
      <c r="U419" s="25" t="e">
        <f>T419*ROUND(P419,2)</f>
        <v>#DIV/0!</v>
      </c>
    </row>
    <row r="420" spans="1:21" x14ac:dyDescent="0.2">
      <c r="A420" s="98" t="s">
        <v>590</v>
      </c>
      <c r="B420" s="99" t="s">
        <v>50</v>
      </c>
      <c r="C420" s="99" t="s">
        <v>345</v>
      </c>
      <c r="D420" s="99" t="s">
        <v>455</v>
      </c>
      <c r="E420" s="100" t="s">
        <v>408</v>
      </c>
      <c r="F420" s="99" t="s">
        <v>348</v>
      </c>
      <c r="G420" s="99" t="s">
        <v>270</v>
      </c>
      <c r="H420" s="99" t="s">
        <v>13</v>
      </c>
      <c r="I420" s="99" t="s">
        <v>246</v>
      </c>
      <c r="J420" s="99"/>
      <c r="K420" s="101">
        <v>1.3</v>
      </c>
      <c r="L420" s="101">
        <f>K420*VLOOKUP(H420,dagsoorttabel1,2,FALSE)</f>
        <v>1.0196078431372548</v>
      </c>
      <c r="M420" s="102">
        <f>prodnorm64</f>
        <v>0</v>
      </c>
      <c r="N420" s="37">
        <f>dagwerk64</f>
        <v>0</v>
      </c>
      <c r="O420" s="99" t="s">
        <v>108</v>
      </c>
      <c r="P420" s="24">
        <f>uurtarief64</f>
        <v>0</v>
      </c>
      <c r="Q420" s="101" t="e">
        <f>IF(ISBLANK(M420),0,L420/ROUND(M420,4))</f>
        <v>#DIV/0!</v>
      </c>
      <c r="R420" s="101" t="e">
        <f>IF(ISBLANK(M420),0,Q420*ROUND(N420,2))</f>
        <v>#DIV/0!</v>
      </c>
      <c r="S420" s="24" t="e">
        <f>ROUND(P420,2)*Q420</f>
        <v>#DIV/0!</v>
      </c>
      <c r="T420" s="101" t="e">
        <f>Q420*dagenperjaar1</f>
        <v>#DIV/0!</v>
      </c>
      <c r="U420" s="25" t="e">
        <f>T420*ROUND(P420,2)</f>
        <v>#DIV/0!</v>
      </c>
    </row>
    <row r="421" spans="1:21" x14ac:dyDescent="0.2">
      <c r="A421" s="98" t="s">
        <v>590</v>
      </c>
      <c r="B421" s="99" t="s">
        <v>50</v>
      </c>
      <c r="C421" s="99" t="s">
        <v>345</v>
      </c>
      <c r="D421" s="99" t="s">
        <v>456</v>
      </c>
      <c r="E421" s="100" t="s">
        <v>407</v>
      </c>
      <c r="F421" s="99" t="s">
        <v>348</v>
      </c>
      <c r="G421" s="99" t="s">
        <v>270</v>
      </c>
      <c r="H421" s="99" t="s">
        <v>13</v>
      </c>
      <c r="I421" s="99" t="s">
        <v>246</v>
      </c>
      <c r="J421" s="99"/>
      <c r="K421" s="101">
        <v>25.5</v>
      </c>
      <c r="L421" s="101">
        <f>K421*VLOOKUP(H421,dagsoorttabel1,2,FALSE)</f>
        <v>20</v>
      </c>
      <c r="M421" s="102">
        <f>prodnorm64</f>
        <v>0</v>
      </c>
      <c r="N421" s="37">
        <f>dagwerk64</f>
        <v>0</v>
      </c>
      <c r="O421" s="99" t="s">
        <v>108</v>
      </c>
      <c r="P421" s="24">
        <f>uurtarief64</f>
        <v>0</v>
      </c>
      <c r="Q421" s="101" t="e">
        <f>IF(ISBLANK(M421),0,L421/ROUND(M421,4))</f>
        <v>#DIV/0!</v>
      </c>
      <c r="R421" s="101" t="e">
        <f>IF(ISBLANK(M421),0,Q421*ROUND(N421,2))</f>
        <v>#DIV/0!</v>
      </c>
      <c r="S421" s="24" t="e">
        <f>ROUND(P421,2)*Q421</f>
        <v>#DIV/0!</v>
      </c>
      <c r="T421" s="101" t="e">
        <f>Q421*dagenperjaar1</f>
        <v>#DIV/0!</v>
      </c>
      <c r="U421" s="25" t="e">
        <f>T421*ROUND(P421,2)</f>
        <v>#DIV/0!</v>
      </c>
    </row>
    <row r="422" spans="1:21" x14ac:dyDescent="0.2">
      <c r="A422" s="98" t="s">
        <v>590</v>
      </c>
      <c r="B422" s="99" t="s">
        <v>50</v>
      </c>
      <c r="C422" s="99" t="s">
        <v>345</v>
      </c>
      <c r="D422" s="99" t="s">
        <v>457</v>
      </c>
      <c r="E422" s="100" t="s">
        <v>612</v>
      </c>
      <c r="F422" s="99" t="s">
        <v>348</v>
      </c>
      <c r="G422" s="99" t="s">
        <v>270</v>
      </c>
      <c r="H422" s="99" t="s">
        <v>13</v>
      </c>
      <c r="I422" s="99" t="s">
        <v>246</v>
      </c>
      <c r="J422" s="99"/>
      <c r="K422" s="101">
        <v>8.6999999999999993</v>
      </c>
      <c r="L422" s="101">
        <f>K422*VLOOKUP(H422,dagsoorttabel1,2,FALSE)</f>
        <v>6.8235294117647056</v>
      </c>
      <c r="M422" s="102">
        <f>prodnorm64</f>
        <v>0</v>
      </c>
      <c r="N422" s="37">
        <f>dagwerk64</f>
        <v>0</v>
      </c>
      <c r="O422" s="99" t="s">
        <v>108</v>
      </c>
      <c r="P422" s="24">
        <f>uurtarief64</f>
        <v>0</v>
      </c>
      <c r="Q422" s="101" t="e">
        <f>IF(ISBLANK(M422),0,L422/ROUND(M422,4))</f>
        <v>#DIV/0!</v>
      </c>
      <c r="R422" s="101" t="e">
        <f>IF(ISBLANK(M422),0,Q422*ROUND(N422,2))</f>
        <v>#DIV/0!</v>
      </c>
      <c r="S422" s="24" t="e">
        <f>ROUND(P422,2)*Q422</f>
        <v>#DIV/0!</v>
      </c>
      <c r="T422" s="101" t="e">
        <f>Q422*dagenperjaar1</f>
        <v>#DIV/0!</v>
      </c>
      <c r="U422" s="25" t="e">
        <f>T422*ROUND(P422,2)</f>
        <v>#DIV/0!</v>
      </c>
    </row>
    <row r="423" spans="1:21" x14ac:dyDescent="0.2">
      <c r="A423" s="98" t="s">
        <v>590</v>
      </c>
      <c r="B423" s="99" t="s">
        <v>50</v>
      </c>
      <c r="C423" s="99" t="s">
        <v>345</v>
      </c>
      <c r="D423" s="99" t="s">
        <v>458</v>
      </c>
      <c r="E423" s="100" t="s">
        <v>421</v>
      </c>
      <c r="F423" s="99" t="s">
        <v>397</v>
      </c>
      <c r="G423" s="99" t="s">
        <v>277</v>
      </c>
      <c r="H423" s="99" t="s">
        <v>13</v>
      </c>
      <c r="I423" s="99" t="s">
        <v>246</v>
      </c>
      <c r="J423" s="99"/>
      <c r="K423" s="101">
        <v>3.3</v>
      </c>
      <c r="L423" s="101">
        <f>K423*VLOOKUP(H423,dagsoorttabel1,2,FALSE)</f>
        <v>2.5882352941176467</v>
      </c>
      <c r="M423" s="102">
        <f>prodnorm73</f>
        <v>0</v>
      </c>
      <c r="N423" s="37">
        <f>dagwerk73</f>
        <v>0</v>
      </c>
      <c r="O423" s="99" t="s">
        <v>108</v>
      </c>
      <c r="P423" s="24">
        <f>uurtarief73</f>
        <v>0</v>
      </c>
      <c r="Q423" s="101" t="e">
        <f>IF(ISBLANK(M423),0,L423/ROUND(M423,4))</f>
        <v>#DIV/0!</v>
      </c>
      <c r="R423" s="101" t="e">
        <f>IF(ISBLANK(M423),0,Q423*ROUND(N423,2))</f>
        <v>#DIV/0!</v>
      </c>
      <c r="S423" s="24" t="e">
        <f>ROUND(P423,2)*Q423</f>
        <v>#DIV/0!</v>
      </c>
      <c r="T423" s="101" t="e">
        <f>Q423*dagenperjaar1</f>
        <v>#DIV/0!</v>
      </c>
      <c r="U423" s="25" t="e">
        <f>T423*ROUND(P423,2)</f>
        <v>#DIV/0!</v>
      </c>
    </row>
    <row r="424" spans="1:21" x14ac:dyDescent="0.2">
      <c r="A424" s="98" t="s">
        <v>590</v>
      </c>
      <c r="B424" s="99" t="s">
        <v>50</v>
      </c>
      <c r="C424" s="99" t="s">
        <v>345</v>
      </c>
      <c r="D424" s="99" t="s">
        <v>459</v>
      </c>
      <c r="E424" s="100" t="s">
        <v>380</v>
      </c>
      <c r="F424" s="99" t="s">
        <v>348</v>
      </c>
      <c r="G424" s="99" t="s">
        <v>270</v>
      </c>
      <c r="H424" s="99" t="s">
        <v>13</v>
      </c>
      <c r="I424" s="99" t="s">
        <v>246</v>
      </c>
      <c r="J424" s="99"/>
      <c r="K424" s="101">
        <v>1.3</v>
      </c>
      <c r="L424" s="101">
        <f>K424*VLOOKUP(H424,dagsoorttabel1,2,FALSE)</f>
        <v>1.0196078431372548</v>
      </c>
      <c r="M424" s="102">
        <f>prodnorm64</f>
        <v>0</v>
      </c>
      <c r="N424" s="37">
        <f>dagwerk64</f>
        <v>0</v>
      </c>
      <c r="O424" s="99" t="s">
        <v>108</v>
      </c>
      <c r="P424" s="24">
        <f>uurtarief64</f>
        <v>0</v>
      </c>
      <c r="Q424" s="101" t="e">
        <f>IF(ISBLANK(M424),0,L424/ROUND(M424,4))</f>
        <v>#DIV/0!</v>
      </c>
      <c r="R424" s="101" t="e">
        <f>IF(ISBLANK(M424),0,Q424*ROUND(N424,2))</f>
        <v>#DIV/0!</v>
      </c>
      <c r="S424" s="24" t="e">
        <f>ROUND(P424,2)*Q424</f>
        <v>#DIV/0!</v>
      </c>
      <c r="T424" s="101" t="e">
        <f>Q424*dagenperjaar1</f>
        <v>#DIV/0!</v>
      </c>
      <c r="U424" s="25" t="e">
        <f>T424*ROUND(P424,2)</f>
        <v>#DIV/0!</v>
      </c>
    </row>
    <row r="425" spans="1:21" x14ac:dyDescent="0.2">
      <c r="A425" s="98" t="s">
        <v>590</v>
      </c>
      <c r="B425" s="99" t="s">
        <v>50</v>
      </c>
      <c r="C425" s="99" t="s">
        <v>345</v>
      </c>
      <c r="D425" s="99" t="s">
        <v>461</v>
      </c>
      <c r="E425" s="100" t="s">
        <v>407</v>
      </c>
      <c r="F425" s="99" t="s">
        <v>348</v>
      </c>
      <c r="G425" s="99" t="s">
        <v>270</v>
      </c>
      <c r="H425" s="99" t="s">
        <v>13</v>
      </c>
      <c r="I425" s="99" t="s">
        <v>246</v>
      </c>
      <c r="J425" s="99"/>
      <c r="K425" s="101">
        <v>24.7</v>
      </c>
      <c r="L425" s="101">
        <f>K425*VLOOKUP(H425,dagsoorttabel1,2,FALSE)</f>
        <v>19.372549019607842</v>
      </c>
      <c r="M425" s="102">
        <f>prodnorm64</f>
        <v>0</v>
      </c>
      <c r="N425" s="37">
        <f>dagwerk64</f>
        <v>0</v>
      </c>
      <c r="O425" s="99" t="s">
        <v>108</v>
      </c>
      <c r="P425" s="24">
        <f>uurtarief64</f>
        <v>0</v>
      </c>
      <c r="Q425" s="101" t="e">
        <f>IF(ISBLANK(M425),0,L425/ROUND(M425,4))</f>
        <v>#DIV/0!</v>
      </c>
      <c r="R425" s="101" t="e">
        <f>IF(ISBLANK(M425),0,Q425*ROUND(N425,2))</f>
        <v>#DIV/0!</v>
      </c>
      <c r="S425" s="24" t="e">
        <f>ROUND(P425,2)*Q425</f>
        <v>#DIV/0!</v>
      </c>
      <c r="T425" s="101" t="e">
        <f>Q425*dagenperjaar1</f>
        <v>#DIV/0!</v>
      </c>
      <c r="U425" s="25" t="e">
        <f>T425*ROUND(P425,2)</f>
        <v>#DIV/0!</v>
      </c>
    </row>
    <row r="426" spans="1:21" x14ac:dyDescent="0.2">
      <c r="A426" s="98" t="s">
        <v>590</v>
      </c>
      <c r="B426" s="99" t="s">
        <v>50</v>
      </c>
      <c r="C426" s="99" t="s">
        <v>345</v>
      </c>
      <c r="D426" s="99" t="s">
        <v>462</v>
      </c>
      <c r="E426" s="100" t="s">
        <v>612</v>
      </c>
      <c r="F426" s="99" t="s">
        <v>348</v>
      </c>
      <c r="G426" s="99" t="s">
        <v>270</v>
      </c>
      <c r="H426" s="99" t="s">
        <v>13</v>
      </c>
      <c r="I426" s="99" t="s">
        <v>246</v>
      </c>
      <c r="J426" s="99"/>
      <c r="K426" s="101">
        <v>9.8000000000000007</v>
      </c>
      <c r="L426" s="101">
        <f>K426*VLOOKUP(H426,dagsoorttabel1,2,FALSE)</f>
        <v>7.6862745098039218</v>
      </c>
      <c r="M426" s="102">
        <f>prodnorm64</f>
        <v>0</v>
      </c>
      <c r="N426" s="37">
        <f>dagwerk64</f>
        <v>0</v>
      </c>
      <c r="O426" s="99" t="s">
        <v>108</v>
      </c>
      <c r="P426" s="24">
        <f>uurtarief64</f>
        <v>0</v>
      </c>
      <c r="Q426" s="101" t="e">
        <f>IF(ISBLANK(M426),0,L426/ROUND(M426,4))</f>
        <v>#DIV/0!</v>
      </c>
      <c r="R426" s="101" t="e">
        <f>IF(ISBLANK(M426),0,Q426*ROUND(N426,2))</f>
        <v>#DIV/0!</v>
      </c>
      <c r="S426" s="24" t="e">
        <f>ROUND(P426,2)*Q426</f>
        <v>#DIV/0!</v>
      </c>
      <c r="T426" s="101" t="e">
        <f>Q426*dagenperjaar1</f>
        <v>#DIV/0!</v>
      </c>
      <c r="U426" s="25" t="e">
        <f>T426*ROUND(P426,2)</f>
        <v>#DIV/0!</v>
      </c>
    </row>
    <row r="427" spans="1:21" x14ac:dyDescent="0.2">
      <c r="A427" s="98" t="s">
        <v>590</v>
      </c>
      <c r="B427" s="99" t="s">
        <v>50</v>
      </c>
      <c r="C427" s="99" t="s">
        <v>345</v>
      </c>
      <c r="D427" s="99" t="s">
        <v>463</v>
      </c>
      <c r="E427" s="100" t="s">
        <v>613</v>
      </c>
      <c r="F427" s="99" t="s">
        <v>348</v>
      </c>
      <c r="G427" s="99" t="s">
        <v>277</v>
      </c>
      <c r="H427" s="99" t="s">
        <v>13</v>
      </c>
      <c r="I427" s="99" t="s">
        <v>246</v>
      </c>
      <c r="J427" s="99"/>
      <c r="K427" s="101">
        <v>4.0999999999999996</v>
      </c>
      <c r="L427" s="101">
        <f>K427*VLOOKUP(H427,dagsoorttabel1,2,FALSE)</f>
        <v>3.2156862745098036</v>
      </c>
      <c r="M427" s="102">
        <f>prodnorm73</f>
        <v>0</v>
      </c>
      <c r="N427" s="37">
        <f>dagwerk73</f>
        <v>0</v>
      </c>
      <c r="O427" s="99" t="s">
        <v>108</v>
      </c>
      <c r="P427" s="24">
        <f>uurtarief73</f>
        <v>0</v>
      </c>
      <c r="Q427" s="101" t="e">
        <f>IF(ISBLANK(M427),0,L427/ROUND(M427,4))</f>
        <v>#DIV/0!</v>
      </c>
      <c r="R427" s="101" t="e">
        <f>IF(ISBLANK(M427),0,Q427*ROUND(N427,2))</f>
        <v>#DIV/0!</v>
      </c>
      <c r="S427" s="24" t="e">
        <f>ROUND(P427,2)*Q427</f>
        <v>#DIV/0!</v>
      </c>
      <c r="T427" s="101" t="e">
        <f>Q427*dagenperjaar1</f>
        <v>#DIV/0!</v>
      </c>
      <c r="U427" s="25" t="e">
        <f>T427*ROUND(P427,2)</f>
        <v>#DIV/0!</v>
      </c>
    </row>
    <row r="428" spans="1:21" x14ac:dyDescent="0.2">
      <c r="A428" s="103" t="s">
        <v>590</v>
      </c>
      <c r="B428" s="104" t="s">
        <v>50</v>
      </c>
      <c r="C428" s="104" t="s">
        <v>345</v>
      </c>
      <c r="D428" s="104" t="s">
        <v>497</v>
      </c>
      <c r="E428" s="105" t="s">
        <v>614</v>
      </c>
      <c r="F428" s="104" t="s">
        <v>348</v>
      </c>
      <c r="G428" s="104" t="s">
        <v>277</v>
      </c>
      <c r="H428" s="104" t="s">
        <v>13</v>
      </c>
      <c r="I428" s="104" t="s">
        <v>246</v>
      </c>
      <c r="J428" s="104"/>
      <c r="K428" s="106">
        <v>192</v>
      </c>
      <c r="L428" s="106">
        <f>K428*VLOOKUP(H428,dagsoorttabel1,2,FALSE)</f>
        <v>150.58823529411765</v>
      </c>
      <c r="M428" s="107">
        <f>prodnorm73</f>
        <v>0</v>
      </c>
      <c r="N428" s="108">
        <f>dagwerk73</f>
        <v>0</v>
      </c>
      <c r="O428" s="104" t="s">
        <v>108</v>
      </c>
      <c r="P428" s="34">
        <f>uurtarief73</f>
        <v>0</v>
      </c>
      <c r="Q428" s="106" t="e">
        <f>IF(ISBLANK(M428),0,L428/ROUND(M428,4))</f>
        <v>#DIV/0!</v>
      </c>
      <c r="R428" s="106" t="e">
        <f>IF(ISBLANK(M428),0,Q428*ROUND(N428,2))</f>
        <v>#DIV/0!</v>
      </c>
      <c r="S428" s="34" t="e">
        <f>ROUND(P428,2)*Q428</f>
        <v>#DIV/0!</v>
      </c>
      <c r="T428" s="106" t="e">
        <f>Q428*dagenperjaar1</f>
        <v>#DIV/0!</v>
      </c>
      <c r="U428" s="35" t="e">
        <f>T428*ROUND(P428,2)</f>
        <v>#DIV/0!</v>
      </c>
    </row>
    <row r="429" spans="1:21" x14ac:dyDescent="0.2">
      <c r="A429" s="109" t="s">
        <v>403</v>
      </c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81" t="e">
        <f>IF(_xlfn.SINGLE(object20_urenjaar1)&gt;0,_xlfn.SINGLE(object20_prijsjaar1)/_xlfn.SINGLE(object20_urenjaar1),0)</f>
        <v>#DIV/0!</v>
      </c>
      <c r="Q429" s="80" t="e">
        <f>SUM(Q396:Q428)</f>
        <v>#DIV/0!</v>
      </c>
      <c r="R429" s="80" t="e">
        <f>SUM(R396:R428)</f>
        <v>#DIV/0!</v>
      </c>
      <c r="S429" s="81" t="e">
        <f>SUM(S396:S428)</f>
        <v>#DIV/0!</v>
      </c>
      <c r="T429" s="80" t="e">
        <f>SUM(T396:T428)</f>
        <v>#DIV/0!</v>
      </c>
      <c r="U429" s="82" t="e">
        <f>SUM(U396:U428)</f>
        <v>#DIV/0!</v>
      </c>
    </row>
    <row r="430" spans="1:21" x14ac:dyDescent="0.2">
      <c r="A430" s="88" t="s">
        <v>615</v>
      </c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77"/>
    </row>
    <row r="431" spans="1:21" x14ac:dyDescent="0.2">
      <c r="A431" s="90" t="s">
        <v>616</v>
      </c>
      <c r="B431" s="91" t="s">
        <v>50</v>
      </c>
      <c r="C431" s="91" t="s">
        <v>617</v>
      </c>
      <c r="D431" s="91" t="s">
        <v>618</v>
      </c>
      <c r="E431" s="92" t="s">
        <v>619</v>
      </c>
      <c r="F431" s="91" t="s">
        <v>348</v>
      </c>
      <c r="G431" s="91" t="s">
        <v>277</v>
      </c>
      <c r="H431" s="91" t="s">
        <v>14</v>
      </c>
      <c r="I431" s="91" t="s">
        <v>246</v>
      </c>
      <c r="J431" s="91"/>
      <c r="K431" s="93">
        <v>24.5</v>
      </c>
      <c r="L431" s="93">
        <f>K431*VLOOKUP(H431,dagsoorttabel1,2,FALSE)</f>
        <v>16.813725490196077</v>
      </c>
      <c r="M431" s="94">
        <f>prodnorm72</f>
        <v>0</v>
      </c>
      <c r="N431" s="95">
        <f>dagwerk72</f>
        <v>0</v>
      </c>
      <c r="O431" s="91" t="s">
        <v>108</v>
      </c>
      <c r="P431" s="96">
        <f>uurtarief72</f>
        <v>0</v>
      </c>
      <c r="Q431" s="93" t="e">
        <f>IF(ISBLANK(M431),0,L431/ROUND(M431,4))</f>
        <v>#DIV/0!</v>
      </c>
      <c r="R431" s="93" t="e">
        <f>IF(ISBLANK(M431),0,Q431*ROUND(N431,2))</f>
        <v>#DIV/0!</v>
      </c>
      <c r="S431" s="96" t="e">
        <f>ROUND(P431,2)*Q431</f>
        <v>#DIV/0!</v>
      </c>
      <c r="T431" s="93" t="e">
        <f>Q431*dagenperjaar1</f>
        <v>#DIV/0!</v>
      </c>
      <c r="U431" s="97" t="e">
        <f>T431*ROUND(P431,2)</f>
        <v>#DIV/0!</v>
      </c>
    </row>
    <row r="432" spans="1:21" x14ac:dyDescent="0.2">
      <c r="A432" s="98" t="s">
        <v>616</v>
      </c>
      <c r="B432" s="99" t="s">
        <v>50</v>
      </c>
      <c r="C432" s="99" t="s">
        <v>345</v>
      </c>
      <c r="D432" s="99" t="s">
        <v>346</v>
      </c>
      <c r="E432" s="100" t="s">
        <v>591</v>
      </c>
      <c r="F432" s="99" t="s">
        <v>431</v>
      </c>
      <c r="G432" s="99" t="s">
        <v>253</v>
      </c>
      <c r="H432" s="99" t="s">
        <v>14</v>
      </c>
      <c r="I432" s="99" t="s">
        <v>246</v>
      </c>
      <c r="J432" s="99"/>
      <c r="K432" s="101">
        <v>42.8</v>
      </c>
      <c r="L432" s="101">
        <f>K432*VLOOKUP(H432,dagsoorttabel1,2,FALSE)</f>
        <v>29.372549019607842</v>
      </c>
      <c r="M432" s="102">
        <f>prodnorm41</f>
        <v>0</v>
      </c>
      <c r="N432" s="37">
        <f>dagwerk41</f>
        <v>0</v>
      </c>
      <c r="O432" s="99" t="s">
        <v>108</v>
      </c>
      <c r="P432" s="24">
        <f>uurtarief41</f>
        <v>0</v>
      </c>
      <c r="Q432" s="101" t="e">
        <f>IF(ISBLANK(M432),0,L432/ROUND(M432,4))</f>
        <v>#DIV/0!</v>
      </c>
      <c r="R432" s="101" t="e">
        <f>IF(ISBLANK(M432),0,Q432*ROUND(N432,2))</f>
        <v>#DIV/0!</v>
      </c>
      <c r="S432" s="24" t="e">
        <f>ROUND(P432,2)*Q432</f>
        <v>#DIV/0!</v>
      </c>
      <c r="T432" s="101" t="e">
        <f>Q432*dagenperjaar1</f>
        <v>#DIV/0!</v>
      </c>
      <c r="U432" s="25" t="e">
        <f>T432*ROUND(P432,2)</f>
        <v>#DIV/0!</v>
      </c>
    </row>
    <row r="433" spans="1:21" x14ac:dyDescent="0.2">
      <c r="A433" s="98" t="s">
        <v>616</v>
      </c>
      <c r="B433" s="99" t="s">
        <v>50</v>
      </c>
      <c r="C433" s="99" t="s">
        <v>345</v>
      </c>
      <c r="D433" s="99" t="s">
        <v>620</v>
      </c>
      <c r="E433" s="100" t="s">
        <v>522</v>
      </c>
      <c r="F433" s="99" t="s">
        <v>397</v>
      </c>
      <c r="G433" s="99" t="s">
        <v>257</v>
      </c>
      <c r="H433" s="99" t="s">
        <v>14</v>
      </c>
      <c r="I433" s="99" t="s">
        <v>246</v>
      </c>
      <c r="J433" s="99"/>
      <c r="K433" s="101">
        <v>4</v>
      </c>
      <c r="L433" s="101">
        <f>K433*VLOOKUP(H433,dagsoorttabel1,2,FALSE)</f>
        <v>2.7450980392156863</v>
      </c>
      <c r="M433" s="102">
        <f>prodnorm47</f>
        <v>0</v>
      </c>
      <c r="N433" s="37">
        <f>dagwerk47</f>
        <v>0</v>
      </c>
      <c r="O433" s="99" t="s">
        <v>108</v>
      </c>
      <c r="P433" s="24">
        <f>uurtarief47</f>
        <v>0</v>
      </c>
      <c r="Q433" s="101" t="e">
        <f>IF(ISBLANK(M433),0,L433/ROUND(M433,4))</f>
        <v>#DIV/0!</v>
      </c>
      <c r="R433" s="101" t="e">
        <f>IF(ISBLANK(M433),0,Q433*ROUND(N433,2))</f>
        <v>#DIV/0!</v>
      </c>
      <c r="S433" s="24" t="e">
        <f>ROUND(P433,2)*Q433</f>
        <v>#DIV/0!</v>
      </c>
      <c r="T433" s="101" t="e">
        <f>Q433*dagenperjaar1</f>
        <v>#DIV/0!</v>
      </c>
      <c r="U433" s="25" t="e">
        <f>T433*ROUND(P433,2)</f>
        <v>#DIV/0!</v>
      </c>
    </row>
    <row r="434" spans="1:21" x14ac:dyDescent="0.2">
      <c r="A434" s="98" t="s">
        <v>616</v>
      </c>
      <c r="B434" s="99" t="s">
        <v>50</v>
      </c>
      <c r="C434" s="99" t="s">
        <v>345</v>
      </c>
      <c r="D434" s="99" t="s">
        <v>351</v>
      </c>
      <c r="E434" s="100" t="s">
        <v>619</v>
      </c>
      <c r="F434" s="99" t="s">
        <v>348</v>
      </c>
      <c r="G434" s="99" t="s">
        <v>277</v>
      </c>
      <c r="H434" s="99" t="s">
        <v>14</v>
      </c>
      <c r="I434" s="99" t="s">
        <v>246</v>
      </c>
      <c r="J434" s="99"/>
      <c r="K434" s="101">
        <v>67.8</v>
      </c>
      <c r="L434" s="101">
        <f>K434*VLOOKUP(H434,dagsoorttabel1,2,FALSE)</f>
        <v>46.529411764705884</v>
      </c>
      <c r="M434" s="102">
        <f>prodnorm72</f>
        <v>0</v>
      </c>
      <c r="N434" s="37">
        <f>dagwerk72</f>
        <v>0</v>
      </c>
      <c r="O434" s="99" t="s">
        <v>108</v>
      </c>
      <c r="P434" s="24">
        <f>uurtarief72</f>
        <v>0</v>
      </c>
      <c r="Q434" s="101" t="e">
        <f>IF(ISBLANK(M434),0,L434/ROUND(M434,4))</f>
        <v>#DIV/0!</v>
      </c>
      <c r="R434" s="101" t="e">
        <f>IF(ISBLANK(M434),0,Q434*ROUND(N434,2))</f>
        <v>#DIV/0!</v>
      </c>
      <c r="S434" s="24" t="e">
        <f>ROUND(P434,2)*Q434</f>
        <v>#DIV/0!</v>
      </c>
      <c r="T434" s="101" t="e">
        <f>Q434*dagenperjaar1</f>
        <v>#DIV/0!</v>
      </c>
      <c r="U434" s="25" t="e">
        <f>T434*ROUND(P434,2)</f>
        <v>#DIV/0!</v>
      </c>
    </row>
    <row r="435" spans="1:21" x14ac:dyDescent="0.2">
      <c r="A435" s="98" t="s">
        <v>616</v>
      </c>
      <c r="B435" s="99" t="s">
        <v>50</v>
      </c>
      <c r="C435" s="99" t="s">
        <v>345</v>
      </c>
      <c r="D435" s="99" t="s">
        <v>353</v>
      </c>
      <c r="E435" s="100" t="s">
        <v>621</v>
      </c>
      <c r="F435" s="99" t="s">
        <v>431</v>
      </c>
      <c r="G435" s="99" t="s">
        <v>277</v>
      </c>
      <c r="H435" s="99" t="s">
        <v>14</v>
      </c>
      <c r="I435" s="99" t="s">
        <v>246</v>
      </c>
      <c r="J435" s="99"/>
      <c r="K435" s="101">
        <v>6.1</v>
      </c>
      <c r="L435" s="101">
        <f>K435*VLOOKUP(H435,dagsoorttabel1,2,FALSE)</f>
        <v>4.1862745098039218</v>
      </c>
      <c r="M435" s="102">
        <f>prodnorm72</f>
        <v>0</v>
      </c>
      <c r="N435" s="37">
        <f>dagwerk72</f>
        <v>0</v>
      </c>
      <c r="O435" s="99" t="s">
        <v>108</v>
      </c>
      <c r="P435" s="24">
        <f>uurtarief72</f>
        <v>0</v>
      </c>
      <c r="Q435" s="101" t="e">
        <f>IF(ISBLANK(M435),0,L435/ROUND(M435,4))</f>
        <v>#DIV/0!</v>
      </c>
      <c r="R435" s="101" t="e">
        <f>IF(ISBLANK(M435),0,Q435*ROUND(N435,2))</f>
        <v>#DIV/0!</v>
      </c>
      <c r="S435" s="24" t="e">
        <f>ROUND(P435,2)*Q435</f>
        <v>#DIV/0!</v>
      </c>
      <c r="T435" s="101" t="e">
        <f>Q435*dagenperjaar1</f>
        <v>#DIV/0!</v>
      </c>
      <c r="U435" s="25" t="e">
        <f>T435*ROUND(P435,2)</f>
        <v>#DIV/0!</v>
      </c>
    </row>
    <row r="436" spans="1:21" x14ac:dyDescent="0.2">
      <c r="A436" s="98" t="s">
        <v>616</v>
      </c>
      <c r="B436" s="99" t="s">
        <v>50</v>
      </c>
      <c r="C436" s="99" t="s">
        <v>345</v>
      </c>
      <c r="D436" s="99" t="s">
        <v>355</v>
      </c>
      <c r="E436" s="100" t="s">
        <v>622</v>
      </c>
      <c r="F436" s="99" t="s">
        <v>431</v>
      </c>
      <c r="G436" s="99" t="s">
        <v>273</v>
      </c>
      <c r="H436" s="99" t="s">
        <v>14</v>
      </c>
      <c r="I436" s="99" t="s">
        <v>246</v>
      </c>
      <c r="J436" s="99"/>
      <c r="K436" s="101">
        <v>12</v>
      </c>
      <c r="L436" s="101">
        <f>K436*VLOOKUP(H436,dagsoorttabel1,2,FALSE)</f>
        <v>8.235294117647058</v>
      </c>
      <c r="M436" s="102">
        <f>prodnorm67</f>
        <v>0</v>
      </c>
      <c r="N436" s="37">
        <f>dagwerk67</f>
        <v>0</v>
      </c>
      <c r="O436" s="99" t="s">
        <v>108</v>
      </c>
      <c r="P436" s="24">
        <f>uurtarief67</f>
        <v>0</v>
      </c>
      <c r="Q436" s="101" t="e">
        <f>IF(ISBLANK(M436),0,L436/ROUND(M436,4))</f>
        <v>#DIV/0!</v>
      </c>
      <c r="R436" s="101" t="e">
        <f>IF(ISBLANK(M436),0,Q436*ROUND(N436,2))</f>
        <v>#DIV/0!</v>
      </c>
      <c r="S436" s="24" t="e">
        <f>ROUND(P436,2)*Q436</f>
        <v>#DIV/0!</v>
      </c>
      <c r="T436" s="101" t="e">
        <f>Q436*dagenperjaar1</f>
        <v>#DIV/0!</v>
      </c>
      <c r="U436" s="25" t="e">
        <f>T436*ROUND(P436,2)</f>
        <v>#DIV/0!</v>
      </c>
    </row>
    <row r="437" spans="1:21" x14ac:dyDescent="0.2">
      <c r="A437" s="98" t="s">
        <v>616</v>
      </c>
      <c r="B437" s="99" t="s">
        <v>50</v>
      </c>
      <c r="C437" s="99" t="s">
        <v>345</v>
      </c>
      <c r="D437" s="99" t="s">
        <v>357</v>
      </c>
      <c r="E437" s="100" t="s">
        <v>623</v>
      </c>
      <c r="F437" s="99" t="s">
        <v>397</v>
      </c>
      <c r="G437" s="99" t="s">
        <v>248</v>
      </c>
      <c r="H437" s="99" t="s">
        <v>14</v>
      </c>
      <c r="I437" s="99" t="s">
        <v>246</v>
      </c>
      <c r="J437" s="99"/>
      <c r="K437" s="101">
        <v>14.7</v>
      </c>
      <c r="L437" s="101">
        <f>K437*VLOOKUP(H437,dagsoorttabel1,2,FALSE)</f>
        <v>10.088235294117647</v>
      </c>
      <c r="M437" s="102">
        <f>prodnorm34</f>
        <v>0</v>
      </c>
      <c r="N437" s="37">
        <f>dagwerk34</f>
        <v>0</v>
      </c>
      <c r="O437" s="99" t="s">
        <v>108</v>
      </c>
      <c r="P437" s="24">
        <f>uurtarief34</f>
        <v>0</v>
      </c>
      <c r="Q437" s="101" t="e">
        <f>IF(ISBLANK(M437),0,L437/ROUND(M437,4))</f>
        <v>#DIV/0!</v>
      </c>
      <c r="R437" s="101" t="e">
        <f>IF(ISBLANK(M437),0,Q437*ROUND(N437,2))</f>
        <v>#DIV/0!</v>
      </c>
      <c r="S437" s="24" t="e">
        <f>ROUND(P437,2)*Q437</f>
        <v>#DIV/0!</v>
      </c>
      <c r="T437" s="101" t="e">
        <f>Q437*dagenperjaar1</f>
        <v>#DIV/0!</v>
      </c>
      <c r="U437" s="25" t="e">
        <f>T437*ROUND(P437,2)</f>
        <v>#DIV/0!</v>
      </c>
    </row>
    <row r="438" spans="1:21" x14ac:dyDescent="0.2">
      <c r="A438" s="98" t="s">
        <v>616</v>
      </c>
      <c r="B438" s="99" t="s">
        <v>50</v>
      </c>
      <c r="C438" s="99" t="s">
        <v>345</v>
      </c>
      <c r="D438" s="99" t="s">
        <v>361</v>
      </c>
      <c r="E438" s="100" t="s">
        <v>619</v>
      </c>
      <c r="F438" s="99" t="s">
        <v>397</v>
      </c>
      <c r="G438" s="99" t="s">
        <v>277</v>
      </c>
      <c r="H438" s="99" t="s">
        <v>14</v>
      </c>
      <c r="I438" s="99" t="s">
        <v>246</v>
      </c>
      <c r="J438" s="99"/>
      <c r="K438" s="101">
        <v>118</v>
      </c>
      <c r="L438" s="101">
        <f>K438*VLOOKUP(H438,dagsoorttabel1,2,FALSE)</f>
        <v>80.980392156862749</v>
      </c>
      <c r="M438" s="102">
        <f>prodnorm72</f>
        <v>0</v>
      </c>
      <c r="N438" s="37">
        <f>dagwerk72</f>
        <v>0</v>
      </c>
      <c r="O438" s="99" t="s">
        <v>108</v>
      </c>
      <c r="P438" s="24">
        <f>uurtarief72</f>
        <v>0</v>
      </c>
      <c r="Q438" s="101" t="e">
        <f>IF(ISBLANK(M438),0,L438/ROUND(M438,4))</f>
        <v>#DIV/0!</v>
      </c>
      <c r="R438" s="101" t="e">
        <f>IF(ISBLANK(M438),0,Q438*ROUND(N438,2))</f>
        <v>#DIV/0!</v>
      </c>
      <c r="S438" s="24" t="e">
        <f>ROUND(P438,2)*Q438</f>
        <v>#DIV/0!</v>
      </c>
      <c r="T438" s="101" t="e">
        <f>Q438*dagenperjaar1</f>
        <v>#DIV/0!</v>
      </c>
      <c r="U438" s="25" t="e">
        <f>T438*ROUND(P438,2)</f>
        <v>#DIV/0!</v>
      </c>
    </row>
    <row r="439" spans="1:21" x14ac:dyDescent="0.2">
      <c r="A439" s="98" t="s">
        <v>616</v>
      </c>
      <c r="B439" s="99" t="s">
        <v>50</v>
      </c>
      <c r="C439" s="99" t="s">
        <v>345</v>
      </c>
      <c r="D439" s="99" t="s">
        <v>363</v>
      </c>
      <c r="E439" s="100" t="s">
        <v>407</v>
      </c>
      <c r="F439" s="99" t="s">
        <v>548</v>
      </c>
      <c r="G439" s="99" t="s">
        <v>262</v>
      </c>
      <c r="H439" s="99" t="s">
        <v>14</v>
      </c>
      <c r="I439" s="99" t="s">
        <v>246</v>
      </c>
      <c r="J439" s="99"/>
      <c r="K439" s="101">
        <v>26.6</v>
      </c>
      <c r="L439" s="101">
        <f>K439*VLOOKUP(H439,dagsoorttabel1,2,FALSE)</f>
        <v>18.254901960784316</v>
      </c>
      <c r="M439" s="102">
        <f>prodnorm56</f>
        <v>0</v>
      </c>
      <c r="N439" s="37">
        <f>dagwerk56</f>
        <v>0</v>
      </c>
      <c r="O439" s="99" t="s">
        <v>108</v>
      </c>
      <c r="P439" s="24">
        <f>uurtarief56</f>
        <v>0</v>
      </c>
      <c r="Q439" s="101" t="e">
        <f>IF(ISBLANK(M439),0,L439/ROUND(M439,4))</f>
        <v>#DIV/0!</v>
      </c>
      <c r="R439" s="101" t="e">
        <f>IF(ISBLANK(M439),0,Q439*ROUND(N439,2))</f>
        <v>#DIV/0!</v>
      </c>
      <c r="S439" s="24" t="e">
        <f>ROUND(P439,2)*Q439</f>
        <v>#DIV/0!</v>
      </c>
      <c r="T439" s="101" t="e">
        <f>Q439*dagenperjaar1</f>
        <v>#DIV/0!</v>
      </c>
      <c r="U439" s="25" t="e">
        <f>T439*ROUND(P439,2)</f>
        <v>#DIV/0!</v>
      </c>
    </row>
    <row r="440" spans="1:21" x14ac:dyDescent="0.2">
      <c r="A440" s="98" t="s">
        <v>616</v>
      </c>
      <c r="B440" s="99" t="s">
        <v>50</v>
      </c>
      <c r="C440" s="99" t="s">
        <v>345</v>
      </c>
      <c r="D440" s="99" t="s">
        <v>367</v>
      </c>
      <c r="E440" s="100" t="s">
        <v>624</v>
      </c>
      <c r="F440" s="99" t="s">
        <v>548</v>
      </c>
      <c r="G440" s="99" t="s">
        <v>251</v>
      </c>
      <c r="H440" s="99" t="s">
        <v>14</v>
      </c>
      <c r="I440" s="99" t="s">
        <v>246</v>
      </c>
      <c r="J440" s="99"/>
      <c r="K440" s="101">
        <v>15</v>
      </c>
      <c r="L440" s="101">
        <f>K440*VLOOKUP(H440,dagsoorttabel1,2,FALSE)</f>
        <v>10.294117647058824</v>
      </c>
      <c r="M440" s="102">
        <f>prodnorm38</f>
        <v>0</v>
      </c>
      <c r="N440" s="37">
        <f>dagwerk38</f>
        <v>0</v>
      </c>
      <c r="O440" s="99" t="s">
        <v>108</v>
      </c>
      <c r="P440" s="24">
        <f>uurtarief38</f>
        <v>0</v>
      </c>
      <c r="Q440" s="101" t="e">
        <f>IF(ISBLANK(M440),0,L440/ROUND(M440,4))</f>
        <v>#DIV/0!</v>
      </c>
      <c r="R440" s="101" t="e">
        <f>IF(ISBLANK(M440),0,Q440*ROUND(N440,2))</f>
        <v>#DIV/0!</v>
      </c>
      <c r="S440" s="24" t="e">
        <f>ROUND(P440,2)*Q440</f>
        <v>#DIV/0!</v>
      </c>
      <c r="T440" s="101" t="e">
        <f>Q440*dagenperjaar1</f>
        <v>#DIV/0!</v>
      </c>
      <c r="U440" s="25" t="e">
        <f>T440*ROUND(P440,2)</f>
        <v>#DIV/0!</v>
      </c>
    </row>
    <row r="441" spans="1:21" x14ac:dyDescent="0.2">
      <c r="A441" s="98" t="s">
        <v>616</v>
      </c>
      <c r="B441" s="99" t="s">
        <v>50</v>
      </c>
      <c r="C441" s="99" t="s">
        <v>345</v>
      </c>
      <c r="D441" s="99" t="s">
        <v>369</v>
      </c>
      <c r="E441" s="100" t="s">
        <v>625</v>
      </c>
      <c r="F441" s="99" t="s">
        <v>548</v>
      </c>
      <c r="G441" s="99" t="s">
        <v>262</v>
      </c>
      <c r="H441" s="99" t="s">
        <v>14</v>
      </c>
      <c r="I441" s="99" t="s">
        <v>246</v>
      </c>
      <c r="J441" s="99"/>
      <c r="K441" s="101">
        <v>6</v>
      </c>
      <c r="L441" s="101">
        <f>K441*VLOOKUP(H441,dagsoorttabel1,2,FALSE)</f>
        <v>4.117647058823529</v>
      </c>
      <c r="M441" s="102">
        <f>prodnorm56</f>
        <v>0</v>
      </c>
      <c r="N441" s="37">
        <f>dagwerk56</f>
        <v>0</v>
      </c>
      <c r="O441" s="99" t="s">
        <v>108</v>
      </c>
      <c r="P441" s="24">
        <f>uurtarief56</f>
        <v>0</v>
      </c>
      <c r="Q441" s="101" t="e">
        <f>IF(ISBLANK(M441),0,L441/ROUND(M441,4))</f>
        <v>#DIV/0!</v>
      </c>
      <c r="R441" s="101" t="e">
        <f>IF(ISBLANK(M441),0,Q441*ROUND(N441,2))</f>
        <v>#DIV/0!</v>
      </c>
      <c r="S441" s="24" t="e">
        <f>ROUND(P441,2)*Q441</f>
        <v>#DIV/0!</v>
      </c>
      <c r="T441" s="101" t="e">
        <f>Q441*dagenperjaar1</f>
        <v>#DIV/0!</v>
      </c>
      <c r="U441" s="25" t="e">
        <f>T441*ROUND(P441,2)</f>
        <v>#DIV/0!</v>
      </c>
    </row>
    <row r="442" spans="1:21" x14ac:dyDescent="0.2">
      <c r="A442" s="98" t="s">
        <v>616</v>
      </c>
      <c r="B442" s="99" t="s">
        <v>50</v>
      </c>
      <c r="C442" s="99" t="s">
        <v>345</v>
      </c>
      <c r="D442" s="99" t="s">
        <v>626</v>
      </c>
      <c r="E442" s="100" t="s">
        <v>627</v>
      </c>
      <c r="F442" s="99" t="s">
        <v>548</v>
      </c>
      <c r="G442" s="99" t="s">
        <v>251</v>
      </c>
      <c r="H442" s="99" t="s">
        <v>14</v>
      </c>
      <c r="I442" s="99" t="s">
        <v>246</v>
      </c>
      <c r="J442" s="99"/>
      <c r="K442" s="101">
        <v>1.5</v>
      </c>
      <c r="L442" s="101">
        <f>K442*VLOOKUP(H442,dagsoorttabel1,2,FALSE)</f>
        <v>1.0294117647058822</v>
      </c>
      <c r="M442" s="102">
        <f>prodnorm38</f>
        <v>0</v>
      </c>
      <c r="N442" s="37">
        <f>dagwerk38</f>
        <v>0</v>
      </c>
      <c r="O442" s="99" t="s">
        <v>108</v>
      </c>
      <c r="P442" s="24">
        <f>uurtarief38</f>
        <v>0</v>
      </c>
      <c r="Q442" s="101" t="e">
        <f>IF(ISBLANK(M442),0,L442/ROUND(M442,4))</f>
        <v>#DIV/0!</v>
      </c>
      <c r="R442" s="101" t="e">
        <f>IF(ISBLANK(M442),0,Q442*ROUND(N442,2))</f>
        <v>#DIV/0!</v>
      </c>
      <c r="S442" s="24" t="e">
        <f>ROUND(P442,2)*Q442</f>
        <v>#DIV/0!</v>
      </c>
      <c r="T442" s="101" t="e">
        <f>Q442*dagenperjaar1</f>
        <v>#DIV/0!</v>
      </c>
      <c r="U442" s="25" t="e">
        <f>T442*ROUND(P442,2)</f>
        <v>#DIV/0!</v>
      </c>
    </row>
    <row r="443" spans="1:21" x14ac:dyDescent="0.2">
      <c r="A443" s="98" t="s">
        <v>616</v>
      </c>
      <c r="B443" s="99" t="s">
        <v>50</v>
      </c>
      <c r="C443" s="99" t="s">
        <v>345</v>
      </c>
      <c r="D443" s="99" t="s">
        <v>371</v>
      </c>
      <c r="E443" s="100" t="s">
        <v>407</v>
      </c>
      <c r="F443" s="99" t="s">
        <v>548</v>
      </c>
      <c r="G443" s="99" t="s">
        <v>262</v>
      </c>
      <c r="H443" s="99" t="s">
        <v>14</v>
      </c>
      <c r="I443" s="99" t="s">
        <v>246</v>
      </c>
      <c r="J443" s="99"/>
      <c r="K443" s="101">
        <v>23.3</v>
      </c>
      <c r="L443" s="101">
        <f>K443*VLOOKUP(H443,dagsoorttabel1,2,FALSE)</f>
        <v>15.990196078431373</v>
      </c>
      <c r="M443" s="102">
        <f>prodnorm56</f>
        <v>0</v>
      </c>
      <c r="N443" s="37">
        <f>dagwerk56</f>
        <v>0</v>
      </c>
      <c r="O443" s="99" t="s">
        <v>108</v>
      </c>
      <c r="P443" s="24">
        <f>uurtarief56</f>
        <v>0</v>
      </c>
      <c r="Q443" s="101" t="e">
        <f>IF(ISBLANK(M443),0,L443/ROUND(M443,4))</f>
        <v>#DIV/0!</v>
      </c>
      <c r="R443" s="101" t="e">
        <f>IF(ISBLANK(M443),0,Q443*ROUND(N443,2))</f>
        <v>#DIV/0!</v>
      </c>
      <c r="S443" s="24" t="e">
        <f>ROUND(P443,2)*Q443</f>
        <v>#DIV/0!</v>
      </c>
      <c r="T443" s="101" t="e">
        <f>Q443*dagenperjaar1</f>
        <v>#DIV/0!</v>
      </c>
      <c r="U443" s="25" t="e">
        <f>T443*ROUND(P443,2)</f>
        <v>#DIV/0!</v>
      </c>
    </row>
    <row r="444" spans="1:21" x14ac:dyDescent="0.2">
      <c r="A444" s="98" t="s">
        <v>616</v>
      </c>
      <c r="B444" s="99" t="s">
        <v>50</v>
      </c>
      <c r="C444" s="99" t="s">
        <v>345</v>
      </c>
      <c r="D444" s="99" t="s">
        <v>373</v>
      </c>
      <c r="E444" s="100" t="s">
        <v>407</v>
      </c>
      <c r="F444" s="99" t="s">
        <v>548</v>
      </c>
      <c r="G444" s="99" t="s">
        <v>262</v>
      </c>
      <c r="H444" s="99" t="s">
        <v>14</v>
      </c>
      <c r="I444" s="99" t="s">
        <v>246</v>
      </c>
      <c r="J444" s="99"/>
      <c r="K444" s="101">
        <v>27.6</v>
      </c>
      <c r="L444" s="101">
        <f>K444*VLOOKUP(H444,dagsoorttabel1,2,FALSE)</f>
        <v>18.941176470588236</v>
      </c>
      <c r="M444" s="102">
        <f>prodnorm56</f>
        <v>0</v>
      </c>
      <c r="N444" s="37">
        <f>dagwerk56</f>
        <v>0</v>
      </c>
      <c r="O444" s="99" t="s">
        <v>108</v>
      </c>
      <c r="P444" s="24">
        <f>uurtarief56</f>
        <v>0</v>
      </c>
      <c r="Q444" s="101" t="e">
        <f>IF(ISBLANK(M444),0,L444/ROUND(M444,4))</f>
        <v>#DIV/0!</v>
      </c>
      <c r="R444" s="101" t="e">
        <f>IF(ISBLANK(M444),0,Q444*ROUND(N444,2))</f>
        <v>#DIV/0!</v>
      </c>
      <c r="S444" s="24" t="e">
        <f>ROUND(P444,2)*Q444</f>
        <v>#DIV/0!</v>
      </c>
      <c r="T444" s="101" t="e">
        <f>Q444*dagenperjaar1</f>
        <v>#DIV/0!</v>
      </c>
      <c r="U444" s="25" t="e">
        <f>T444*ROUND(P444,2)</f>
        <v>#DIV/0!</v>
      </c>
    </row>
    <row r="445" spans="1:21" x14ac:dyDescent="0.2">
      <c r="A445" s="98" t="s">
        <v>616</v>
      </c>
      <c r="B445" s="99" t="s">
        <v>50</v>
      </c>
      <c r="C445" s="99" t="s">
        <v>345</v>
      </c>
      <c r="D445" s="99" t="s">
        <v>375</v>
      </c>
      <c r="E445" s="100" t="s">
        <v>628</v>
      </c>
      <c r="F445" s="99" t="s">
        <v>548</v>
      </c>
      <c r="G445" s="99" t="s">
        <v>251</v>
      </c>
      <c r="H445" s="99" t="s">
        <v>14</v>
      </c>
      <c r="I445" s="99" t="s">
        <v>246</v>
      </c>
      <c r="J445" s="99"/>
      <c r="K445" s="101">
        <v>10</v>
      </c>
      <c r="L445" s="101">
        <f>K445*VLOOKUP(H445,dagsoorttabel1,2,FALSE)</f>
        <v>6.8627450980392162</v>
      </c>
      <c r="M445" s="102">
        <f>prodnorm38</f>
        <v>0</v>
      </c>
      <c r="N445" s="37">
        <f>dagwerk38</f>
        <v>0</v>
      </c>
      <c r="O445" s="99" t="s">
        <v>108</v>
      </c>
      <c r="P445" s="24">
        <f>uurtarief38</f>
        <v>0</v>
      </c>
      <c r="Q445" s="101" t="e">
        <f>IF(ISBLANK(M445),0,L445/ROUND(M445,4))</f>
        <v>#DIV/0!</v>
      </c>
      <c r="R445" s="101" t="e">
        <f>IF(ISBLANK(M445),0,Q445*ROUND(N445,2))</f>
        <v>#DIV/0!</v>
      </c>
      <c r="S445" s="24" t="e">
        <f>ROUND(P445,2)*Q445</f>
        <v>#DIV/0!</v>
      </c>
      <c r="T445" s="101" t="e">
        <f>Q445*dagenperjaar1</f>
        <v>#DIV/0!</v>
      </c>
      <c r="U445" s="25" t="e">
        <f>T445*ROUND(P445,2)</f>
        <v>#DIV/0!</v>
      </c>
    </row>
    <row r="446" spans="1:21" x14ac:dyDescent="0.2">
      <c r="A446" s="98" t="s">
        <v>616</v>
      </c>
      <c r="B446" s="99" t="s">
        <v>50</v>
      </c>
      <c r="C446" s="99" t="s">
        <v>345</v>
      </c>
      <c r="D446" s="99" t="s">
        <v>377</v>
      </c>
      <c r="E446" s="100" t="s">
        <v>602</v>
      </c>
      <c r="F446" s="99" t="s">
        <v>548</v>
      </c>
      <c r="G446" s="99" t="s">
        <v>270</v>
      </c>
      <c r="H446" s="99" t="s">
        <v>14</v>
      </c>
      <c r="I446" s="99" t="s">
        <v>246</v>
      </c>
      <c r="J446" s="99"/>
      <c r="K446" s="101">
        <v>9.5</v>
      </c>
      <c r="L446" s="101">
        <f>K446*VLOOKUP(H446,dagsoorttabel1,2,FALSE)</f>
        <v>6.5196078431372548</v>
      </c>
      <c r="M446" s="102">
        <f>prodnorm63</f>
        <v>0</v>
      </c>
      <c r="N446" s="37">
        <f>dagwerk63</f>
        <v>0</v>
      </c>
      <c r="O446" s="99" t="s">
        <v>108</v>
      </c>
      <c r="P446" s="24">
        <f>uurtarief63</f>
        <v>0</v>
      </c>
      <c r="Q446" s="101" t="e">
        <f>IF(ISBLANK(M446),0,L446/ROUND(M446,4))</f>
        <v>#DIV/0!</v>
      </c>
      <c r="R446" s="101" t="e">
        <f>IF(ISBLANK(M446),0,Q446*ROUND(N446,2))</f>
        <v>#DIV/0!</v>
      </c>
      <c r="S446" s="24" t="e">
        <f>ROUND(P446,2)*Q446</f>
        <v>#DIV/0!</v>
      </c>
      <c r="T446" s="101" t="e">
        <f>Q446*dagenperjaar1</f>
        <v>#DIV/0!</v>
      </c>
      <c r="U446" s="25" t="e">
        <f>T446*ROUND(P446,2)</f>
        <v>#DIV/0!</v>
      </c>
    </row>
    <row r="447" spans="1:21" x14ac:dyDescent="0.2">
      <c r="A447" s="98" t="s">
        <v>616</v>
      </c>
      <c r="B447" s="99" t="s">
        <v>50</v>
      </c>
      <c r="C447" s="99" t="s">
        <v>345</v>
      </c>
      <c r="D447" s="99" t="s">
        <v>379</v>
      </c>
      <c r="E447" s="100" t="s">
        <v>600</v>
      </c>
      <c r="F447" s="99" t="s">
        <v>548</v>
      </c>
      <c r="G447" s="99" t="s">
        <v>270</v>
      </c>
      <c r="H447" s="99" t="s">
        <v>14</v>
      </c>
      <c r="I447" s="99" t="s">
        <v>246</v>
      </c>
      <c r="J447" s="99"/>
      <c r="K447" s="101">
        <v>8.9</v>
      </c>
      <c r="L447" s="101">
        <f>K447*VLOOKUP(H447,dagsoorttabel1,2,FALSE)</f>
        <v>6.1078431372549025</v>
      </c>
      <c r="M447" s="102">
        <f>prodnorm63</f>
        <v>0</v>
      </c>
      <c r="N447" s="37">
        <f>dagwerk63</f>
        <v>0</v>
      </c>
      <c r="O447" s="99" t="s">
        <v>108</v>
      </c>
      <c r="P447" s="24">
        <f>uurtarief63</f>
        <v>0</v>
      </c>
      <c r="Q447" s="101" t="e">
        <f>IF(ISBLANK(M447),0,L447/ROUND(M447,4))</f>
        <v>#DIV/0!</v>
      </c>
      <c r="R447" s="101" t="e">
        <f>IF(ISBLANK(M447),0,Q447*ROUND(N447,2))</f>
        <v>#DIV/0!</v>
      </c>
      <c r="S447" s="24" t="e">
        <f>ROUND(P447,2)*Q447</f>
        <v>#DIV/0!</v>
      </c>
      <c r="T447" s="101" t="e">
        <f>Q447*dagenperjaar1</f>
        <v>#DIV/0!</v>
      </c>
      <c r="U447" s="25" t="e">
        <f>T447*ROUND(P447,2)</f>
        <v>#DIV/0!</v>
      </c>
    </row>
    <row r="448" spans="1:21" x14ac:dyDescent="0.2">
      <c r="A448" s="98" t="s">
        <v>616</v>
      </c>
      <c r="B448" s="99" t="s">
        <v>50</v>
      </c>
      <c r="C448" s="99" t="s">
        <v>345</v>
      </c>
      <c r="D448" s="99" t="s">
        <v>381</v>
      </c>
      <c r="E448" s="100" t="s">
        <v>407</v>
      </c>
      <c r="F448" s="99" t="s">
        <v>548</v>
      </c>
      <c r="G448" s="99" t="s">
        <v>262</v>
      </c>
      <c r="H448" s="99" t="s">
        <v>14</v>
      </c>
      <c r="I448" s="99" t="s">
        <v>246</v>
      </c>
      <c r="J448" s="99"/>
      <c r="K448" s="101">
        <v>25.6</v>
      </c>
      <c r="L448" s="101">
        <f>K448*VLOOKUP(H448,dagsoorttabel1,2,FALSE)</f>
        <v>17.568627450980394</v>
      </c>
      <c r="M448" s="102">
        <f>prodnorm56</f>
        <v>0</v>
      </c>
      <c r="N448" s="37">
        <f>dagwerk56</f>
        <v>0</v>
      </c>
      <c r="O448" s="99" t="s">
        <v>108</v>
      </c>
      <c r="P448" s="24">
        <f>uurtarief56</f>
        <v>0</v>
      </c>
      <c r="Q448" s="101" t="e">
        <f>IF(ISBLANK(M448),0,L448/ROUND(M448,4))</f>
        <v>#DIV/0!</v>
      </c>
      <c r="R448" s="101" t="e">
        <f>IF(ISBLANK(M448),0,Q448*ROUND(N448,2))</f>
        <v>#DIV/0!</v>
      </c>
      <c r="S448" s="24" t="e">
        <f>ROUND(P448,2)*Q448</f>
        <v>#DIV/0!</v>
      </c>
      <c r="T448" s="101" t="e">
        <f>Q448*dagenperjaar1</f>
        <v>#DIV/0!</v>
      </c>
      <c r="U448" s="25" t="e">
        <f>T448*ROUND(P448,2)</f>
        <v>#DIV/0!</v>
      </c>
    </row>
    <row r="449" spans="1:21" x14ac:dyDescent="0.2">
      <c r="A449" s="98" t="s">
        <v>616</v>
      </c>
      <c r="B449" s="99" t="s">
        <v>50</v>
      </c>
      <c r="C449" s="99" t="s">
        <v>345</v>
      </c>
      <c r="D449" s="99" t="s">
        <v>382</v>
      </c>
      <c r="E449" s="100" t="s">
        <v>527</v>
      </c>
      <c r="F449" s="99" t="s">
        <v>548</v>
      </c>
      <c r="G449" s="99" t="s">
        <v>251</v>
      </c>
      <c r="H449" s="99" t="s">
        <v>14</v>
      </c>
      <c r="I449" s="99" t="s">
        <v>246</v>
      </c>
      <c r="J449" s="99"/>
      <c r="K449" s="101">
        <v>10.199999999999999</v>
      </c>
      <c r="L449" s="101">
        <f>K449*VLOOKUP(H449,dagsoorttabel1,2,FALSE)</f>
        <v>7</v>
      </c>
      <c r="M449" s="102">
        <f>prodnorm38</f>
        <v>0</v>
      </c>
      <c r="N449" s="37">
        <f>dagwerk38</f>
        <v>0</v>
      </c>
      <c r="O449" s="99" t="s">
        <v>108</v>
      </c>
      <c r="P449" s="24">
        <f>uurtarief38</f>
        <v>0</v>
      </c>
      <c r="Q449" s="101" t="e">
        <f>IF(ISBLANK(M449),0,L449/ROUND(M449,4))</f>
        <v>#DIV/0!</v>
      </c>
      <c r="R449" s="101" t="e">
        <f>IF(ISBLANK(M449),0,Q449*ROUND(N449,2))</f>
        <v>#DIV/0!</v>
      </c>
      <c r="S449" s="24" t="e">
        <f>ROUND(P449,2)*Q449</f>
        <v>#DIV/0!</v>
      </c>
      <c r="T449" s="101" t="e">
        <f>Q449*dagenperjaar1</f>
        <v>#DIV/0!</v>
      </c>
      <c r="U449" s="25" t="e">
        <f>T449*ROUND(P449,2)</f>
        <v>#DIV/0!</v>
      </c>
    </row>
    <row r="450" spans="1:21" x14ac:dyDescent="0.2">
      <c r="A450" s="98" t="s">
        <v>616</v>
      </c>
      <c r="B450" s="99" t="s">
        <v>50</v>
      </c>
      <c r="C450" s="99" t="s">
        <v>345</v>
      </c>
      <c r="D450" s="99" t="s">
        <v>383</v>
      </c>
      <c r="E450" s="100" t="s">
        <v>592</v>
      </c>
      <c r="F450" s="99" t="s">
        <v>548</v>
      </c>
      <c r="G450" s="99" t="s">
        <v>270</v>
      </c>
      <c r="H450" s="99" t="s">
        <v>14</v>
      </c>
      <c r="I450" s="99" t="s">
        <v>246</v>
      </c>
      <c r="J450" s="99"/>
      <c r="K450" s="101">
        <v>6.2</v>
      </c>
      <c r="L450" s="101">
        <f>K450*VLOOKUP(H450,dagsoorttabel1,2,FALSE)</f>
        <v>4.2549019607843137</v>
      </c>
      <c r="M450" s="102">
        <f>prodnorm63</f>
        <v>0</v>
      </c>
      <c r="N450" s="37">
        <f>dagwerk63</f>
        <v>0</v>
      </c>
      <c r="O450" s="99" t="s">
        <v>108</v>
      </c>
      <c r="P450" s="24">
        <f>uurtarief63</f>
        <v>0</v>
      </c>
      <c r="Q450" s="101" t="e">
        <f>IF(ISBLANK(M450),0,L450/ROUND(M450,4))</f>
        <v>#DIV/0!</v>
      </c>
      <c r="R450" s="101" t="e">
        <f>IF(ISBLANK(M450),0,Q450*ROUND(N450,2))</f>
        <v>#DIV/0!</v>
      </c>
      <c r="S450" s="24" t="e">
        <f>ROUND(P450,2)*Q450</f>
        <v>#DIV/0!</v>
      </c>
      <c r="T450" s="101" t="e">
        <f>Q450*dagenperjaar1</f>
        <v>#DIV/0!</v>
      </c>
      <c r="U450" s="25" t="e">
        <f>T450*ROUND(P450,2)</f>
        <v>#DIV/0!</v>
      </c>
    </row>
    <row r="451" spans="1:21" x14ac:dyDescent="0.2">
      <c r="A451" s="98" t="s">
        <v>616</v>
      </c>
      <c r="B451" s="99" t="s">
        <v>50</v>
      </c>
      <c r="C451" s="99" t="s">
        <v>345</v>
      </c>
      <c r="D451" s="99" t="s">
        <v>384</v>
      </c>
      <c r="E451" s="100" t="s">
        <v>407</v>
      </c>
      <c r="F451" s="99" t="s">
        <v>548</v>
      </c>
      <c r="G451" s="99" t="s">
        <v>262</v>
      </c>
      <c r="H451" s="99" t="s">
        <v>14</v>
      </c>
      <c r="I451" s="99" t="s">
        <v>246</v>
      </c>
      <c r="J451" s="99"/>
      <c r="K451" s="101">
        <v>24.8</v>
      </c>
      <c r="L451" s="101">
        <f>K451*VLOOKUP(H451,dagsoorttabel1,2,FALSE)</f>
        <v>17.019607843137255</v>
      </c>
      <c r="M451" s="102">
        <f>prodnorm56</f>
        <v>0</v>
      </c>
      <c r="N451" s="37">
        <f>dagwerk56</f>
        <v>0</v>
      </c>
      <c r="O451" s="99" t="s">
        <v>108</v>
      </c>
      <c r="P451" s="24">
        <f>uurtarief56</f>
        <v>0</v>
      </c>
      <c r="Q451" s="101" t="e">
        <f>IF(ISBLANK(M451),0,L451/ROUND(M451,4))</f>
        <v>#DIV/0!</v>
      </c>
      <c r="R451" s="101" t="e">
        <f>IF(ISBLANK(M451),0,Q451*ROUND(N451,2))</f>
        <v>#DIV/0!</v>
      </c>
      <c r="S451" s="24" t="e">
        <f>ROUND(P451,2)*Q451</f>
        <v>#DIV/0!</v>
      </c>
      <c r="T451" s="101" t="e">
        <f>Q451*dagenperjaar1</f>
        <v>#DIV/0!</v>
      </c>
      <c r="U451" s="25" t="e">
        <f>T451*ROUND(P451,2)</f>
        <v>#DIV/0!</v>
      </c>
    </row>
    <row r="452" spans="1:21" x14ac:dyDescent="0.2">
      <c r="A452" s="98" t="s">
        <v>616</v>
      </c>
      <c r="B452" s="99" t="s">
        <v>50</v>
      </c>
      <c r="C452" s="99" t="s">
        <v>345</v>
      </c>
      <c r="D452" s="99" t="s">
        <v>385</v>
      </c>
      <c r="E452" s="100" t="s">
        <v>527</v>
      </c>
      <c r="F452" s="99" t="s">
        <v>548</v>
      </c>
      <c r="G452" s="99" t="s">
        <v>251</v>
      </c>
      <c r="H452" s="99" t="s">
        <v>14</v>
      </c>
      <c r="I452" s="99" t="s">
        <v>246</v>
      </c>
      <c r="J452" s="99"/>
      <c r="K452" s="101">
        <v>15.5</v>
      </c>
      <c r="L452" s="101">
        <f>K452*VLOOKUP(H452,dagsoorttabel1,2,FALSE)</f>
        <v>10.637254901960784</v>
      </c>
      <c r="M452" s="102">
        <f>prodnorm38</f>
        <v>0</v>
      </c>
      <c r="N452" s="37">
        <f>dagwerk38</f>
        <v>0</v>
      </c>
      <c r="O452" s="99" t="s">
        <v>108</v>
      </c>
      <c r="P452" s="24">
        <f>uurtarief38</f>
        <v>0</v>
      </c>
      <c r="Q452" s="101" t="e">
        <f>IF(ISBLANK(M452),0,L452/ROUND(M452,4))</f>
        <v>#DIV/0!</v>
      </c>
      <c r="R452" s="101" t="e">
        <f>IF(ISBLANK(M452),0,Q452*ROUND(N452,2))</f>
        <v>#DIV/0!</v>
      </c>
      <c r="S452" s="24" t="e">
        <f>ROUND(P452,2)*Q452</f>
        <v>#DIV/0!</v>
      </c>
      <c r="T452" s="101" t="e">
        <f>Q452*dagenperjaar1</f>
        <v>#DIV/0!</v>
      </c>
      <c r="U452" s="25" t="e">
        <f>T452*ROUND(P452,2)</f>
        <v>#DIV/0!</v>
      </c>
    </row>
    <row r="453" spans="1:21" x14ac:dyDescent="0.2">
      <c r="A453" s="98" t="s">
        <v>616</v>
      </c>
      <c r="B453" s="99" t="s">
        <v>50</v>
      </c>
      <c r="C453" s="99" t="s">
        <v>345</v>
      </c>
      <c r="D453" s="99" t="s">
        <v>386</v>
      </c>
      <c r="E453" s="100" t="s">
        <v>629</v>
      </c>
      <c r="F453" s="99" t="s">
        <v>548</v>
      </c>
      <c r="G453" s="99" t="s">
        <v>262</v>
      </c>
      <c r="H453" s="99" t="s">
        <v>14</v>
      </c>
      <c r="I453" s="99" t="s">
        <v>246</v>
      </c>
      <c r="J453" s="99"/>
      <c r="K453" s="101">
        <v>8.8000000000000007</v>
      </c>
      <c r="L453" s="101">
        <f>K453*VLOOKUP(H453,dagsoorttabel1,2,FALSE)</f>
        <v>6.0392156862745106</v>
      </c>
      <c r="M453" s="102">
        <f>prodnorm56</f>
        <v>0</v>
      </c>
      <c r="N453" s="37">
        <f>dagwerk56</f>
        <v>0</v>
      </c>
      <c r="O453" s="99" t="s">
        <v>108</v>
      </c>
      <c r="P453" s="24">
        <f>uurtarief56</f>
        <v>0</v>
      </c>
      <c r="Q453" s="101" t="e">
        <f>IF(ISBLANK(M453),0,L453/ROUND(M453,4))</f>
        <v>#DIV/0!</v>
      </c>
      <c r="R453" s="101" t="e">
        <f>IF(ISBLANK(M453),0,Q453*ROUND(N453,2))</f>
        <v>#DIV/0!</v>
      </c>
      <c r="S453" s="24" t="e">
        <f>ROUND(P453,2)*Q453</f>
        <v>#DIV/0!</v>
      </c>
      <c r="T453" s="101" t="e">
        <f>Q453*dagenperjaar1</f>
        <v>#DIV/0!</v>
      </c>
      <c r="U453" s="25" t="e">
        <f>T453*ROUND(P453,2)</f>
        <v>#DIV/0!</v>
      </c>
    </row>
    <row r="454" spans="1:21" x14ac:dyDescent="0.2">
      <c r="A454" s="98" t="s">
        <v>616</v>
      </c>
      <c r="B454" s="99" t="s">
        <v>50</v>
      </c>
      <c r="C454" s="99" t="s">
        <v>345</v>
      </c>
      <c r="D454" s="99" t="s">
        <v>387</v>
      </c>
      <c r="E454" s="100" t="s">
        <v>625</v>
      </c>
      <c r="F454" s="99" t="s">
        <v>548</v>
      </c>
      <c r="G454" s="99" t="s">
        <v>262</v>
      </c>
      <c r="H454" s="99" t="s">
        <v>14</v>
      </c>
      <c r="I454" s="99" t="s">
        <v>246</v>
      </c>
      <c r="J454" s="99"/>
      <c r="K454" s="101">
        <v>6</v>
      </c>
      <c r="L454" s="101">
        <f>K454*VLOOKUP(H454,dagsoorttabel1,2,FALSE)</f>
        <v>4.117647058823529</v>
      </c>
      <c r="M454" s="102">
        <f>prodnorm56</f>
        <v>0</v>
      </c>
      <c r="N454" s="37">
        <f>dagwerk56</f>
        <v>0</v>
      </c>
      <c r="O454" s="99" t="s">
        <v>108</v>
      </c>
      <c r="P454" s="24">
        <f>uurtarief56</f>
        <v>0</v>
      </c>
      <c r="Q454" s="101" t="e">
        <f>IF(ISBLANK(M454),0,L454/ROUND(M454,4))</f>
        <v>#DIV/0!</v>
      </c>
      <c r="R454" s="101" t="e">
        <f>IF(ISBLANK(M454),0,Q454*ROUND(N454,2))</f>
        <v>#DIV/0!</v>
      </c>
      <c r="S454" s="24" t="e">
        <f>ROUND(P454,2)*Q454</f>
        <v>#DIV/0!</v>
      </c>
      <c r="T454" s="101" t="e">
        <f>Q454*dagenperjaar1</f>
        <v>#DIV/0!</v>
      </c>
      <c r="U454" s="25" t="e">
        <f>T454*ROUND(P454,2)</f>
        <v>#DIV/0!</v>
      </c>
    </row>
    <row r="455" spans="1:21" x14ac:dyDescent="0.2">
      <c r="A455" s="98" t="s">
        <v>616</v>
      </c>
      <c r="B455" s="99" t="s">
        <v>50</v>
      </c>
      <c r="C455" s="99" t="s">
        <v>345</v>
      </c>
      <c r="D455" s="99" t="s">
        <v>630</v>
      </c>
      <c r="E455" s="100" t="s">
        <v>627</v>
      </c>
      <c r="F455" s="99" t="s">
        <v>548</v>
      </c>
      <c r="G455" s="99" t="s">
        <v>251</v>
      </c>
      <c r="H455" s="99" t="s">
        <v>14</v>
      </c>
      <c r="I455" s="99" t="s">
        <v>246</v>
      </c>
      <c r="J455" s="99"/>
      <c r="K455" s="101">
        <v>1.5</v>
      </c>
      <c r="L455" s="101">
        <f>K455*VLOOKUP(H455,dagsoorttabel1,2,FALSE)</f>
        <v>1.0294117647058822</v>
      </c>
      <c r="M455" s="102">
        <f>prodnorm38</f>
        <v>0</v>
      </c>
      <c r="N455" s="37">
        <f>dagwerk38</f>
        <v>0</v>
      </c>
      <c r="O455" s="99" t="s">
        <v>108</v>
      </c>
      <c r="P455" s="24">
        <f>uurtarief38</f>
        <v>0</v>
      </c>
      <c r="Q455" s="101" t="e">
        <f>IF(ISBLANK(M455),0,L455/ROUND(M455,4))</f>
        <v>#DIV/0!</v>
      </c>
      <c r="R455" s="101" t="e">
        <f>IF(ISBLANK(M455),0,Q455*ROUND(N455,2))</f>
        <v>#DIV/0!</v>
      </c>
      <c r="S455" s="24" t="e">
        <f>ROUND(P455,2)*Q455</f>
        <v>#DIV/0!</v>
      </c>
      <c r="T455" s="101" t="e">
        <f>Q455*dagenperjaar1</f>
        <v>#DIV/0!</v>
      </c>
      <c r="U455" s="25" t="e">
        <f>T455*ROUND(P455,2)</f>
        <v>#DIV/0!</v>
      </c>
    </row>
    <row r="456" spans="1:21" x14ac:dyDescent="0.2">
      <c r="A456" s="98" t="s">
        <v>616</v>
      </c>
      <c r="B456" s="99" t="s">
        <v>50</v>
      </c>
      <c r="C456" s="99" t="s">
        <v>345</v>
      </c>
      <c r="D456" s="99" t="s">
        <v>388</v>
      </c>
      <c r="E456" s="100" t="s">
        <v>407</v>
      </c>
      <c r="F456" s="99" t="s">
        <v>548</v>
      </c>
      <c r="G456" s="99" t="s">
        <v>262</v>
      </c>
      <c r="H456" s="99" t="s">
        <v>14</v>
      </c>
      <c r="I456" s="99" t="s">
        <v>246</v>
      </c>
      <c r="J456" s="99"/>
      <c r="K456" s="101">
        <v>27.2</v>
      </c>
      <c r="L456" s="101">
        <f>K456*VLOOKUP(H456,dagsoorttabel1,2,FALSE)</f>
        <v>18.666666666666668</v>
      </c>
      <c r="M456" s="102">
        <f>prodnorm56</f>
        <v>0</v>
      </c>
      <c r="N456" s="37">
        <f>dagwerk56</f>
        <v>0</v>
      </c>
      <c r="O456" s="99" t="s">
        <v>108</v>
      </c>
      <c r="P456" s="24">
        <f>uurtarief56</f>
        <v>0</v>
      </c>
      <c r="Q456" s="101" t="e">
        <f>IF(ISBLANK(M456),0,L456/ROUND(M456,4))</f>
        <v>#DIV/0!</v>
      </c>
      <c r="R456" s="101" t="e">
        <f>IF(ISBLANK(M456),0,Q456*ROUND(N456,2))</f>
        <v>#DIV/0!</v>
      </c>
      <c r="S456" s="24" t="e">
        <f>ROUND(P456,2)*Q456</f>
        <v>#DIV/0!</v>
      </c>
      <c r="T456" s="101" t="e">
        <f>Q456*dagenperjaar1</f>
        <v>#DIV/0!</v>
      </c>
      <c r="U456" s="25" t="e">
        <f>T456*ROUND(P456,2)</f>
        <v>#DIV/0!</v>
      </c>
    </row>
    <row r="457" spans="1:21" x14ac:dyDescent="0.2">
      <c r="A457" s="98" t="s">
        <v>616</v>
      </c>
      <c r="B457" s="99" t="s">
        <v>50</v>
      </c>
      <c r="C457" s="99" t="s">
        <v>345</v>
      </c>
      <c r="D457" s="99" t="s">
        <v>389</v>
      </c>
      <c r="E457" s="100" t="s">
        <v>619</v>
      </c>
      <c r="F457" s="99" t="s">
        <v>348</v>
      </c>
      <c r="G457" s="99" t="s">
        <v>277</v>
      </c>
      <c r="H457" s="99" t="s">
        <v>14</v>
      </c>
      <c r="I457" s="99" t="s">
        <v>246</v>
      </c>
      <c r="J457" s="99"/>
      <c r="K457" s="101">
        <v>36.1</v>
      </c>
      <c r="L457" s="101">
        <f>K457*VLOOKUP(H457,dagsoorttabel1,2,FALSE)</f>
        <v>24.774509803921571</v>
      </c>
      <c r="M457" s="102">
        <f>prodnorm72</f>
        <v>0</v>
      </c>
      <c r="N457" s="37">
        <f>dagwerk72</f>
        <v>0</v>
      </c>
      <c r="O457" s="99" t="s">
        <v>108</v>
      </c>
      <c r="P457" s="24">
        <f>uurtarief72</f>
        <v>0</v>
      </c>
      <c r="Q457" s="101" t="e">
        <f>IF(ISBLANK(M457),0,L457/ROUND(M457,4))</f>
        <v>#DIV/0!</v>
      </c>
      <c r="R457" s="101" t="e">
        <f>IF(ISBLANK(M457),0,Q457*ROUND(N457,2))</f>
        <v>#DIV/0!</v>
      </c>
      <c r="S457" s="24" t="e">
        <f>ROUND(P457,2)*Q457</f>
        <v>#DIV/0!</v>
      </c>
      <c r="T457" s="101" t="e">
        <f>Q457*dagenperjaar1</f>
        <v>#DIV/0!</v>
      </c>
      <c r="U457" s="25" t="e">
        <f>T457*ROUND(P457,2)</f>
        <v>#DIV/0!</v>
      </c>
    </row>
    <row r="458" spans="1:21" x14ac:dyDescent="0.2">
      <c r="A458" s="98" t="s">
        <v>616</v>
      </c>
      <c r="B458" s="99" t="s">
        <v>50</v>
      </c>
      <c r="C458" s="99" t="s">
        <v>345</v>
      </c>
      <c r="D458" s="99" t="s">
        <v>390</v>
      </c>
      <c r="E458" s="100" t="s">
        <v>407</v>
      </c>
      <c r="F458" s="99" t="s">
        <v>548</v>
      </c>
      <c r="G458" s="99" t="s">
        <v>262</v>
      </c>
      <c r="H458" s="99" t="s">
        <v>14</v>
      </c>
      <c r="I458" s="99" t="s">
        <v>246</v>
      </c>
      <c r="J458" s="99"/>
      <c r="K458" s="101">
        <v>25.3</v>
      </c>
      <c r="L458" s="101">
        <f>K458*VLOOKUP(H458,dagsoorttabel1,2,FALSE)</f>
        <v>17.362745098039216</v>
      </c>
      <c r="M458" s="102">
        <f>prodnorm56</f>
        <v>0</v>
      </c>
      <c r="N458" s="37">
        <f>dagwerk56</f>
        <v>0</v>
      </c>
      <c r="O458" s="99" t="s">
        <v>108</v>
      </c>
      <c r="P458" s="24">
        <f>uurtarief56</f>
        <v>0</v>
      </c>
      <c r="Q458" s="101" t="e">
        <f>IF(ISBLANK(M458),0,L458/ROUND(M458,4))</f>
        <v>#DIV/0!</v>
      </c>
      <c r="R458" s="101" t="e">
        <f>IF(ISBLANK(M458),0,Q458*ROUND(N458,2))</f>
        <v>#DIV/0!</v>
      </c>
      <c r="S458" s="24" t="e">
        <f>ROUND(P458,2)*Q458</f>
        <v>#DIV/0!</v>
      </c>
      <c r="T458" s="101" t="e">
        <f>Q458*dagenperjaar1</f>
        <v>#DIV/0!</v>
      </c>
      <c r="U458" s="25" t="e">
        <f>T458*ROUND(P458,2)</f>
        <v>#DIV/0!</v>
      </c>
    </row>
    <row r="459" spans="1:21" x14ac:dyDescent="0.2">
      <c r="A459" s="98" t="s">
        <v>616</v>
      </c>
      <c r="B459" s="99" t="s">
        <v>50</v>
      </c>
      <c r="C459" s="99" t="s">
        <v>345</v>
      </c>
      <c r="D459" s="99" t="s">
        <v>392</v>
      </c>
      <c r="E459" s="100" t="s">
        <v>527</v>
      </c>
      <c r="F459" s="99" t="s">
        <v>548</v>
      </c>
      <c r="G459" s="99" t="s">
        <v>251</v>
      </c>
      <c r="H459" s="99" t="s">
        <v>14</v>
      </c>
      <c r="I459" s="99" t="s">
        <v>246</v>
      </c>
      <c r="J459" s="99"/>
      <c r="K459" s="101">
        <v>8.1999999999999993</v>
      </c>
      <c r="L459" s="101">
        <f>K459*VLOOKUP(H459,dagsoorttabel1,2,FALSE)</f>
        <v>5.6274509803921564</v>
      </c>
      <c r="M459" s="102">
        <f>prodnorm38</f>
        <v>0</v>
      </c>
      <c r="N459" s="37">
        <f>dagwerk38</f>
        <v>0</v>
      </c>
      <c r="O459" s="99" t="s">
        <v>108</v>
      </c>
      <c r="P459" s="24">
        <f>uurtarief38</f>
        <v>0</v>
      </c>
      <c r="Q459" s="101" t="e">
        <f>IF(ISBLANK(M459),0,L459/ROUND(M459,4))</f>
        <v>#DIV/0!</v>
      </c>
      <c r="R459" s="101" t="e">
        <f>IF(ISBLANK(M459),0,Q459*ROUND(N459,2))</f>
        <v>#DIV/0!</v>
      </c>
      <c r="S459" s="24" t="e">
        <f>ROUND(P459,2)*Q459</f>
        <v>#DIV/0!</v>
      </c>
      <c r="T459" s="101" t="e">
        <f>Q459*dagenperjaar1</f>
        <v>#DIV/0!</v>
      </c>
      <c r="U459" s="25" t="e">
        <f>T459*ROUND(P459,2)</f>
        <v>#DIV/0!</v>
      </c>
    </row>
    <row r="460" spans="1:21" x14ac:dyDescent="0.2">
      <c r="A460" s="98" t="s">
        <v>616</v>
      </c>
      <c r="B460" s="99" t="s">
        <v>50</v>
      </c>
      <c r="C460" s="99" t="s">
        <v>345</v>
      </c>
      <c r="D460" s="99" t="s">
        <v>395</v>
      </c>
      <c r="E460" s="100" t="s">
        <v>527</v>
      </c>
      <c r="F460" s="99" t="s">
        <v>548</v>
      </c>
      <c r="G460" s="99" t="s">
        <v>251</v>
      </c>
      <c r="H460" s="99" t="s">
        <v>14</v>
      </c>
      <c r="I460" s="99" t="s">
        <v>246</v>
      </c>
      <c r="J460" s="99"/>
      <c r="K460" s="101">
        <v>8.3000000000000007</v>
      </c>
      <c r="L460" s="101">
        <f>K460*VLOOKUP(H460,dagsoorttabel1,2,FALSE)</f>
        <v>5.6960784313725492</v>
      </c>
      <c r="M460" s="102">
        <f>prodnorm38</f>
        <v>0</v>
      </c>
      <c r="N460" s="37">
        <f>dagwerk38</f>
        <v>0</v>
      </c>
      <c r="O460" s="99" t="s">
        <v>108</v>
      </c>
      <c r="P460" s="24">
        <f>uurtarief38</f>
        <v>0</v>
      </c>
      <c r="Q460" s="101" t="e">
        <f>IF(ISBLANK(M460),0,L460/ROUND(M460,4))</f>
        <v>#DIV/0!</v>
      </c>
      <c r="R460" s="101" t="e">
        <f>IF(ISBLANK(M460),0,Q460*ROUND(N460,2))</f>
        <v>#DIV/0!</v>
      </c>
      <c r="S460" s="24" t="e">
        <f>ROUND(P460,2)*Q460</f>
        <v>#DIV/0!</v>
      </c>
      <c r="T460" s="101" t="e">
        <f>Q460*dagenperjaar1</f>
        <v>#DIV/0!</v>
      </c>
      <c r="U460" s="25" t="e">
        <f>T460*ROUND(P460,2)</f>
        <v>#DIV/0!</v>
      </c>
    </row>
    <row r="461" spans="1:21" x14ac:dyDescent="0.2">
      <c r="A461" s="98" t="s">
        <v>616</v>
      </c>
      <c r="B461" s="99" t="s">
        <v>50</v>
      </c>
      <c r="C461" s="99" t="s">
        <v>345</v>
      </c>
      <c r="D461" s="99" t="s">
        <v>398</v>
      </c>
      <c r="E461" s="100" t="s">
        <v>407</v>
      </c>
      <c r="F461" s="99" t="s">
        <v>548</v>
      </c>
      <c r="G461" s="99" t="s">
        <v>262</v>
      </c>
      <c r="H461" s="99" t="s">
        <v>14</v>
      </c>
      <c r="I461" s="99" t="s">
        <v>246</v>
      </c>
      <c r="J461" s="99"/>
      <c r="K461" s="101">
        <v>25</v>
      </c>
      <c r="L461" s="101">
        <f>K461*VLOOKUP(H461,dagsoorttabel1,2,FALSE)</f>
        <v>17.156862745098039</v>
      </c>
      <c r="M461" s="102">
        <f>prodnorm56</f>
        <v>0</v>
      </c>
      <c r="N461" s="37">
        <f>dagwerk56</f>
        <v>0</v>
      </c>
      <c r="O461" s="99" t="s">
        <v>108</v>
      </c>
      <c r="P461" s="24">
        <f>uurtarief56</f>
        <v>0</v>
      </c>
      <c r="Q461" s="101" t="e">
        <f>IF(ISBLANK(M461),0,L461/ROUND(M461,4))</f>
        <v>#DIV/0!</v>
      </c>
      <c r="R461" s="101" t="e">
        <f>IF(ISBLANK(M461),0,Q461*ROUND(N461,2))</f>
        <v>#DIV/0!</v>
      </c>
      <c r="S461" s="24" t="e">
        <f>ROUND(P461,2)*Q461</f>
        <v>#DIV/0!</v>
      </c>
      <c r="T461" s="101" t="e">
        <f>Q461*dagenperjaar1</f>
        <v>#DIV/0!</v>
      </c>
      <c r="U461" s="25" t="e">
        <f>T461*ROUND(P461,2)</f>
        <v>#DIV/0!</v>
      </c>
    </row>
    <row r="462" spans="1:21" x14ac:dyDescent="0.2">
      <c r="A462" s="98" t="s">
        <v>616</v>
      </c>
      <c r="B462" s="99" t="s">
        <v>50</v>
      </c>
      <c r="C462" s="99" t="s">
        <v>345</v>
      </c>
      <c r="D462" s="99" t="s">
        <v>399</v>
      </c>
      <c r="E462" s="100" t="s">
        <v>521</v>
      </c>
      <c r="F462" s="99" t="s">
        <v>431</v>
      </c>
      <c r="G462" s="99" t="s">
        <v>273</v>
      </c>
      <c r="H462" s="99" t="s">
        <v>14</v>
      </c>
      <c r="I462" s="99" t="s">
        <v>246</v>
      </c>
      <c r="J462" s="99"/>
      <c r="K462" s="101">
        <v>4</v>
      </c>
      <c r="L462" s="101">
        <f>K462*VLOOKUP(H462,dagsoorttabel1,2,FALSE)</f>
        <v>2.7450980392156863</v>
      </c>
      <c r="M462" s="102">
        <f>prodnorm67</f>
        <v>0</v>
      </c>
      <c r="N462" s="37">
        <f>dagwerk67</f>
        <v>0</v>
      </c>
      <c r="O462" s="99" t="s">
        <v>108</v>
      </c>
      <c r="P462" s="24">
        <f>uurtarief67</f>
        <v>0</v>
      </c>
      <c r="Q462" s="101" t="e">
        <f>IF(ISBLANK(M462),0,L462/ROUND(M462,4))</f>
        <v>#DIV/0!</v>
      </c>
      <c r="R462" s="101" t="e">
        <f>IF(ISBLANK(M462),0,Q462*ROUND(N462,2))</f>
        <v>#DIV/0!</v>
      </c>
      <c r="S462" s="24" t="e">
        <f>ROUND(P462,2)*Q462</f>
        <v>#DIV/0!</v>
      </c>
      <c r="T462" s="101" t="e">
        <f>Q462*dagenperjaar1</f>
        <v>#DIV/0!</v>
      </c>
      <c r="U462" s="25" t="e">
        <f>T462*ROUND(P462,2)</f>
        <v>#DIV/0!</v>
      </c>
    </row>
    <row r="463" spans="1:21" x14ac:dyDescent="0.2">
      <c r="A463" s="98" t="s">
        <v>616</v>
      </c>
      <c r="B463" s="99" t="s">
        <v>50</v>
      </c>
      <c r="C463" s="99" t="s">
        <v>345</v>
      </c>
      <c r="D463" s="99" t="s">
        <v>432</v>
      </c>
      <c r="E463" s="100" t="s">
        <v>521</v>
      </c>
      <c r="F463" s="99" t="s">
        <v>431</v>
      </c>
      <c r="G463" s="99" t="s">
        <v>273</v>
      </c>
      <c r="H463" s="99" t="s">
        <v>14</v>
      </c>
      <c r="I463" s="99" t="s">
        <v>246</v>
      </c>
      <c r="J463" s="99"/>
      <c r="K463" s="101">
        <v>10</v>
      </c>
      <c r="L463" s="101">
        <f>K463*VLOOKUP(H463,dagsoorttabel1,2,FALSE)</f>
        <v>6.8627450980392162</v>
      </c>
      <c r="M463" s="102">
        <f>prodnorm67</f>
        <v>0</v>
      </c>
      <c r="N463" s="37">
        <f>dagwerk67</f>
        <v>0</v>
      </c>
      <c r="O463" s="99" t="s">
        <v>108</v>
      </c>
      <c r="P463" s="24">
        <f>uurtarief67</f>
        <v>0</v>
      </c>
      <c r="Q463" s="101" t="e">
        <f>IF(ISBLANK(M463),0,L463/ROUND(M463,4))</f>
        <v>#DIV/0!</v>
      </c>
      <c r="R463" s="101" t="e">
        <f>IF(ISBLANK(M463),0,Q463*ROUND(N463,2))</f>
        <v>#DIV/0!</v>
      </c>
      <c r="S463" s="24" t="e">
        <f>ROUND(P463,2)*Q463</f>
        <v>#DIV/0!</v>
      </c>
      <c r="T463" s="101" t="e">
        <f>Q463*dagenperjaar1</f>
        <v>#DIV/0!</v>
      </c>
      <c r="U463" s="25" t="e">
        <f>T463*ROUND(P463,2)</f>
        <v>#DIV/0!</v>
      </c>
    </row>
    <row r="464" spans="1:21" x14ac:dyDescent="0.2">
      <c r="A464" s="98" t="s">
        <v>616</v>
      </c>
      <c r="B464" s="99" t="s">
        <v>50</v>
      </c>
      <c r="C464" s="99" t="s">
        <v>345</v>
      </c>
      <c r="D464" s="99" t="s">
        <v>433</v>
      </c>
      <c r="E464" s="100" t="s">
        <v>606</v>
      </c>
      <c r="F464" s="99" t="s">
        <v>443</v>
      </c>
      <c r="G464" s="99" t="s">
        <v>259</v>
      </c>
      <c r="H464" s="99" t="s">
        <v>14</v>
      </c>
      <c r="I464" s="99" t="s">
        <v>246</v>
      </c>
      <c r="J464" s="99"/>
      <c r="K464" s="101">
        <v>309.89999999999998</v>
      </c>
      <c r="L464" s="101">
        <f>K464*VLOOKUP(H464,dagsoorttabel1,2,FALSE)</f>
        <v>212.67647058823528</v>
      </c>
      <c r="M464" s="102">
        <f>prodnorm50</f>
        <v>0</v>
      </c>
      <c r="N464" s="37">
        <f>dagwerk50</f>
        <v>0</v>
      </c>
      <c r="O464" s="99" t="s">
        <v>108</v>
      </c>
      <c r="P464" s="24">
        <f>uurtarief50</f>
        <v>0</v>
      </c>
      <c r="Q464" s="101" t="e">
        <f>IF(ISBLANK(M464),0,L464/ROUND(M464,4))</f>
        <v>#DIV/0!</v>
      </c>
      <c r="R464" s="101" t="e">
        <f>IF(ISBLANK(M464),0,Q464*ROUND(N464,2))</f>
        <v>#DIV/0!</v>
      </c>
      <c r="S464" s="24" t="e">
        <f>ROUND(P464,2)*Q464</f>
        <v>#DIV/0!</v>
      </c>
      <c r="T464" s="101" t="e">
        <f>Q464*dagenperjaar1</f>
        <v>#DIV/0!</v>
      </c>
      <c r="U464" s="25" t="e">
        <f>T464*ROUND(P464,2)</f>
        <v>#DIV/0!</v>
      </c>
    </row>
    <row r="465" spans="1:21" x14ac:dyDescent="0.2">
      <c r="A465" s="98" t="s">
        <v>616</v>
      </c>
      <c r="B465" s="99" t="s">
        <v>50</v>
      </c>
      <c r="C465" s="99" t="s">
        <v>345</v>
      </c>
      <c r="D465" s="99" t="s">
        <v>434</v>
      </c>
      <c r="E465" s="100" t="s">
        <v>606</v>
      </c>
      <c r="F465" s="99" t="s">
        <v>443</v>
      </c>
      <c r="G465" s="99" t="s">
        <v>259</v>
      </c>
      <c r="H465" s="99" t="s">
        <v>14</v>
      </c>
      <c r="I465" s="99" t="s">
        <v>246</v>
      </c>
      <c r="J465" s="99"/>
      <c r="K465" s="101">
        <v>1390</v>
      </c>
      <c r="L465" s="101">
        <f>K465*VLOOKUP(H465,dagsoorttabel1,2,FALSE)</f>
        <v>953.92156862745094</v>
      </c>
      <c r="M465" s="102">
        <f>prodnorm50</f>
        <v>0</v>
      </c>
      <c r="N465" s="37">
        <f>dagwerk50</f>
        <v>0</v>
      </c>
      <c r="O465" s="99" t="s">
        <v>108</v>
      </c>
      <c r="P465" s="24">
        <f>uurtarief50</f>
        <v>0</v>
      </c>
      <c r="Q465" s="101" t="e">
        <f>IF(ISBLANK(M465),0,L465/ROUND(M465,4))</f>
        <v>#DIV/0!</v>
      </c>
      <c r="R465" s="101" t="e">
        <f>IF(ISBLANK(M465),0,Q465*ROUND(N465,2))</f>
        <v>#DIV/0!</v>
      </c>
      <c r="S465" s="24" t="e">
        <f>ROUND(P465,2)*Q465</f>
        <v>#DIV/0!</v>
      </c>
      <c r="T465" s="101" t="e">
        <f>Q465*dagenperjaar1</f>
        <v>#DIV/0!</v>
      </c>
      <c r="U465" s="25" t="e">
        <f>T465*ROUND(P465,2)</f>
        <v>#DIV/0!</v>
      </c>
    </row>
    <row r="466" spans="1:21" x14ac:dyDescent="0.2">
      <c r="A466" s="98" t="s">
        <v>616</v>
      </c>
      <c r="B466" s="99" t="s">
        <v>50</v>
      </c>
      <c r="C466" s="99" t="s">
        <v>452</v>
      </c>
      <c r="D466" s="99" t="s">
        <v>463</v>
      </c>
      <c r="E466" s="100" t="s">
        <v>415</v>
      </c>
      <c r="F466" s="99" t="s">
        <v>348</v>
      </c>
      <c r="G466" s="99" t="s">
        <v>277</v>
      </c>
      <c r="H466" s="99" t="s">
        <v>14</v>
      </c>
      <c r="I466" s="99" t="s">
        <v>246</v>
      </c>
      <c r="J466" s="99"/>
      <c r="K466" s="101">
        <v>17.399999999999999</v>
      </c>
      <c r="L466" s="101">
        <f>K466*VLOOKUP(H466,dagsoorttabel1,2,FALSE)</f>
        <v>11.941176470588234</v>
      </c>
      <c r="M466" s="102">
        <f>prodnorm72</f>
        <v>0</v>
      </c>
      <c r="N466" s="37">
        <f>dagwerk72</f>
        <v>0</v>
      </c>
      <c r="O466" s="99" t="s">
        <v>108</v>
      </c>
      <c r="P466" s="24">
        <f>uurtarief72</f>
        <v>0</v>
      </c>
      <c r="Q466" s="101" t="e">
        <f>IF(ISBLANK(M466),0,L466/ROUND(M466,4))</f>
        <v>#DIV/0!</v>
      </c>
      <c r="R466" s="101" t="e">
        <f>IF(ISBLANK(M466),0,Q466*ROUND(N466,2))</f>
        <v>#DIV/0!</v>
      </c>
      <c r="S466" s="24" t="e">
        <f>ROUND(P466,2)*Q466</f>
        <v>#DIV/0!</v>
      </c>
      <c r="T466" s="101" t="e">
        <f>Q466*dagenperjaar1</f>
        <v>#DIV/0!</v>
      </c>
      <c r="U466" s="25" t="e">
        <f>T466*ROUND(P466,2)</f>
        <v>#DIV/0!</v>
      </c>
    </row>
    <row r="467" spans="1:21" x14ac:dyDescent="0.2">
      <c r="A467" s="98" t="s">
        <v>616</v>
      </c>
      <c r="B467" s="99" t="s">
        <v>50</v>
      </c>
      <c r="C467" s="99" t="s">
        <v>452</v>
      </c>
      <c r="D467" s="99" t="s">
        <v>465</v>
      </c>
      <c r="E467" s="100" t="s">
        <v>415</v>
      </c>
      <c r="F467" s="99" t="s">
        <v>348</v>
      </c>
      <c r="G467" s="99" t="s">
        <v>277</v>
      </c>
      <c r="H467" s="99" t="s">
        <v>14</v>
      </c>
      <c r="I467" s="99" t="s">
        <v>246</v>
      </c>
      <c r="J467" s="99"/>
      <c r="K467" s="101">
        <v>266</v>
      </c>
      <c r="L467" s="101">
        <f>K467*VLOOKUP(H467,dagsoorttabel1,2,FALSE)</f>
        <v>182.54901960784315</v>
      </c>
      <c r="M467" s="102">
        <f>prodnorm72</f>
        <v>0</v>
      </c>
      <c r="N467" s="37">
        <f>dagwerk72</f>
        <v>0</v>
      </c>
      <c r="O467" s="99" t="s">
        <v>108</v>
      </c>
      <c r="P467" s="24">
        <f>uurtarief72</f>
        <v>0</v>
      </c>
      <c r="Q467" s="101" t="e">
        <f>IF(ISBLANK(M467),0,L467/ROUND(M467,4))</f>
        <v>#DIV/0!</v>
      </c>
      <c r="R467" s="101" t="e">
        <f>IF(ISBLANK(M467),0,Q467*ROUND(N467,2))</f>
        <v>#DIV/0!</v>
      </c>
      <c r="S467" s="24" t="e">
        <f>ROUND(P467,2)*Q467</f>
        <v>#DIV/0!</v>
      </c>
      <c r="T467" s="101" t="e">
        <f>Q467*dagenperjaar1</f>
        <v>#DIV/0!</v>
      </c>
      <c r="U467" s="25" t="e">
        <f>T467*ROUND(P467,2)</f>
        <v>#DIV/0!</v>
      </c>
    </row>
    <row r="468" spans="1:21" x14ac:dyDescent="0.2">
      <c r="A468" s="103" t="s">
        <v>616</v>
      </c>
      <c r="B468" s="104" t="s">
        <v>50</v>
      </c>
      <c r="C468" s="104" t="s">
        <v>452</v>
      </c>
      <c r="D468" s="104" t="s">
        <v>467</v>
      </c>
      <c r="E468" s="105" t="s">
        <v>631</v>
      </c>
      <c r="F468" s="104" t="s">
        <v>548</v>
      </c>
      <c r="G468" s="104" t="s">
        <v>277</v>
      </c>
      <c r="H468" s="104" t="s">
        <v>14</v>
      </c>
      <c r="I468" s="104" t="s">
        <v>246</v>
      </c>
      <c r="J468" s="104"/>
      <c r="K468" s="106">
        <v>65.5</v>
      </c>
      <c r="L468" s="106">
        <f>K468*VLOOKUP(H468,dagsoorttabel1,2,FALSE)</f>
        <v>44.950980392156865</v>
      </c>
      <c r="M468" s="107">
        <f>prodnorm72</f>
        <v>0</v>
      </c>
      <c r="N468" s="108">
        <f>dagwerk72</f>
        <v>0</v>
      </c>
      <c r="O468" s="104" t="s">
        <v>108</v>
      </c>
      <c r="P468" s="34">
        <f>uurtarief72</f>
        <v>0</v>
      </c>
      <c r="Q468" s="106" t="e">
        <f>IF(ISBLANK(M468),0,L468/ROUND(M468,4))</f>
        <v>#DIV/0!</v>
      </c>
      <c r="R468" s="106" t="e">
        <f>IF(ISBLANK(M468),0,Q468*ROUND(N468,2))</f>
        <v>#DIV/0!</v>
      </c>
      <c r="S468" s="34" t="e">
        <f>ROUND(P468,2)*Q468</f>
        <v>#DIV/0!</v>
      </c>
      <c r="T468" s="106" t="e">
        <f>Q468*dagenperjaar1</f>
        <v>#DIV/0!</v>
      </c>
      <c r="U468" s="35" t="e">
        <f>T468*ROUND(P468,2)</f>
        <v>#DIV/0!</v>
      </c>
    </row>
    <row r="469" spans="1:21" x14ac:dyDescent="0.2">
      <c r="A469" s="109" t="s">
        <v>403</v>
      </c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81" t="e">
        <f>IF(_xlfn.SINGLE(object21_urenjaar1)&gt;0,_xlfn.SINGLE(object21_prijsjaar1)/_xlfn.SINGLE(object21_urenjaar1),0)</f>
        <v>#DIV/0!</v>
      </c>
      <c r="Q469" s="80" t="e">
        <f>SUM(Q431:Q468)</f>
        <v>#DIV/0!</v>
      </c>
      <c r="R469" s="80" t="e">
        <f>SUM(R431:R468)</f>
        <v>#DIV/0!</v>
      </c>
      <c r="S469" s="81" t="e">
        <f>SUM(S431:S468)</f>
        <v>#DIV/0!</v>
      </c>
      <c r="T469" s="80" t="e">
        <f>SUM(T431:T468)</f>
        <v>#DIV/0!</v>
      </c>
      <c r="U469" s="82" t="e">
        <f>SUM(U431:U468)</f>
        <v>#DIV/0!</v>
      </c>
    </row>
    <row r="470" spans="1:21" x14ac:dyDescent="0.2">
      <c r="A470" s="88" t="s">
        <v>632</v>
      </c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77"/>
    </row>
    <row r="471" spans="1:21" x14ac:dyDescent="0.2">
      <c r="A471" s="90" t="s">
        <v>633</v>
      </c>
      <c r="B471" s="91" t="s">
        <v>50</v>
      </c>
      <c r="C471" s="91" t="s">
        <v>345</v>
      </c>
      <c r="D471" s="91" t="s">
        <v>346</v>
      </c>
      <c r="E471" s="92" t="s">
        <v>591</v>
      </c>
      <c r="F471" s="91" t="s">
        <v>548</v>
      </c>
      <c r="G471" s="91" t="s">
        <v>253</v>
      </c>
      <c r="H471" s="91" t="s">
        <v>13</v>
      </c>
      <c r="I471" s="91" t="s">
        <v>246</v>
      </c>
      <c r="J471" s="91"/>
      <c r="K471" s="93">
        <v>0</v>
      </c>
      <c r="L471" s="93">
        <f>K471*VLOOKUP(H471,dagsoorttabel1,2,FALSE)</f>
        <v>0</v>
      </c>
      <c r="M471" s="94"/>
      <c r="N471" s="95"/>
      <c r="O471" s="91" t="s">
        <v>108</v>
      </c>
      <c r="P471" s="96"/>
      <c r="Q471" s="93">
        <f>IF(ISBLANK(M471),0,L471/ROUND(M471,4))</f>
        <v>0</v>
      </c>
      <c r="R471" s="93">
        <f>IF(ISBLANK(M471),0,Q471*ROUND(N471,2))</f>
        <v>0</v>
      </c>
      <c r="S471" s="96">
        <f>ROUND(P471,2)*Q471</f>
        <v>0</v>
      </c>
      <c r="T471" s="93">
        <f>Q471*dagenperjaar1</f>
        <v>0</v>
      </c>
      <c r="U471" s="97">
        <f>T471*ROUND(P471,2)</f>
        <v>0</v>
      </c>
    </row>
    <row r="472" spans="1:21" x14ac:dyDescent="0.2">
      <c r="A472" s="98" t="s">
        <v>633</v>
      </c>
      <c r="B472" s="99" t="s">
        <v>50</v>
      </c>
      <c r="C472" s="99" t="s">
        <v>345</v>
      </c>
      <c r="D472" s="99" t="s">
        <v>349</v>
      </c>
      <c r="E472" s="100" t="s">
        <v>592</v>
      </c>
      <c r="F472" s="99" t="s">
        <v>548</v>
      </c>
      <c r="G472" s="99" t="s">
        <v>270</v>
      </c>
      <c r="H472" s="99" t="s">
        <v>13</v>
      </c>
      <c r="I472" s="99" t="s">
        <v>246</v>
      </c>
      <c r="J472" s="99"/>
      <c r="K472" s="101">
        <v>4.8</v>
      </c>
      <c r="L472" s="101">
        <f>K472*VLOOKUP(H472,dagsoorttabel1,2,FALSE)</f>
        <v>3.7647058823529411</v>
      </c>
      <c r="M472" s="102">
        <f>prodnorm64</f>
        <v>0</v>
      </c>
      <c r="N472" s="37">
        <f>dagwerk64</f>
        <v>0</v>
      </c>
      <c r="O472" s="99" t="s">
        <v>108</v>
      </c>
      <c r="P472" s="24">
        <f>uurtarief64</f>
        <v>0</v>
      </c>
      <c r="Q472" s="101" t="e">
        <f>IF(ISBLANK(M472),0,L472/ROUND(M472,4))</f>
        <v>#DIV/0!</v>
      </c>
      <c r="R472" s="101" t="e">
        <f>IF(ISBLANK(M472),0,Q472*ROUND(N472,2))</f>
        <v>#DIV/0!</v>
      </c>
      <c r="S472" s="24" t="e">
        <f>ROUND(P472,2)*Q472</f>
        <v>#DIV/0!</v>
      </c>
      <c r="T472" s="101" t="e">
        <f>Q472*dagenperjaar1</f>
        <v>#DIV/0!</v>
      </c>
      <c r="U472" s="25" t="e">
        <f>T472*ROUND(P472,2)</f>
        <v>#DIV/0!</v>
      </c>
    </row>
    <row r="473" spans="1:21" x14ac:dyDescent="0.2">
      <c r="A473" s="98" t="s">
        <v>633</v>
      </c>
      <c r="B473" s="99" t="s">
        <v>50</v>
      </c>
      <c r="C473" s="99" t="s">
        <v>345</v>
      </c>
      <c r="D473" s="99" t="s">
        <v>351</v>
      </c>
      <c r="E473" s="100" t="s">
        <v>593</v>
      </c>
      <c r="F473" s="99" t="s">
        <v>548</v>
      </c>
      <c r="G473" s="99" t="s">
        <v>245</v>
      </c>
      <c r="H473" s="99" t="s">
        <v>24</v>
      </c>
      <c r="I473" s="99" t="s">
        <v>246</v>
      </c>
      <c r="J473" s="99"/>
      <c r="K473" s="101">
        <v>3.36</v>
      </c>
      <c r="L473" s="101">
        <f>K473*VLOOKUP(H473,dagsoorttabel1,2,FALSE)</f>
        <v>0.15811764705882353</v>
      </c>
      <c r="M473" s="102">
        <f>prodnorm32</f>
        <v>0</v>
      </c>
      <c r="N473" s="37">
        <f>dagwerk32</f>
        <v>0</v>
      </c>
      <c r="O473" s="99" t="s">
        <v>108</v>
      </c>
      <c r="P473" s="24">
        <f>uurtarief32</f>
        <v>0</v>
      </c>
      <c r="Q473" s="101" t="e">
        <f>IF(ISBLANK(M473),0,L473/ROUND(M473,4))</f>
        <v>#DIV/0!</v>
      </c>
      <c r="R473" s="101" t="e">
        <f>IF(ISBLANK(M473),0,Q473*ROUND(N473,2))</f>
        <v>#DIV/0!</v>
      </c>
      <c r="S473" s="24" t="e">
        <f>ROUND(P473,2)*Q473</f>
        <v>#DIV/0!</v>
      </c>
      <c r="T473" s="101" t="e">
        <f>Q473*dagenperjaar1</f>
        <v>#DIV/0!</v>
      </c>
      <c r="U473" s="25" t="e">
        <f>T473*ROUND(P473,2)</f>
        <v>#DIV/0!</v>
      </c>
    </row>
    <row r="474" spans="1:21" x14ac:dyDescent="0.2">
      <c r="A474" s="98" t="s">
        <v>633</v>
      </c>
      <c r="B474" s="99" t="s">
        <v>50</v>
      </c>
      <c r="C474" s="99" t="s">
        <v>345</v>
      </c>
      <c r="D474" s="99" t="s">
        <v>353</v>
      </c>
      <c r="E474" s="100" t="s">
        <v>595</v>
      </c>
      <c r="F474" s="99" t="s">
        <v>548</v>
      </c>
      <c r="G474" s="99" t="s">
        <v>262</v>
      </c>
      <c r="H474" s="99" t="s">
        <v>13</v>
      </c>
      <c r="I474" s="99" t="s">
        <v>246</v>
      </c>
      <c r="J474" s="99"/>
      <c r="K474" s="101">
        <v>25</v>
      </c>
      <c r="L474" s="101">
        <f>K474*VLOOKUP(H474,dagsoorttabel1,2,FALSE)</f>
        <v>19.607843137254903</v>
      </c>
      <c r="M474" s="102">
        <f>prodnorm57</f>
        <v>0</v>
      </c>
      <c r="N474" s="37">
        <f>dagwerk57</f>
        <v>0</v>
      </c>
      <c r="O474" s="99" t="s">
        <v>108</v>
      </c>
      <c r="P474" s="24">
        <f>uurtarief57</f>
        <v>0</v>
      </c>
      <c r="Q474" s="101" t="e">
        <f>IF(ISBLANK(M474),0,L474/ROUND(M474,4))</f>
        <v>#DIV/0!</v>
      </c>
      <c r="R474" s="101" t="e">
        <f>IF(ISBLANK(M474),0,Q474*ROUND(N474,2))</f>
        <v>#DIV/0!</v>
      </c>
      <c r="S474" s="24" t="e">
        <f>ROUND(P474,2)*Q474</f>
        <v>#DIV/0!</v>
      </c>
      <c r="T474" s="101" t="e">
        <f>Q474*dagenperjaar1</f>
        <v>#DIV/0!</v>
      </c>
      <c r="U474" s="25" t="e">
        <f>T474*ROUND(P474,2)</f>
        <v>#DIV/0!</v>
      </c>
    </row>
    <row r="475" spans="1:21" x14ac:dyDescent="0.2">
      <c r="A475" s="98" t="s">
        <v>633</v>
      </c>
      <c r="B475" s="99" t="s">
        <v>50</v>
      </c>
      <c r="C475" s="99" t="s">
        <v>345</v>
      </c>
      <c r="D475" s="99" t="s">
        <v>355</v>
      </c>
      <c r="E475" s="100" t="s">
        <v>597</v>
      </c>
      <c r="F475" s="99" t="s">
        <v>548</v>
      </c>
      <c r="G475" s="99" t="s">
        <v>251</v>
      </c>
      <c r="H475" s="99" t="s">
        <v>13</v>
      </c>
      <c r="I475" s="99" t="s">
        <v>246</v>
      </c>
      <c r="J475" s="99"/>
      <c r="K475" s="101">
        <v>4.5999999999999996</v>
      </c>
      <c r="L475" s="101">
        <f>K475*VLOOKUP(H475,dagsoorttabel1,2,FALSE)</f>
        <v>3.6078431372549016</v>
      </c>
      <c r="M475" s="102">
        <f>prodnorm39</f>
        <v>0</v>
      </c>
      <c r="N475" s="37">
        <f>dagwerk39</f>
        <v>0</v>
      </c>
      <c r="O475" s="99" t="s">
        <v>108</v>
      </c>
      <c r="P475" s="24">
        <f>uurtarief39</f>
        <v>0</v>
      </c>
      <c r="Q475" s="101" t="e">
        <f>IF(ISBLANK(M475),0,L475/ROUND(M475,4))</f>
        <v>#DIV/0!</v>
      </c>
      <c r="R475" s="101" t="e">
        <f>IF(ISBLANK(M475),0,Q475*ROUND(N475,2))</f>
        <v>#DIV/0!</v>
      </c>
      <c r="S475" s="24" t="e">
        <f>ROUND(P475,2)*Q475</f>
        <v>#DIV/0!</v>
      </c>
      <c r="T475" s="101" t="e">
        <f>Q475*dagenperjaar1</f>
        <v>#DIV/0!</v>
      </c>
      <c r="U475" s="25" t="e">
        <f>T475*ROUND(P475,2)</f>
        <v>#DIV/0!</v>
      </c>
    </row>
    <row r="476" spans="1:21" x14ac:dyDescent="0.2">
      <c r="A476" s="98" t="s">
        <v>633</v>
      </c>
      <c r="B476" s="99" t="s">
        <v>50</v>
      </c>
      <c r="C476" s="99" t="s">
        <v>345</v>
      </c>
      <c r="D476" s="99" t="s">
        <v>357</v>
      </c>
      <c r="E476" s="100" t="s">
        <v>600</v>
      </c>
      <c r="F476" s="99" t="s">
        <v>548</v>
      </c>
      <c r="G476" s="99" t="s">
        <v>270</v>
      </c>
      <c r="H476" s="99" t="s">
        <v>13</v>
      </c>
      <c r="I476" s="99" t="s">
        <v>246</v>
      </c>
      <c r="J476" s="99"/>
      <c r="K476" s="101">
        <v>0</v>
      </c>
      <c r="L476" s="101">
        <f>K476*VLOOKUP(H476,dagsoorttabel1,2,FALSE)</f>
        <v>0</v>
      </c>
      <c r="M476" s="102"/>
      <c r="N476" s="37"/>
      <c r="O476" s="99" t="s">
        <v>108</v>
      </c>
      <c r="P476" s="24"/>
      <c r="Q476" s="101">
        <f>IF(ISBLANK(M476),0,L476/ROUND(M476,4))</f>
        <v>0</v>
      </c>
      <c r="R476" s="101">
        <f>IF(ISBLANK(M476),0,Q476*ROUND(N476,2))</f>
        <v>0</v>
      </c>
      <c r="S476" s="24">
        <f>ROUND(P476,2)*Q476</f>
        <v>0</v>
      </c>
      <c r="T476" s="101">
        <f>Q476*dagenperjaar1</f>
        <v>0</v>
      </c>
      <c r="U476" s="25">
        <f>T476*ROUND(P476,2)</f>
        <v>0</v>
      </c>
    </row>
    <row r="477" spans="1:21" x14ac:dyDescent="0.2">
      <c r="A477" s="98" t="s">
        <v>633</v>
      </c>
      <c r="B477" s="99" t="s">
        <v>50</v>
      </c>
      <c r="C477" s="99" t="s">
        <v>345</v>
      </c>
      <c r="D477" s="99" t="s">
        <v>359</v>
      </c>
      <c r="E477" s="100" t="s">
        <v>601</v>
      </c>
      <c r="F477" s="99" t="s">
        <v>548</v>
      </c>
      <c r="G477" s="99" t="s">
        <v>262</v>
      </c>
      <c r="H477" s="99" t="s">
        <v>13</v>
      </c>
      <c r="I477" s="99" t="s">
        <v>246</v>
      </c>
      <c r="J477" s="99"/>
      <c r="K477" s="101">
        <v>25</v>
      </c>
      <c r="L477" s="101">
        <f>K477*VLOOKUP(H477,dagsoorttabel1,2,FALSE)</f>
        <v>19.607843137254903</v>
      </c>
      <c r="M477" s="102">
        <f>prodnorm57</f>
        <v>0</v>
      </c>
      <c r="N477" s="37">
        <f>dagwerk57</f>
        <v>0</v>
      </c>
      <c r="O477" s="99" t="s">
        <v>108</v>
      </c>
      <c r="P477" s="24">
        <f>uurtarief57</f>
        <v>0</v>
      </c>
      <c r="Q477" s="101" t="e">
        <f>IF(ISBLANK(M477),0,L477/ROUND(M477,4))</f>
        <v>#DIV/0!</v>
      </c>
      <c r="R477" s="101" t="e">
        <f>IF(ISBLANK(M477),0,Q477*ROUND(N477,2))</f>
        <v>#DIV/0!</v>
      </c>
      <c r="S477" s="24" t="e">
        <f>ROUND(P477,2)*Q477</f>
        <v>#DIV/0!</v>
      </c>
      <c r="T477" s="101" t="e">
        <f>Q477*dagenperjaar1</f>
        <v>#DIV/0!</v>
      </c>
      <c r="U477" s="25" t="e">
        <f>T477*ROUND(P477,2)</f>
        <v>#DIV/0!</v>
      </c>
    </row>
    <row r="478" spans="1:21" x14ac:dyDescent="0.2">
      <c r="A478" s="98" t="s">
        <v>633</v>
      </c>
      <c r="B478" s="99" t="s">
        <v>50</v>
      </c>
      <c r="C478" s="99" t="s">
        <v>345</v>
      </c>
      <c r="D478" s="99" t="s">
        <v>361</v>
      </c>
      <c r="E478" s="100" t="s">
        <v>602</v>
      </c>
      <c r="F478" s="99" t="s">
        <v>548</v>
      </c>
      <c r="G478" s="99" t="s">
        <v>270</v>
      </c>
      <c r="H478" s="99" t="s">
        <v>13</v>
      </c>
      <c r="I478" s="99" t="s">
        <v>246</v>
      </c>
      <c r="J478" s="99"/>
      <c r="K478" s="101">
        <v>0</v>
      </c>
      <c r="L478" s="101">
        <f>K478*VLOOKUP(H478,dagsoorttabel1,2,FALSE)</f>
        <v>0</v>
      </c>
      <c r="M478" s="102"/>
      <c r="N478" s="37"/>
      <c r="O478" s="99" t="s">
        <v>108</v>
      </c>
      <c r="P478" s="24"/>
      <c r="Q478" s="101">
        <f>IF(ISBLANK(M478),0,L478/ROUND(M478,4))</f>
        <v>0</v>
      </c>
      <c r="R478" s="101">
        <f>IF(ISBLANK(M478),0,Q478*ROUND(N478,2))</f>
        <v>0</v>
      </c>
      <c r="S478" s="24">
        <f>ROUND(P478,2)*Q478</f>
        <v>0</v>
      </c>
      <c r="T478" s="101">
        <f>Q478*dagenperjaar1</f>
        <v>0</v>
      </c>
      <c r="U478" s="25">
        <f>T478*ROUND(P478,2)</f>
        <v>0</v>
      </c>
    </row>
    <row r="479" spans="1:21" x14ac:dyDescent="0.2">
      <c r="A479" s="98" t="s">
        <v>633</v>
      </c>
      <c r="B479" s="99" t="s">
        <v>50</v>
      </c>
      <c r="C479" s="99" t="s">
        <v>345</v>
      </c>
      <c r="D479" s="99" t="s">
        <v>363</v>
      </c>
      <c r="E479" s="100" t="s">
        <v>603</v>
      </c>
      <c r="F479" s="99" t="s">
        <v>548</v>
      </c>
      <c r="G479" s="99" t="s">
        <v>251</v>
      </c>
      <c r="H479" s="99" t="s">
        <v>13</v>
      </c>
      <c r="I479" s="99" t="s">
        <v>246</v>
      </c>
      <c r="J479" s="99"/>
      <c r="K479" s="101">
        <v>4.5999999999999996</v>
      </c>
      <c r="L479" s="101">
        <f>K479*VLOOKUP(H479,dagsoorttabel1,2,FALSE)</f>
        <v>3.6078431372549016</v>
      </c>
      <c r="M479" s="102">
        <f>prodnorm39</f>
        <v>0</v>
      </c>
      <c r="N479" s="37">
        <f>dagwerk39</f>
        <v>0</v>
      </c>
      <c r="O479" s="99" t="s">
        <v>108</v>
      </c>
      <c r="P479" s="24">
        <f>uurtarief39</f>
        <v>0</v>
      </c>
      <c r="Q479" s="101" t="e">
        <f>IF(ISBLANK(M479),0,L479/ROUND(M479,4))</f>
        <v>#DIV/0!</v>
      </c>
      <c r="R479" s="101" t="e">
        <f>IF(ISBLANK(M479),0,Q479*ROUND(N479,2))</f>
        <v>#DIV/0!</v>
      </c>
      <c r="S479" s="24" t="e">
        <f>ROUND(P479,2)*Q479</f>
        <v>#DIV/0!</v>
      </c>
      <c r="T479" s="101" t="e">
        <f>Q479*dagenperjaar1</f>
        <v>#DIV/0!</v>
      </c>
      <c r="U479" s="25" t="e">
        <f>T479*ROUND(P479,2)</f>
        <v>#DIV/0!</v>
      </c>
    </row>
    <row r="480" spans="1:21" x14ac:dyDescent="0.2">
      <c r="A480" s="98" t="s">
        <v>633</v>
      </c>
      <c r="B480" s="99" t="s">
        <v>50</v>
      </c>
      <c r="C480" s="99" t="s">
        <v>345</v>
      </c>
      <c r="D480" s="99" t="s">
        <v>365</v>
      </c>
      <c r="E480" s="100" t="s">
        <v>604</v>
      </c>
      <c r="F480" s="99" t="s">
        <v>548</v>
      </c>
      <c r="G480" s="99" t="s">
        <v>262</v>
      </c>
      <c r="H480" s="99" t="s">
        <v>13</v>
      </c>
      <c r="I480" s="99" t="s">
        <v>246</v>
      </c>
      <c r="J480" s="99"/>
      <c r="K480" s="101">
        <v>7.2</v>
      </c>
      <c r="L480" s="101">
        <f>K480*VLOOKUP(H480,dagsoorttabel1,2,FALSE)</f>
        <v>5.6470588235294121</v>
      </c>
      <c r="M480" s="102">
        <f>prodnorm57</f>
        <v>0</v>
      </c>
      <c r="N480" s="37">
        <f>dagwerk57</f>
        <v>0</v>
      </c>
      <c r="O480" s="99" t="s">
        <v>108</v>
      </c>
      <c r="P480" s="24">
        <f>uurtarief57</f>
        <v>0</v>
      </c>
      <c r="Q480" s="101" t="e">
        <f>IF(ISBLANK(M480),0,L480/ROUND(M480,4))</f>
        <v>#DIV/0!</v>
      </c>
      <c r="R480" s="101" t="e">
        <f>IF(ISBLANK(M480),0,Q480*ROUND(N480,2))</f>
        <v>#DIV/0!</v>
      </c>
      <c r="S480" s="24" t="e">
        <f>ROUND(P480,2)*Q480</f>
        <v>#DIV/0!</v>
      </c>
      <c r="T480" s="101" t="e">
        <f>Q480*dagenperjaar1</f>
        <v>#DIV/0!</v>
      </c>
      <c r="U480" s="25" t="e">
        <f>T480*ROUND(P480,2)</f>
        <v>#DIV/0!</v>
      </c>
    </row>
    <row r="481" spans="1:21" x14ac:dyDescent="0.2">
      <c r="A481" s="98" t="s">
        <v>633</v>
      </c>
      <c r="B481" s="99" t="s">
        <v>50</v>
      </c>
      <c r="C481" s="99" t="s">
        <v>345</v>
      </c>
      <c r="D481" s="99" t="s">
        <v>367</v>
      </c>
      <c r="E481" s="100" t="s">
        <v>605</v>
      </c>
      <c r="F481" s="99" t="s">
        <v>548</v>
      </c>
      <c r="G481" s="99" t="s">
        <v>270</v>
      </c>
      <c r="H481" s="99" t="s">
        <v>13</v>
      </c>
      <c r="I481" s="99" t="s">
        <v>246</v>
      </c>
      <c r="J481" s="99"/>
      <c r="K481" s="101">
        <v>0</v>
      </c>
      <c r="L481" s="101">
        <f>K481*VLOOKUP(H481,dagsoorttabel1,2,FALSE)</f>
        <v>0</v>
      </c>
      <c r="M481" s="102"/>
      <c r="N481" s="37"/>
      <c r="O481" s="99" t="s">
        <v>108</v>
      </c>
      <c r="P481" s="24"/>
      <c r="Q481" s="101">
        <f>IF(ISBLANK(M481),0,L481/ROUND(M481,4))</f>
        <v>0</v>
      </c>
      <c r="R481" s="101">
        <f>IF(ISBLANK(M481),0,Q481*ROUND(N481,2))</f>
        <v>0</v>
      </c>
      <c r="S481" s="24">
        <f>ROUND(P481,2)*Q481</f>
        <v>0</v>
      </c>
      <c r="T481" s="101">
        <f>Q481*dagenperjaar1</f>
        <v>0</v>
      </c>
      <c r="U481" s="25">
        <f>T481*ROUND(P481,2)</f>
        <v>0</v>
      </c>
    </row>
    <row r="482" spans="1:21" x14ac:dyDescent="0.2">
      <c r="A482" s="98" t="s">
        <v>633</v>
      </c>
      <c r="B482" s="99" t="s">
        <v>50</v>
      </c>
      <c r="C482" s="99" t="s">
        <v>345</v>
      </c>
      <c r="D482" s="99" t="s">
        <v>369</v>
      </c>
      <c r="E482" s="100" t="s">
        <v>606</v>
      </c>
      <c r="F482" s="99" t="s">
        <v>607</v>
      </c>
      <c r="G482" s="99" t="s">
        <v>259</v>
      </c>
      <c r="H482" s="99" t="s">
        <v>13</v>
      </c>
      <c r="I482" s="99" t="s">
        <v>246</v>
      </c>
      <c r="J482" s="99"/>
      <c r="K482" s="101">
        <v>315.15000000000003</v>
      </c>
      <c r="L482" s="101">
        <f>K482*VLOOKUP(H482,dagsoorttabel1,2,FALSE)</f>
        <v>247.1764705882353</v>
      </c>
      <c r="M482" s="102">
        <f>prodnorm51</f>
        <v>0</v>
      </c>
      <c r="N482" s="37">
        <f>dagwerk51</f>
        <v>0</v>
      </c>
      <c r="O482" s="99" t="s">
        <v>108</v>
      </c>
      <c r="P482" s="24">
        <f>uurtarief51</f>
        <v>0</v>
      </c>
      <c r="Q482" s="101" t="e">
        <f>IF(ISBLANK(M482),0,L482/ROUND(M482,4))</f>
        <v>#DIV/0!</v>
      </c>
      <c r="R482" s="101" t="e">
        <f>IF(ISBLANK(M482),0,Q482*ROUND(N482,2))</f>
        <v>#DIV/0!</v>
      </c>
      <c r="S482" s="24" t="e">
        <f>ROUND(P482,2)*Q482</f>
        <v>#DIV/0!</v>
      </c>
      <c r="T482" s="101" t="e">
        <f>Q482*dagenperjaar1</f>
        <v>#DIV/0!</v>
      </c>
      <c r="U482" s="25" t="e">
        <f>T482*ROUND(P482,2)</f>
        <v>#DIV/0!</v>
      </c>
    </row>
    <row r="483" spans="1:21" x14ac:dyDescent="0.2">
      <c r="A483" s="98" t="s">
        <v>633</v>
      </c>
      <c r="B483" s="99" t="s">
        <v>50</v>
      </c>
      <c r="C483" s="99" t="s">
        <v>345</v>
      </c>
      <c r="D483" s="99" t="s">
        <v>371</v>
      </c>
      <c r="E483" s="100" t="s">
        <v>608</v>
      </c>
      <c r="F483" s="99" t="s">
        <v>548</v>
      </c>
      <c r="G483" s="99" t="s">
        <v>245</v>
      </c>
      <c r="H483" s="99" t="s">
        <v>24</v>
      </c>
      <c r="I483" s="99" t="s">
        <v>246</v>
      </c>
      <c r="J483" s="99"/>
      <c r="K483" s="101">
        <v>9.5</v>
      </c>
      <c r="L483" s="101">
        <f>K483*VLOOKUP(H483,dagsoorttabel1,2,FALSE)</f>
        <v>0.44705882352941173</v>
      </c>
      <c r="M483" s="102">
        <f>prodnorm32</f>
        <v>0</v>
      </c>
      <c r="N483" s="37">
        <f>dagwerk32</f>
        <v>0</v>
      </c>
      <c r="O483" s="99" t="s">
        <v>108</v>
      </c>
      <c r="P483" s="24">
        <f>uurtarief32</f>
        <v>0</v>
      </c>
      <c r="Q483" s="101" t="e">
        <f>IF(ISBLANK(M483),0,L483/ROUND(M483,4))</f>
        <v>#DIV/0!</v>
      </c>
      <c r="R483" s="101" t="e">
        <f>IF(ISBLANK(M483),0,Q483*ROUND(N483,2))</f>
        <v>#DIV/0!</v>
      </c>
      <c r="S483" s="24" t="e">
        <f>ROUND(P483,2)*Q483</f>
        <v>#DIV/0!</v>
      </c>
      <c r="T483" s="101" t="e">
        <f>Q483*dagenperjaar1</f>
        <v>#DIV/0!</v>
      </c>
      <c r="U483" s="25" t="e">
        <f>T483*ROUND(P483,2)</f>
        <v>#DIV/0!</v>
      </c>
    </row>
    <row r="484" spans="1:21" x14ac:dyDescent="0.2">
      <c r="A484" s="98" t="s">
        <v>633</v>
      </c>
      <c r="B484" s="99" t="s">
        <v>50</v>
      </c>
      <c r="C484" s="99" t="s">
        <v>345</v>
      </c>
      <c r="D484" s="99" t="s">
        <v>373</v>
      </c>
      <c r="E484" s="100" t="s">
        <v>609</v>
      </c>
      <c r="F484" s="99" t="s">
        <v>607</v>
      </c>
      <c r="G484" s="99" t="s">
        <v>259</v>
      </c>
      <c r="H484" s="99" t="s">
        <v>13</v>
      </c>
      <c r="I484" s="99" t="s">
        <v>246</v>
      </c>
      <c r="J484" s="99"/>
      <c r="K484" s="101">
        <v>28</v>
      </c>
      <c r="L484" s="101">
        <f>K484*VLOOKUP(H484,dagsoorttabel1,2,FALSE)</f>
        <v>21.96078431372549</v>
      </c>
      <c r="M484" s="102">
        <f>prodnorm51</f>
        <v>0</v>
      </c>
      <c r="N484" s="37">
        <f>dagwerk51</f>
        <v>0</v>
      </c>
      <c r="O484" s="99" t="s">
        <v>108</v>
      </c>
      <c r="P484" s="24">
        <f>uurtarief51</f>
        <v>0</v>
      </c>
      <c r="Q484" s="101" t="e">
        <f>IF(ISBLANK(M484),0,L484/ROUND(M484,4))</f>
        <v>#DIV/0!</v>
      </c>
      <c r="R484" s="101" t="e">
        <f>IF(ISBLANK(M484),0,Q484*ROUND(N484,2))</f>
        <v>#DIV/0!</v>
      </c>
      <c r="S484" s="24" t="e">
        <f>ROUND(P484,2)*Q484</f>
        <v>#DIV/0!</v>
      </c>
      <c r="T484" s="101" t="e">
        <f>Q484*dagenperjaar1</f>
        <v>#DIV/0!</v>
      </c>
      <c r="U484" s="25" t="e">
        <f>T484*ROUND(P484,2)</f>
        <v>#DIV/0!</v>
      </c>
    </row>
    <row r="485" spans="1:21" x14ac:dyDescent="0.2">
      <c r="A485" s="98" t="s">
        <v>633</v>
      </c>
      <c r="B485" s="99" t="s">
        <v>50</v>
      </c>
      <c r="C485" s="99" t="s">
        <v>345</v>
      </c>
      <c r="D485" s="99" t="s">
        <v>375</v>
      </c>
      <c r="E485" s="100" t="s">
        <v>610</v>
      </c>
      <c r="F485" s="99" t="s">
        <v>607</v>
      </c>
      <c r="G485" s="99" t="s">
        <v>259</v>
      </c>
      <c r="H485" s="99" t="s">
        <v>13</v>
      </c>
      <c r="I485" s="99" t="s">
        <v>246</v>
      </c>
      <c r="J485" s="99"/>
      <c r="K485" s="101">
        <v>1.71</v>
      </c>
      <c r="L485" s="101">
        <f>K485*VLOOKUP(H485,dagsoorttabel1,2,FALSE)</f>
        <v>1.3411764705882352</v>
      </c>
      <c r="M485" s="102">
        <f>prodnorm51</f>
        <v>0</v>
      </c>
      <c r="N485" s="37">
        <f>dagwerk51</f>
        <v>0</v>
      </c>
      <c r="O485" s="99" t="s">
        <v>108</v>
      </c>
      <c r="P485" s="24">
        <f>uurtarief51</f>
        <v>0</v>
      </c>
      <c r="Q485" s="101" t="e">
        <f>IF(ISBLANK(M485),0,L485/ROUND(M485,4))</f>
        <v>#DIV/0!</v>
      </c>
      <c r="R485" s="101" t="e">
        <f>IF(ISBLANK(M485),0,Q485*ROUND(N485,2))</f>
        <v>#DIV/0!</v>
      </c>
      <c r="S485" s="24" t="e">
        <f>ROUND(P485,2)*Q485</f>
        <v>#DIV/0!</v>
      </c>
      <c r="T485" s="101" t="e">
        <f>Q485*dagenperjaar1</f>
        <v>#DIV/0!</v>
      </c>
      <c r="U485" s="25" t="e">
        <f>T485*ROUND(P485,2)</f>
        <v>#DIV/0!</v>
      </c>
    </row>
    <row r="486" spans="1:21" x14ac:dyDescent="0.2">
      <c r="A486" s="103" t="s">
        <v>633</v>
      </c>
      <c r="B486" s="104" t="s">
        <v>50</v>
      </c>
      <c r="C486" s="104" t="s">
        <v>345</v>
      </c>
      <c r="D486" s="104" t="s">
        <v>377</v>
      </c>
      <c r="E486" s="105" t="s">
        <v>611</v>
      </c>
      <c r="F486" s="104" t="s">
        <v>548</v>
      </c>
      <c r="G486" s="104" t="s">
        <v>275</v>
      </c>
      <c r="H486" s="104" t="s">
        <v>24</v>
      </c>
      <c r="I486" s="104" t="s">
        <v>246</v>
      </c>
      <c r="J486" s="104"/>
      <c r="K486" s="106">
        <v>9.4</v>
      </c>
      <c r="L486" s="106">
        <f>K486*VLOOKUP(H486,dagsoorttabel1,2,FALSE)</f>
        <v>0.44235294117647062</v>
      </c>
      <c r="M486" s="107">
        <f>prodnorm70</f>
        <v>0</v>
      </c>
      <c r="N486" s="108">
        <f>dagwerk70</f>
        <v>0</v>
      </c>
      <c r="O486" s="104" t="s">
        <v>108</v>
      </c>
      <c r="P486" s="34">
        <f>uurtarief70</f>
        <v>0</v>
      </c>
      <c r="Q486" s="106" t="e">
        <f>IF(ISBLANK(M486),0,L486/ROUND(M486,4))</f>
        <v>#DIV/0!</v>
      </c>
      <c r="R486" s="106" t="e">
        <f>IF(ISBLANK(M486),0,Q486*ROUND(N486,2))</f>
        <v>#DIV/0!</v>
      </c>
      <c r="S486" s="34" t="e">
        <f>ROUND(P486,2)*Q486</f>
        <v>#DIV/0!</v>
      </c>
      <c r="T486" s="106" t="e">
        <f>Q486*dagenperjaar1</f>
        <v>#DIV/0!</v>
      </c>
      <c r="U486" s="35" t="e">
        <f>T486*ROUND(P486,2)</f>
        <v>#DIV/0!</v>
      </c>
    </row>
    <row r="487" spans="1:21" x14ac:dyDescent="0.2">
      <c r="A487" s="109" t="s">
        <v>403</v>
      </c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81" t="e">
        <f>IF(_xlfn.SINGLE(object22_urenjaar1)&gt;0,_xlfn.SINGLE(object22_prijsjaar1)/_xlfn.SINGLE(object22_urenjaar1),0)</f>
        <v>#DIV/0!</v>
      </c>
      <c r="Q487" s="80" t="e">
        <f>SUM(Q471:Q486)</f>
        <v>#DIV/0!</v>
      </c>
      <c r="R487" s="80" t="e">
        <f>SUM(R471:R486)</f>
        <v>#DIV/0!</v>
      </c>
      <c r="S487" s="81" t="e">
        <f>SUM(S471:S486)</f>
        <v>#DIV/0!</v>
      </c>
      <c r="T487" s="80" t="e">
        <f>SUM(T471:T486)</f>
        <v>#DIV/0!</v>
      </c>
      <c r="U487" s="82" t="e">
        <f>SUM(U471:U486)</f>
        <v>#DIV/0!</v>
      </c>
    </row>
    <row r="488" spans="1:21" x14ac:dyDescent="0.2">
      <c r="A488" s="88" t="s">
        <v>634</v>
      </c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77"/>
    </row>
    <row r="489" spans="1:21" x14ac:dyDescent="0.2">
      <c r="A489" s="90" t="s">
        <v>635</v>
      </c>
      <c r="B489" s="91" t="s">
        <v>50</v>
      </c>
      <c r="C489" s="91" t="s">
        <v>345</v>
      </c>
      <c r="D489" s="91" t="s">
        <v>346</v>
      </c>
      <c r="E489" s="92" t="s">
        <v>636</v>
      </c>
      <c r="F489" s="91" t="s">
        <v>348</v>
      </c>
      <c r="G489" s="91" t="s">
        <v>266</v>
      </c>
      <c r="H489" s="91" t="s">
        <v>13</v>
      </c>
      <c r="I489" s="91" t="s">
        <v>246</v>
      </c>
      <c r="J489" s="91"/>
      <c r="K489" s="93">
        <v>10</v>
      </c>
      <c r="L489" s="93">
        <f>K489*VLOOKUP(H489,dagsoorttabel1,2,FALSE)</f>
        <v>7.8431372549019605</v>
      </c>
      <c r="M489" s="94">
        <f>prodnorm60</f>
        <v>0</v>
      </c>
      <c r="N489" s="95">
        <f>dagwerk60</f>
        <v>0</v>
      </c>
      <c r="O489" s="91" t="s">
        <v>108</v>
      </c>
      <c r="P489" s="96">
        <f>uurtarief60</f>
        <v>0</v>
      </c>
      <c r="Q489" s="93" t="e">
        <f>IF(ISBLANK(M489),0,L489/ROUND(M489,4))</f>
        <v>#DIV/0!</v>
      </c>
      <c r="R489" s="93" t="e">
        <f>IF(ISBLANK(M489),0,Q489*ROUND(N489,2))</f>
        <v>#DIV/0!</v>
      </c>
      <c r="S489" s="96" t="e">
        <f>ROUND(P489,2)*Q489</f>
        <v>#DIV/0!</v>
      </c>
      <c r="T489" s="93" t="e">
        <f>Q489*dagenperjaar1</f>
        <v>#DIV/0!</v>
      </c>
      <c r="U489" s="97" t="e">
        <f>T489*ROUND(P489,2)</f>
        <v>#DIV/0!</v>
      </c>
    </row>
    <row r="490" spans="1:21" x14ac:dyDescent="0.2">
      <c r="A490" s="98" t="s">
        <v>635</v>
      </c>
      <c r="B490" s="99" t="s">
        <v>50</v>
      </c>
      <c r="C490" s="99" t="s">
        <v>345</v>
      </c>
      <c r="D490" s="99" t="s">
        <v>349</v>
      </c>
      <c r="E490" s="100" t="s">
        <v>637</v>
      </c>
      <c r="F490" s="99" t="s">
        <v>348</v>
      </c>
      <c r="G490" s="99" t="s">
        <v>253</v>
      </c>
      <c r="H490" s="99" t="s">
        <v>13</v>
      </c>
      <c r="I490" s="99" t="s">
        <v>246</v>
      </c>
      <c r="J490" s="99"/>
      <c r="K490" s="101">
        <v>8.0299999999999994</v>
      </c>
      <c r="L490" s="101">
        <f>K490*VLOOKUP(H490,dagsoorttabel1,2,FALSE)</f>
        <v>6.2980392156862743</v>
      </c>
      <c r="M490" s="102">
        <f>prodnorm42</f>
        <v>0</v>
      </c>
      <c r="N490" s="37">
        <f>dagwerk42</f>
        <v>0</v>
      </c>
      <c r="O490" s="99" t="s">
        <v>108</v>
      </c>
      <c r="P490" s="24">
        <f>uurtarief42</f>
        <v>0</v>
      </c>
      <c r="Q490" s="101" t="e">
        <f>IF(ISBLANK(M490),0,L490/ROUND(M490,4))</f>
        <v>#DIV/0!</v>
      </c>
      <c r="R490" s="101" t="e">
        <f>IF(ISBLANK(M490),0,Q490*ROUND(N490,2))</f>
        <v>#DIV/0!</v>
      </c>
      <c r="S490" s="24" t="e">
        <f>ROUND(P490,2)*Q490</f>
        <v>#DIV/0!</v>
      </c>
      <c r="T490" s="101" t="e">
        <f>Q490*dagenperjaar1</f>
        <v>#DIV/0!</v>
      </c>
      <c r="U490" s="25" t="e">
        <f>T490*ROUND(P490,2)</f>
        <v>#DIV/0!</v>
      </c>
    </row>
    <row r="491" spans="1:21" x14ac:dyDescent="0.2">
      <c r="A491" s="98" t="s">
        <v>635</v>
      </c>
      <c r="B491" s="99" t="s">
        <v>50</v>
      </c>
      <c r="C491" s="99" t="s">
        <v>345</v>
      </c>
      <c r="D491" s="99" t="s">
        <v>351</v>
      </c>
      <c r="E491" s="100" t="s">
        <v>638</v>
      </c>
      <c r="F491" s="99" t="s">
        <v>348</v>
      </c>
      <c r="G491" s="99" t="s">
        <v>270</v>
      </c>
      <c r="H491" s="99" t="s">
        <v>13</v>
      </c>
      <c r="I491" s="99" t="s">
        <v>246</v>
      </c>
      <c r="J491" s="99"/>
      <c r="K491" s="101">
        <v>3.23</v>
      </c>
      <c r="L491" s="101">
        <f>K491*VLOOKUP(H491,dagsoorttabel1,2,FALSE)</f>
        <v>2.5333333333333332</v>
      </c>
      <c r="M491" s="102">
        <f>prodnorm64</f>
        <v>0</v>
      </c>
      <c r="N491" s="37">
        <f>dagwerk64</f>
        <v>0</v>
      </c>
      <c r="O491" s="99" t="s">
        <v>108</v>
      </c>
      <c r="P491" s="24">
        <f>uurtarief64</f>
        <v>0</v>
      </c>
      <c r="Q491" s="101" t="e">
        <f>IF(ISBLANK(M491),0,L491/ROUND(M491,4))</f>
        <v>#DIV/0!</v>
      </c>
      <c r="R491" s="101" t="e">
        <f>IF(ISBLANK(M491),0,Q491*ROUND(N491,2))</f>
        <v>#DIV/0!</v>
      </c>
      <c r="S491" s="24" t="e">
        <f>ROUND(P491,2)*Q491</f>
        <v>#DIV/0!</v>
      </c>
      <c r="T491" s="101" t="e">
        <f>Q491*dagenperjaar1</f>
        <v>#DIV/0!</v>
      </c>
      <c r="U491" s="25" t="e">
        <f>T491*ROUND(P491,2)</f>
        <v>#DIV/0!</v>
      </c>
    </row>
    <row r="492" spans="1:21" x14ac:dyDescent="0.2">
      <c r="A492" s="98" t="s">
        <v>635</v>
      </c>
      <c r="B492" s="99" t="s">
        <v>50</v>
      </c>
      <c r="C492" s="99" t="s">
        <v>345</v>
      </c>
      <c r="D492" s="99" t="s">
        <v>353</v>
      </c>
      <c r="E492" s="100" t="s">
        <v>415</v>
      </c>
      <c r="F492" s="99" t="s">
        <v>397</v>
      </c>
      <c r="G492" s="99" t="s">
        <v>277</v>
      </c>
      <c r="H492" s="99" t="s">
        <v>13</v>
      </c>
      <c r="I492" s="99" t="s">
        <v>246</v>
      </c>
      <c r="J492" s="99"/>
      <c r="K492" s="101">
        <v>4.5199999999999996</v>
      </c>
      <c r="L492" s="101">
        <f>K492*VLOOKUP(H492,dagsoorttabel1,2,FALSE)</f>
        <v>3.5450980392156857</v>
      </c>
      <c r="M492" s="102">
        <f>prodnorm73</f>
        <v>0</v>
      </c>
      <c r="N492" s="37">
        <f>dagwerk73</f>
        <v>0</v>
      </c>
      <c r="O492" s="99" t="s">
        <v>108</v>
      </c>
      <c r="P492" s="24">
        <f>uurtarief73</f>
        <v>0</v>
      </c>
      <c r="Q492" s="101" t="e">
        <f>IF(ISBLANK(M492),0,L492/ROUND(M492,4))</f>
        <v>#DIV/0!</v>
      </c>
      <c r="R492" s="101" t="e">
        <f>IF(ISBLANK(M492),0,Q492*ROUND(N492,2))</f>
        <v>#DIV/0!</v>
      </c>
      <c r="S492" s="24" t="e">
        <f>ROUND(P492,2)*Q492</f>
        <v>#DIV/0!</v>
      </c>
      <c r="T492" s="101" t="e">
        <f>Q492*dagenperjaar1</f>
        <v>#DIV/0!</v>
      </c>
      <c r="U492" s="25" t="e">
        <f>T492*ROUND(P492,2)</f>
        <v>#DIV/0!</v>
      </c>
    </row>
    <row r="493" spans="1:21" x14ac:dyDescent="0.2">
      <c r="A493" s="98" t="s">
        <v>635</v>
      </c>
      <c r="B493" s="99" t="s">
        <v>50</v>
      </c>
      <c r="C493" s="99" t="s">
        <v>345</v>
      </c>
      <c r="D493" s="99" t="s">
        <v>355</v>
      </c>
      <c r="E493" s="100" t="s">
        <v>521</v>
      </c>
      <c r="F493" s="99" t="s">
        <v>397</v>
      </c>
      <c r="G493" s="99" t="s">
        <v>273</v>
      </c>
      <c r="H493" s="99" t="s">
        <v>13</v>
      </c>
      <c r="I493" s="99" t="s">
        <v>246</v>
      </c>
      <c r="J493" s="99"/>
      <c r="K493" s="101">
        <v>11.33</v>
      </c>
      <c r="L493" s="101">
        <f>K493*VLOOKUP(H493,dagsoorttabel1,2,FALSE)</f>
        <v>8.886274509803922</v>
      </c>
      <c r="M493" s="102">
        <f>prodnorm68</f>
        <v>0</v>
      </c>
      <c r="N493" s="37">
        <f>dagwerk68</f>
        <v>0</v>
      </c>
      <c r="O493" s="99" t="s">
        <v>108</v>
      </c>
      <c r="P493" s="24">
        <f>uurtarief68</f>
        <v>0</v>
      </c>
      <c r="Q493" s="101" t="e">
        <f>IF(ISBLANK(M493),0,L493/ROUND(M493,4))</f>
        <v>#DIV/0!</v>
      </c>
      <c r="R493" s="101" t="e">
        <f>IF(ISBLANK(M493),0,Q493*ROUND(N493,2))</f>
        <v>#DIV/0!</v>
      </c>
      <c r="S493" s="24" t="e">
        <f>ROUND(P493,2)*Q493</f>
        <v>#DIV/0!</v>
      </c>
      <c r="T493" s="101" t="e">
        <f>Q493*dagenperjaar1</f>
        <v>#DIV/0!</v>
      </c>
      <c r="U493" s="25" t="e">
        <f>T493*ROUND(P493,2)</f>
        <v>#DIV/0!</v>
      </c>
    </row>
    <row r="494" spans="1:21" x14ac:dyDescent="0.2">
      <c r="A494" s="98" t="s">
        <v>635</v>
      </c>
      <c r="B494" s="99" t="s">
        <v>50</v>
      </c>
      <c r="C494" s="99" t="s">
        <v>345</v>
      </c>
      <c r="D494" s="99" t="s">
        <v>357</v>
      </c>
      <c r="E494" s="100" t="s">
        <v>415</v>
      </c>
      <c r="F494" s="99" t="s">
        <v>397</v>
      </c>
      <c r="G494" s="99" t="s">
        <v>277</v>
      </c>
      <c r="H494" s="99" t="s">
        <v>13</v>
      </c>
      <c r="I494" s="99" t="s">
        <v>246</v>
      </c>
      <c r="J494" s="99"/>
      <c r="K494" s="101">
        <v>6.6</v>
      </c>
      <c r="L494" s="101">
        <f>K494*VLOOKUP(H494,dagsoorttabel1,2,FALSE)</f>
        <v>5.1764705882352935</v>
      </c>
      <c r="M494" s="102">
        <f>prodnorm73</f>
        <v>0</v>
      </c>
      <c r="N494" s="37">
        <f>dagwerk73</f>
        <v>0</v>
      </c>
      <c r="O494" s="99" t="s">
        <v>108</v>
      </c>
      <c r="P494" s="24">
        <f>uurtarief73</f>
        <v>0</v>
      </c>
      <c r="Q494" s="101" t="e">
        <f>IF(ISBLANK(M494),0,L494/ROUND(M494,4))</f>
        <v>#DIV/0!</v>
      </c>
      <c r="R494" s="101" t="e">
        <f>IF(ISBLANK(M494),0,Q494*ROUND(N494,2))</f>
        <v>#DIV/0!</v>
      </c>
      <c r="S494" s="24" t="e">
        <f>ROUND(P494,2)*Q494</f>
        <v>#DIV/0!</v>
      </c>
      <c r="T494" s="101" t="e">
        <f>Q494*dagenperjaar1</f>
        <v>#DIV/0!</v>
      </c>
      <c r="U494" s="25" t="e">
        <f>T494*ROUND(P494,2)</f>
        <v>#DIV/0!</v>
      </c>
    </row>
    <row r="495" spans="1:21" x14ac:dyDescent="0.2">
      <c r="A495" s="98" t="s">
        <v>635</v>
      </c>
      <c r="B495" s="99" t="s">
        <v>50</v>
      </c>
      <c r="C495" s="99" t="s">
        <v>345</v>
      </c>
      <c r="D495" s="99" t="s">
        <v>359</v>
      </c>
      <c r="E495" s="100" t="s">
        <v>529</v>
      </c>
      <c r="F495" s="99" t="s">
        <v>348</v>
      </c>
      <c r="G495" s="99" t="s">
        <v>262</v>
      </c>
      <c r="H495" s="99" t="s">
        <v>13</v>
      </c>
      <c r="I495" s="99" t="s">
        <v>246</v>
      </c>
      <c r="J495" s="99"/>
      <c r="K495" s="101">
        <v>28.8</v>
      </c>
      <c r="L495" s="101">
        <f>K495*VLOOKUP(H495,dagsoorttabel1,2,FALSE)</f>
        <v>22.588235294117649</v>
      </c>
      <c r="M495" s="102">
        <f>prodnorm57</f>
        <v>0</v>
      </c>
      <c r="N495" s="37">
        <f>dagwerk57</f>
        <v>0</v>
      </c>
      <c r="O495" s="99" t="s">
        <v>108</v>
      </c>
      <c r="P495" s="24">
        <f>uurtarief57</f>
        <v>0</v>
      </c>
      <c r="Q495" s="101" t="e">
        <f>IF(ISBLANK(M495),0,L495/ROUND(M495,4))</f>
        <v>#DIV/0!</v>
      </c>
      <c r="R495" s="101" t="e">
        <f>IF(ISBLANK(M495),0,Q495*ROUND(N495,2))</f>
        <v>#DIV/0!</v>
      </c>
      <c r="S495" s="24" t="e">
        <f>ROUND(P495,2)*Q495</f>
        <v>#DIV/0!</v>
      </c>
      <c r="T495" s="101" t="e">
        <f>Q495*dagenperjaar1</f>
        <v>#DIV/0!</v>
      </c>
      <c r="U495" s="25" t="e">
        <f>T495*ROUND(P495,2)</f>
        <v>#DIV/0!</v>
      </c>
    </row>
    <row r="496" spans="1:21" x14ac:dyDescent="0.2">
      <c r="A496" s="98" t="s">
        <v>635</v>
      </c>
      <c r="B496" s="99" t="s">
        <v>50</v>
      </c>
      <c r="C496" s="99" t="s">
        <v>345</v>
      </c>
      <c r="D496" s="99" t="s">
        <v>639</v>
      </c>
      <c r="E496" s="100" t="s">
        <v>547</v>
      </c>
      <c r="F496" s="99" t="s">
        <v>348</v>
      </c>
      <c r="G496" s="99" t="s">
        <v>251</v>
      </c>
      <c r="H496" s="99" t="s">
        <v>13</v>
      </c>
      <c r="I496" s="99" t="s">
        <v>246</v>
      </c>
      <c r="J496" s="99"/>
      <c r="K496" s="101">
        <v>15</v>
      </c>
      <c r="L496" s="101">
        <f>K496*VLOOKUP(H496,dagsoorttabel1,2,FALSE)</f>
        <v>11.76470588235294</v>
      </c>
      <c r="M496" s="102">
        <f>prodnorm39</f>
        <v>0</v>
      </c>
      <c r="N496" s="37">
        <f>dagwerk39</f>
        <v>0</v>
      </c>
      <c r="O496" s="99" t="s">
        <v>108</v>
      </c>
      <c r="P496" s="24">
        <f>uurtarief39</f>
        <v>0</v>
      </c>
      <c r="Q496" s="101" t="e">
        <f>IF(ISBLANK(M496),0,L496/ROUND(M496,4))</f>
        <v>#DIV/0!</v>
      </c>
      <c r="R496" s="101" t="e">
        <f>IF(ISBLANK(M496),0,Q496*ROUND(N496,2))</f>
        <v>#DIV/0!</v>
      </c>
      <c r="S496" s="24" t="e">
        <f>ROUND(P496,2)*Q496</f>
        <v>#DIV/0!</v>
      </c>
      <c r="T496" s="101" t="e">
        <f>Q496*dagenperjaar1</f>
        <v>#DIV/0!</v>
      </c>
      <c r="U496" s="25" t="e">
        <f>T496*ROUND(P496,2)</f>
        <v>#DIV/0!</v>
      </c>
    </row>
    <row r="497" spans="1:21" x14ac:dyDescent="0.2">
      <c r="A497" s="98" t="s">
        <v>635</v>
      </c>
      <c r="B497" s="99" t="s">
        <v>50</v>
      </c>
      <c r="C497" s="99" t="s">
        <v>345</v>
      </c>
      <c r="D497" s="99" t="s">
        <v>361</v>
      </c>
      <c r="E497" s="100" t="s">
        <v>579</v>
      </c>
      <c r="F497" s="99" t="s">
        <v>640</v>
      </c>
      <c r="G497" s="99" t="s">
        <v>259</v>
      </c>
      <c r="H497" s="99" t="s">
        <v>13</v>
      </c>
      <c r="I497" s="99" t="s">
        <v>246</v>
      </c>
      <c r="J497" s="99"/>
      <c r="K497" s="101">
        <v>25.99</v>
      </c>
      <c r="L497" s="101">
        <f>K497*VLOOKUP(H497,dagsoorttabel1,2,FALSE)</f>
        <v>20.384313725490195</v>
      </c>
      <c r="M497" s="102">
        <f>prodnorm51</f>
        <v>0</v>
      </c>
      <c r="N497" s="37">
        <f>dagwerk51</f>
        <v>0</v>
      </c>
      <c r="O497" s="99" t="s">
        <v>108</v>
      </c>
      <c r="P497" s="24">
        <f>uurtarief51</f>
        <v>0</v>
      </c>
      <c r="Q497" s="101" t="e">
        <f>IF(ISBLANK(M497),0,L497/ROUND(M497,4))</f>
        <v>#DIV/0!</v>
      </c>
      <c r="R497" s="101" t="e">
        <f>IF(ISBLANK(M497),0,Q497*ROUND(N497,2))</f>
        <v>#DIV/0!</v>
      </c>
      <c r="S497" s="24" t="e">
        <f>ROUND(P497,2)*Q497</f>
        <v>#DIV/0!</v>
      </c>
      <c r="T497" s="101" t="e">
        <f>Q497*dagenperjaar1</f>
        <v>#DIV/0!</v>
      </c>
      <c r="U497" s="25" t="e">
        <f>T497*ROUND(P497,2)</f>
        <v>#DIV/0!</v>
      </c>
    </row>
    <row r="498" spans="1:21" x14ac:dyDescent="0.2">
      <c r="A498" s="98" t="s">
        <v>635</v>
      </c>
      <c r="B498" s="99" t="s">
        <v>50</v>
      </c>
      <c r="C498" s="99" t="s">
        <v>345</v>
      </c>
      <c r="D498" s="99" t="s">
        <v>363</v>
      </c>
      <c r="E498" s="100" t="s">
        <v>578</v>
      </c>
      <c r="F498" s="99" t="s">
        <v>640</v>
      </c>
      <c r="G498" s="99" t="s">
        <v>259</v>
      </c>
      <c r="H498" s="99" t="s">
        <v>13</v>
      </c>
      <c r="I498" s="99" t="s">
        <v>246</v>
      </c>
      <c r="J498" s="99"/>
      <c r="K498" s="101">
        <v>236.2</v>
      </c>
      <c r="L498" s="101">
        <f>K498*VLOOKUP(H498,dagsoorttabel1,2,FALSE)</f>
        <v>185.25490196078431</v>
      </c>
      <c r="M498" s="102">
        <f>prodnorm51</f>
        <v>0</v>
      </c>
      <c r="N498" s="37">
        <f>dagwerk51</f>
        <v>0</v>
      </c>
      <c r="O498" s="99" t="s">
        <v>108</v>
      </c>
      <c r="P498" s="24">
        <f>uurtarief51</f>
        <v>0</v>
      </c>
      <c r="Q498" s="101" t="e">
        <f>IF(ISBLANK(M498),0,L498/ROUND(M498,4))</f>
        <v>#DIV/0!</v>
      </c>
      <c r="R498" s="101" t="e">
        <f>IF(ISBLANK(M498),0,Q498*ROUND(N498,2))</f>
        <v>#DIV/0!</v>
      </c>
      <c r="S498" s="24" t="e">
        <f>ROUND(P498,2)*Q498</f>
        <v>#DIV/0!</v>
      </c>
      <c r="T498" s="101" t="e">
        <f>Q498*dagenperjaar1</f>
        <v>#DIV/0!</v>
      </c>
      <c r="U498" s="25" t="e">
        <f>T498*ROUND(P498,2)</f>
        <v>#DIV/0!</v>
      </c>
    </row>
    <row r="499" spans="1:21" x14ac:dyDescent="0.2">
      <c r="A499" s="98" t="s">
        <v>635</v>
      </c>
      <c r="B499" s="99" t="s">
        <v>50</v>
      </c>
      <c r="C499" s="99" t="s">
        <v>345</v>
      </c>
      <c r="D499" s="99" t="s">
        <v>365</v>
      </c>
      <c r="E499" s="100" t="s">
        <v>641</v>
      </c>
      <c r="F499" s="99" t="s">
        <v>348</v>
      </c>
      <c r="G499" s="99" t="s">
        <v>270</v>
      </c>
      <c r="H499" s="99" t="s">
        <v>13</v>
      </c>
      <c r="I499" s="99" t="s">
        <v>246</v>
      </c>
      <c r="J499" s="99"/>
      <c r="K499" s="101">
        <v>9.6199999999999992</v>
      </c>
      <c r="L499" s="101">
        <f>K499*VLOOKUP(H499,dagsoorttabel1,2,FALSE)</f>
        <v>7.5450980392156852</v>
      </c>
      <c r="M499" s="102">
        <f>prodnorm64</f>
        <v>0</v>
      </c>
      <c r="N499" s="37">
        <f>dagwerk64</f>
        <v>0</v>
      </c>
      <c r="O499" s="99" t="s">
        <v>108</v>
      </c>
      <c r="P499" s="24">
        <f>uurtarief64</f>
        <v>0</v>
      </c>
      <c r="Q499" s="101" t="e">
        <f>IF(ISBLANK(M499),0,L499/ROUND(M499,4))</f>
        <v>#DIV/0!</v>
      </c>
      <c r="R499" s="101" t="e">
        <f>IF(ISBLANK(M499),0,Q499*ROUND(N499,2))</f>
        <v>#DIV/0!</v>
      </c>
      <c r="S499" s="24" t="e">
        <f>ROUND(P499,2)*Q499</f>
        <v>#DIV/0!</v>
      </c>
      <c r="T499" s="101" t="e">
        <f>Q499*dagenperjaar1</f>
        <v>#DIV/0!</v>
      </c>
      <c r="U499" s="25" t="e">
        <f>T499*ROUND(P499,2)</f>
        <v>#DIV/0!</v>
      </c>
    </row>
    <row r="500" spans="1:21" x14ac:dyDescent="0.2">
      <c r="A500" s="98" t="s">
        <v>635</v>
      </c>
      <c r="B500" s="99" t="s">
        <v>50</v>
      </c>
      <c r="C500" s="99" t="s">
        <v>452</v>
      </c>
      <c r="D500" s="99" t="s">
        <v>453</v>
      </c>
      <c r="E500" s="100" t="s">
        <v>415</v>
      </c>
      <c r="F500" s="99" t="s">
        <v>397</v>
      </c>
      <c r="G500" s="99" t="s">
        <v>277</v>
      </c>
      <c r="H500" s="99" t="s">
        <v>13</v>
      </c>
      <c r="I500" s="99" t="s">
        <v>246</v>
      </c>
      <c r="J500" s="99"/>
      <c r="K500" s="101">
        <v>13.94</v>
      </c>
      <c r="L500" s="101">
        <f>K500*VLOOKUP(H500,dagsoorttabel1,2,FALSE)</f>
        <v>10.933333333333334</v>
      </c>
      <c r="M500" s="102">
        <f>prodnorm73</f>
        <v>0</v>
      </c>
      <c r="N500" s="37">
        <f>dagwerk73</f>
        <v>0</v>
      </c>
      <c r="O500" s="99" t="s">
        <v>108</v>
      </c>
      <c r="P500" s="24">
        <f>uurtarief73</f>
        <v>0</v>
      </c>
      <c r="Q500" s="101" t="e">
        <f>IF(ISBLANK(M500),0,L500/ROUND(M500,4))</f>
        <v>#DIV/0!</v>
      </c>
      <c r="R500" s="101" t="e">
        <f>IF(ISBLANK(M500),0,Q500*ROUND(N500,2))</f>
        <v>#DIV/0!</v>
      </c>
      <c r="S500" s="24" t="e">
        <f>ROUND(P500,2)*Q500</f>
        <v>#DIV/0!</v>
      </c>
      <c r="T500" s="101" t="e">
        <f>Q500*dagenperjaar1</f>
        <v>#DIV/0!</v>
      </c>
      <c r="U500" s="25" t="e">
        <f>T500*ROUND(P500,2)</f>
        <v>#DIV/0!</v>
      </c>
    </row>
    <row r="501" spans="1:21" x14ac:dyDescent="0.2">
      <c r="A501" s="98" t="s">
        <v>635</v>
      </c>
      <c r="B501" s="99" t="s">
        <v>50</v>
      </c>
      <c r="C501" s="99" t="s">
        <v>452</v>
      </c>
      <c r="D501" s="99" t="s">
        <v>455</v>
      </c>
      <c r="E501" s="100" t="s">
        <v>529</v>
      </c>
      <c r="F501" s="99" t="s">
        <v>348</v>
      </c>
      <c r="G501" s="99" t="s">
        <v>262</v>
      </c>
      <c r="H501" s="99" t="s">
        <v>13</v>
      </c>
      <c r="I501" s="99" t="s">
        <v>246</v>
      </c>
      <c r="J501" s="99"/>
      <c r="K501" s="101">
        <v>28.8</v>
      </c>
      <c r="L501" s="101">
        <f>K501*VLOOKUP(H501,dagsoorttabel1,2,FALSE)</f>
        <v>22.588235294117649</v>
      </c>
      <c r="M501" s="102">
        <f>prodnorm57</f>
        <v>0</v>
      </c>
      <c r="N501" s="37">
        <f>dagwerk57</f>
        <v>0</v>
      </c>
      <c r="O501" s="99" t="s">
        <v>108</v>
      </c>
      <c r="P501" s="24">
        <f>uurtarief57</f>
        <v>0</v>
      </c>
      <c r="Q501" s="101" t="e">
        <f>IF(ISBLANK(M501),0,L501/ROUND(M501,4))</f>
        <v>#DIV/0!</v>
      </c>
      <c r="R501" s="101" t="e">
        <f>IF(ISBLANK(M501),0,Q501*ROUND(N501,2))</f>
        <v>#DIV/0!</v>
      </c>
      <c r="S501" s="24" t="e">
        <f>ROUND(P501,2)*Q501</f>
        <v>#DIV/0!</v>
      </c>
      <c r="T501" s="101" t="e">
        <f>Q501*dagenperjaar1</f>
        <v>#DIV/0!</v>
      </c>
      <c r="U501" s="25" t="e">
        <f>T501*ROUND(P501,2)</f>
        <v>#DIV/0!</v>
      </c>
    </row>
    <row r="502" spans="1:21" x14ac:dyDescent="0.2">
      <c r="A502" s="98" t="s">
        <v>635</v>
      </c>
      <c r="B502" s="99" t="s">
        <v>50</v>
      </c>
      <c r="C502" s="99" t="s">
        <v>452</v>
      </c>
      <c r="D502" s="99" t="s">
        <v>455</v>
      </c>
      <c r="E502" s="100" t="s">
        <v>547</v>
      </c>
      <c r="F502" s="99" t="s">
        <v>348</v>
      </c>
      <c r="G502" s="99" t="s">
        <v>251</v>
      </c>
      <c r="H502" s="99" t="s">
        <v>13</v>
      </c>
      <c r="I502" s="99" t="s">
        <v>246</v>
      </c>
      <c r="J502" s="99"/>
      <c r="K502" s="101">
        <v>15</v>
      </c>
      <c r="L502" s="101">
        <f>K502*VLOOKUP(H502,dagsoorttabel1,2,FALSE)</f>
        <v>11.76470588235294</v>
      </c>
      <c r="M502" s="102">
        <f>prodnorm39</f>
        <v>0</v>
      </c>
      <c r="N502" s="37">
        <f>dagwerk39</f>
        <v>0</v>
      </c>
      <c r="O502" s="99" t="s">
        <v>108</v>
      </c>
      <c r="P502" s="24">
        <f>uurtarief39</f>
        <v>0</v>
      </c>
      <c r="Q502" s="101" t="e">
        <f>IF(ISBLANK(M502),0,L502/ROUND(M502,4))</f>
        <v>#DIV/0!</v>
      </c>
      <c r="R502" s="101" t="e">
        <f>IF(ISBLANK(M502),0,Q502*ROUND(N502,2))</f>
        <v>#DIV/0!</v>
      </c>
      <c r="S502" s="24" t="e">
        <f>ROUND(P502,2)*Q502</f>
        <v>#DIV/0!</v>
      </c>
      <c r="T502" s="101" t="e">
        <f>Q502*dagenperjaar1</f>
        <v>#DIV/0!</v>
      </c>
      <c r="U502" s="25" t="e">
        <f>T502*ROUND(P502,2)</f>
        <v>#DIV/0!</v>
      </c>
    </row>
    <row r="503" spans="1:21" x14ac:dyDescent="0.2">
      <c r="A503" s="98" t="s">
        <v>635</v>
      </c>
      <c r="B503" s="99" t="s">
        <v>50</v>
      </c>
      <c r="C503" s="99" t="s">
        <v>452</v>
      </c>
      <c r="D503" s="99" t="s">
        <v>456</v>
      </c>
      <c r="E503" s="100" t="s">
        <v>642</v>
      </c>
      <c r="F503" s="99" t="s">
        <v>348</v>
      </c>
      <c r="G503" s="99" t="s">
        <v>248</v>
      </c>
      <c r="H503" s="99" t="s">
        <v>13</v>
      </c>
      <c r="I503" s="99" t="s">
        <v>246</v>
      </c>
      <c r="J503" s="99"/>
      <c r="K503" s="101">
        <v>7.87</v>
      </c>
      <c r="L503" s="101">
        <f>K503*VLOOKUP(H503,dagsoorttabel1,2,FALSE)</f>
        <v>6.1725490196078434</v>
      </c>
      <c r="M503" s="102">
        <f>prodnorm35</f>
        <v>0</v>
      </c>
      <c r="N503" s="37">
        <f>dagwerk35</f>
        <v>0</v>
      </c>
      <c r="O503" s="99" t="s">
        <v>108</v>
      </c>
      <c r="P503" s="24">
        <f>uurtarief35</f>
        <v>0</v>
      </c>
      <c r="Q503" s="101" t="e">
        <f>IF(ISBLANK(M503),0,L503/ROUND(M503,4))</f>
        <v>#DIV/0!</v>
      </c>
      <c r="R503" s="101" t="e">
        <f>IF(ISBLANK(M503),0,Q503*ROUND(N503,2))</f>
        <v>#DIV/0!</v>
      </c>
      <c r="S503" s="24" t="e">
        <f>ROUND(P503,2)*Q503</f>
        <v>#DIV/0!</v>
      </c>
      <c r="T503" s="101" t="e">
        <f>Q503*dagenperjaar1</f>
        <v>#DIV/0!</v>
      </c>
      <c r="U503" s="25" t="e">
        <f>T503*ROUND(P503,2)</f>
        <v>#DIV/0!</v>
      </c>
    </row>
    <row r="504" spans="1:21" x14ac:dyDescent="0.2">
      <c r="A504" s="98" t="s">
        <v>635</v>
      </c>
      <c r="B504" s="99" t="s">
        <v>50</v>
      </c>
      <c r="C504" s="99" t="s">
        <v>452</v>
      </c>
      <c r="D504" s="99" t="s">
        <v>457</v>
      </c>
      <c r="E504" s="100" t="s">
        <v>527</v>
      </c>
      <c r="F504" s="99" t="s">
        <v>348</v>
      </c>
      <c r="G504" s="99" t="s">
        <v>251</v>
      </c>
      <c r="H504" s="99" t="s">
        <v>13</v>
      </c>
      <c r="I504" s="99" t="s">
        <v>246</v>
      </c>
      <c r="J504" s="99"/>
      <c r="K504" s="101">
        <v>0.89</v>
      </c>
      <c r="L504" s="101">
        <f>K504*VLOOKUP(H504,dagsoorttabel1,2,FALSE)</f>
        <v>0.69803921568627447</v>
      </c>
      <c r="M504" s="102">
        <f>prodnorm39</f>
        <v>0</v>
      </c>
      <c r="N504" s="37">
        <f>dagwerk39</f>
        <v>0</v>
      </c>
      <c r="O504" s="99" t="s">
        <v>108</v>
      </c>
      <c r="P504" s="24">
        <f>uurtarief39</f>
        <v>0</v>
      </c>
      <c r="Q504" s="101" t="e">
        <f>IF(ISBLANK(M504),0,L504/ROUND(M504,4))</f>
        <v>#DIV/0!</v>
      </c>
      <c r="R504" s="101" t="e">
        <f>IF(ISBLANK(M504),0,Q504*ROUND(N504,2))</f>
        <v>#DIV/0!</v>
      </c>
      <c r="S504" s="24" t="e">
        <f>ROUND(P504,2)*Q504</f>
        <v>#DIV/0!</v>
      </c>
      <c r="T504" s="101" t="e">
        <f>Q504*dagenperjaar1</f>
        <v>#DIV/0!</v>
      </c>
      <c r="U504" s="25" t="e">
        <f>T504*ROUND(P504,2)</f>
        <v>#DIV/0!</v>
      </c>
    </row>
    <row r="505" spans="1:21" x14ac:dyDescent="0.2">
      <c r="A505" s="98" t="s">
        <v>635</v>
      </c>
      <c r="B505" s="99" t="s">
        <v>50</v>
      </c>
      <c r="C505" s="99" t="s">
        <v>452</v>
      </c>
      <c r="D505" s="99" t="s">
        <v>458</v>
      </c>
      <c r="E505" s="100" t="s">
        <v>638</v>
      </c>
      <c r="F505" s="99" t="s">
        <v>348</v>
      </c>
      <c r="G505" s="99" t="s">
        <v>270</v>
      </c>
      <c r="H505" s="99" t="s">
        <v>13</v>
      </c>
      <c r="I505" s="99" t="s">
        <v>246</v>
      </c>
      <c r="J505" s="99"/>
      <c r="K505" s="101">
        <v>4.58</v>
      </c>
      <c r="L505" s="101">
        <f>K505*VLOOKUP(H505,dagsoorttabel1,2,FALSE)</f>
        <v>3.5921568627450982</v>
      </c>
      <c r="M505" s="102">
        <f>prodnorm64</f>
        <v>0</v>
      </c>
      <c r="N505" s="37">
        <f>dagwerk64</f>
        <v>0</v>
      </c>
      <c r="O505" s="99" t="s">
        <v>108</v>
      </c>
      <c r="P505" s="24">
        <f>uurtarief64</f>
        <v>0</v>
      </c>
      <c r="Q505" s="101" t="e">
        <f>IF(ISBLANK(M505),0,L505/ROUND(M505,4))</f>
        <v>#DIV/0!</v>
      </c>
      <c r="R505" s="101" t="e">
        <f>IF(ISBLANK(M505),0,Q505*ROUND(N505,2))</f>
        <v>#DIV/0!</v>
      </c>
      <c r="S505" s="24" t="e">
        <f>ROUND(P505,2)*Q505</f>
        <v>#DIV/0!</v>
      </c>
      <c r="T505" s="101" t="e">
        <f>Q505*dagenperjaar1</f>
        <v>#DIV/0!</v>
      </c>
      <c r="U505" s="25" t="e">
        <f>T505*ROUND(P505,2)</f>
        <v>#DIV/0!</v>
      </c>
    </row>
    <row r="506" spans="1:21" x14ac:dyDescent="0.2">
      <c r="A506" s="103" t="s">
        <v>635</v>
      </c>
      <c r="B506" s="104" t="s">
        <v>50</v>
      </c>
      <c r="C506" s="104" t="s">
        <v>452</v>
      </c>
      <c r="D506" s="104" t="s">
        <v>459</v>
      </c>
      <c r="E506" s="105" t="s">
        <v>641</v>
      </c>
      <c r="F506" s="104" t="s">
        <v>348</v>
      </c>
      <c r="G506" s="104" t="s">
        <v>270</v>
      </c>
      <c r="H506" s="104" t="s">
        <v>13</v>
      </c>
      <c r="I506" s="104" t="s">
        <v>246</v>
      </c>
      <c r="J506" s="104"/>
      <c r="K506" s="106">
        <v>4.8199999999999994</v>
      </c>
      <c r="L506" s="106">
        <f>K506*VLOOKUP(H506,dagsoorttabel1,2,FALSE)</f>
        <v>3.7803921568627445</v>
      </c>
      <c r="M506" s="107">
        <f>prodnorm64</f>
        <v>0</v>
      </c>
      <c r="N506" s="108">
        <f>dagwerk64</f>
        <v>0</v>
      </c>
      <c r="O506" s="104" t="s">
        <v>108</v>
      </c>
      <c r="P506" s="34">
        <f>uurtarief64</f>
        <v>0</v>
      </c>
      <c r="Q506" s="106" t="e">
        <f>IF(ISBLANK(M506),0,L506/ROUND(M506,4))</f>
        <v>#DIV/0!</v>
      </c>
      <c r="R506" s="106" t="e">
        <f>IF(ISBLANK(M506),0,Q506*ROUND(N506,2))</f>
        <v>#DIV/0!</v>
      </c>
      <c r="S506" s="34" t="e">
        <f>ROUND(P506,2)*Q506</f>
        <v>#DIV/0!</v>
      </c>
      <c r="T506" s="106" t="e">
        <f>Q506*dagenperjaar1</f>
        <v>#DIV/0!</v>
      </c>
      <c r="U506" s="35" t="e">
        <f>T506*ROUND(P506,2)</f>
        <v>#DIV/0!</v>
      </c>
    </row>
    <row r="507" spans="1:21" x14ac:dyDescent="0.2">
      <c r="A507" s="109" t="s">
        <v>403</v>
      </c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81" t="e">
        <f>IF(_xlfn.SINGLE(object23_urenjaar1)&gt;0,_xlfn.SINGLE(object23_prijsjaar1)/_xlfn.SINGLE(object23_urenjaar1),0)</f>
        <v>#DIV/0!</v>
      </c>
      <c r="Q507" s="80" t="e">
        <f>SUM(Q489:Q506)</f>
        <v>#DIV/0!</v>
      </c>
      <c r="R507" s="80" t="e">
        <f>SUM(R489:R506)</f>
        <v>#DIV/0!</v>
      </c>
      <c r="S507" s="81" t="e">
        <f>SUM(S489:S506)</f>
        <v>#DIV/0!</v>
      </c>
      <c r="T507" s="80" t="e">
        <f>SUM(T489:T506)</f>
        <v>#DIV/0!</v>
      </c>
      <c r="U507" s="82" t="e">
        <f>SUM(U489:U506)</f>
        <v>#DIV/0!</v>
      </c>
    </row>
    <row r="508" spans="1:21" x14ac:dyDescent="0.2">
      <c r="A508" s="88" t="s">
        <v>643</v>
      </c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77"/>
    </row>
    <row r="509" spans="1:21" x14ac:dyDescent="0.2">
      <c r="A509" s="90" t="s">
        <v>644</v>
      </c>
      <c r="B509" s="91" t="s">
        <v>50</v>
      </c>
      <c r="C509" s="91" t="s">
        <v>345</v>
      </c>
      <c r="D509" s="91" t="s">
        <v>346</v>
      </c>
      <c r="E509" s="92" t="s">
        <v>636</v>
      </c>
      <c r="F509" s="91" t="s">
        <v>348</v>
      </c>
      <c r="G509" s="91" t="s">
        <v>266</v>
      </c>
      <c r="H509" s="91" t="s">
        <v>13</v>
      </c>
      <c r="I509" s="91" t="s">
        <v>246</v>
      </c>
      <c r="J509" s="91"/>
      <c r="K509" s="93">
        <v>10</v>
      </c>
      <c r="L509" s="93">
        <f>K509*VLOOKUP(H509,dagsoorttabel1,2,FALSE)</f>
        <v>7.8431372549019605</v>
      </c>
      <c r="M509" s="94">
        <f>prodnorm60</f>
        <v>0</v>
      </c>
      <c r="N509" s="95">
        <f>dagwerk60</f>
        <v>0</v>
      </c>
      <c r="O509" s="91" t="s">
        <v>108</v>
      </c>
      <c r="P509" s="96">
        <f>uurtarief60</f>
        <v>0</v>
      </c>
      <c r="Q509" s="93" t="e">
        <f>IF(ISBLANK(M509),0,L509/ROUND(M509,4))</f>
        <v>#DIV/0!</v>
      </c>
      <c r="R509" s="93" t="e">
        <f>IF(ISBLANK(M509),0,Q509*ROUND(N509,2))</f>
        <v>#DIV/0!</v>
      </c>
      <c r="S509" s="96" t="e">
        <f>ROUND(P509,2)*Q509</f>
        <v>#DIV/0!</v>
      </c>
      <c r="T509" s="93" t="e">
        <f>Q509*dagenperjaar1</f>
        <v>#DIV/0!</v>
      </c>
      <c r="U509" s="97" t="e">
        <f>T509*ROUND(P509,2)</f>
        <v>#DIV/0!</v>
      </c>
    </row>
    <row r="510" spans="1:21" x14ac:dyDescent="0.2">
      <c r="A510" s="98" t="s">
        <v>644</v>
      </c>
      <c r="B510" s="99" t="s">
        <v>50</v>
      </c>
      <c r="C510" s="99" t="s">
        <v>345</v>
      </c>
      <c r="D510" s="99" t="s">
        <v>349</v>
      </c>
      <c r="E510" s="100" t="s">
        <v>637</v>
      </c>
      <c r="F510" s="99" t="s">
        <v>645</v>
      </c>
      <c r="G510" s="99" t="s">
        <v>255</v>
      </c>
      <c r="H510" s="99" t="s">
        <v>13</v>
      </c>
      <c r="I510" s="99" t="s">
        <v>246</v>
      </c>
      <c r="J510" s="99"/>
      <c r="K510" s="101">
        <v>4.92</v>
      </c>
      <c r="L510" s="101">
        <f>K510*VLOOKUP(H510,dagsoorttabel1,2,FALSE)</f>
        <v>3.8588235294117648</v>
      </c>
      <c r="M510" s="102">
        <f>prodnorm45</f>
        <v>0</v>
      </c>
      <c r="N510" s="37">
        <f>dagwerk45</f>
        <v>0</v>
      </c>
      <c r="O510" s="99" t="s">
        <v>108</v>
      </c>
      <c r="P510" s="24">
        <f>uurtarief45</f>
        <v>0</v>
      </c>
      <c r="Q510" s="101" t="e">
        <f>IF(ISBLANK(M510),0,L510/ROUND(M510,4))</f>
        <v>#DIV/0!</v>
      </c>
      <c r="R510" s="101" t="e">
        <f>IF(ISBLANK(M510),0,Q510*ROUND(N510,2))</f>
        <v>#DIV/0!</v>
      </c>
      <c r="S510" s="24" t="e">
        <f>ROUND(P510,2)*Q510</f>
        <v>#DIV/0!</v>
      </c>
      <c r="T510" s="101" t="e">
        <f>Q510*dagenperjaar1</f>
        <v>#DIV/0!</v>
      </c>
      <c r="U510" s="25" t="e">
        <f>T510*ROUND(P510,2)</f>
        <v>#DIV/0!</v>
      </c>
    </row>
    <row r="511" spans="1:21" x14ac:dyDescent="0.2">
      <c r="A511" s="98" t="s">
        <v>644</v>
      </c>
      <c r="B511" s="99" t="s">
        <v>50</v>
      </c>
      <c r="C511" s="99" t="s">
        <v>345</v>
      </c>
      <c r="D511" s="99" t="s">
        <v>351</v>
      </c>
      <c r="E511" s="100" t="s">
        <v>415</v>
      </c>
      <c r="F511" s="99" t="s">
        <v>397</v>
      </c>
      <c r="G511" s="99" t="s">
        <v>277</v>
      </c>
      <c r="H511" s="99" t="s">
        <v>13</v>
      </c>
      <c r="I511" s="99" t="s">
        <v>246</v>
      </c>
      <c r="J511" s="99"/>
      <c r="K511" s="101">
        <v>29.779999999999998</v>
      </c>
      <c r="L511" s="101">
        <f>K511*VLOOKUP(H511,dagsoorttabel1,2,FALSE)</f>
        <v>23.356862745098038</v>
      </c>
      <c r="M511" s="102">
        <f>prodnorm73</f>
        <v>0</v>
      </c>
      <c r="N511" s="37">
        <f>dagwerk73</f>
        <v>0</v>
      </c>
      <c r="O511" s="99" t="s">
        <v>108</v>
      </c>
      <c r="P511" s="24">
        <f>uurtarief73</f>
        <v>0</v>
      </c>
      <c r="Q511" s="101" t="e">
        <f>IF(ISBLANK(M511),0,L511/ROUND(M511,4))</f>
        <v>#DIV/0!</v>
      </c>
      <c r="R511" s="101" t="e">
        <f>IF(ISBLANK(M511),0,Q511*ROUND(N511,2))</f>
        <v>#DIV/0!</v>
      </c>
      <c r="S511" s="24" t="e">
        <f>ROUND(P511,2)*Q511</f>
        <v>#DIV/0!</v>
      </c>
      <c r="T511" s="101" t="e">
        <f>Q511*dagenperjaar1</f>
        <v>#DIV/0!</v>
      </c>
      <c r="U511" s="25" t="e">
        <f>T511*ROUND(P511,2)</f>
        <v>#DIV/0!</v>
      </c>
    </row>
    <row r="512" spans="1:21" x14ac:dyDescent="0.2">
      <c r="A512" s="98" t="s">
        <v>644</v>
      </c>
      <c r="B512" s="99" t="s">
        <v>50</v>
      </c>
      <c r="C512" s="99" t="s">
        <v>345</v>
      </c>
      <c r="D512" s="99" t="s">
        <v>353</v>
      </c>
      <c r="E512" s="100" t="s">
        <v>529</v>
      </c>
      <c r="F512" s="99" t="s">
        <v>348</v>
      </c>
      <c r="G512" s="99" t="s">
        <v>262</v>
      </c>
      <c r="H512" s="99" t="s">
        <v>13</v>
      </c>
      <c r="I512" s="99" t="s">
        <v>246</v>
      </c>
      <c r="J512" s="99"/>
      <c r="K512" s="101">
        <v>20.7</v>
      </c>
      <c r="L512" s="101">
        <f>K512*VLOOKUP(H512,dagsoorttabel1,2,FALSE)</f>
        <v>16.235294117647058</v>
      </c>
      <c r="M512" s="102">
        <f>prodnorm57</f>
        <v>0</v>
      </c>
      <c r="N512" s="37">
        <f>dagwerk57</f>
        <v>0</v>
      </c>
      <c r="O512" s="99" t="s">
        <v>108</v>
      </c>
      <c r="P512" s="24">
        <f>uurtarief57</f>
        <v>0</v>
      </c>
      <c r="Q512" s="101" t="e">
        <f>IF(ISBLANK(M512),0,L512/ROUND(M512,4))</f>
        <v>#DIV/0!</v>
      </c>
      <c r="R512" s="101" t="e">
        <f>IF(ISBLANK(M512),0,Q512*ROUND(N512,2))</f>
        <v>#DIV/0!</v>
      </c>
      <c r="S512" s="24" t="e">
        <f>ROUND(P512,2)*Q512</f>
        <v>#DIV/0!</v>
      </c>
      <c r="T512" s="101" t="e">
        <f>Q512*dagenperjaar1</f>
        <v>#DIV/0!</v>
      </c>
      <c r="U512" s="25" t="e">
        <f>T512*ROUND(P512,2)</f>
        <v>#DIV/0!</v>
      </c>
    </row>
    <row r="513" spans="1:21" x14ac:dyDescent="0.2">
      <c r="A513" s="98" t="s">
        <v>644</v>
      </c>
      <c r="B513" s="99" t="s">
        <v>50</v>
      </c>
      <c r="C513" s="99" t="s">
        <v>345</v>
      </c>
      <c r="D513" s="99" t="s">
        <v>355</v>
      </c>
      <c r="E513" s="100" t="s">
        <v>380</v>
      </c>
      <c r="F513" s="99" t="s">
        <v>348</v>
      </c>
      <c r="G513" s="99" t="s">
        <v>270</v>
      </c>
      <c r="H513" s="99" t="s">
        <v>13</v>
      </c>
      <c r="I513" s="99" t="s">
        <v>246</v>
      </c>
      <c r="J513" s="99"/>
      <c r="K513" s="101">
        <v>1.36</v>
      </c>
      <c r="L513" s="101">
        <f>K513*VLOOKUP(H513,dagsoorttabel1,2,FALSE)</f>
        <v>1.0666666666666667</v>
      </c>
      <c r="M513" s="102">
        <f>prodnorm64</f>
        <v>0</v>
      </c>
      <c r="N513" s="37">
        <f>dagwerk64</f>
        <v>0</v>
      </c>
      <c r="O513" s="99" t="s">
        <v>108</v>
      </c>
      <c r="P513" s="24">
        <f>uurtarief64</f>
        <v>0</v>
      </c>
      <c r="Q513" s="101" t="e">
        <f>IF(ISBLANK(M513),0,L513/ROUND(M513,4))</f>
        <v>#DIV/0!</v>
      </c>
      <c r="R513" s="101" t="e">
        <f>IF(ISBLANK(M513),0,Q513*ROUND(N513,2))</f>
        <v>#DIV/0!</v>
      </c>
      <c r="S513" s="24" t="e">
        <f>ROUND(P513,2)*Q513</f>
        <v>#DIV/0!</v>
      </c>
      <c r="T513" s="101" t="e">
        <f>Q513*dagenperjaar1</f>
        <v>#DIV/0!</v>
      </c>
      <c r="U513" s="25" t="e">
        <f>T513*ROUND(P513,2)</f>
        <v>#DIV/0!</v>
      </c>
    </row>
    <row r="514" spans="1:21" x14ac:dyDescent="0.2">
      <c r="A514" s="98" t="s">
        <v>644</v>
      </c>
      <c r="B514" s="99" t="s">
        <v>50</v>
      </c>
      <c r="C514" s="99" t="s">
        <v>345</v>
      </c>
      <c r="D514" s="99" t="s">
        <v>357</v>
      </c>
      <c r="E514" s="100" t="s">
        <v>410</v>
      </c>
      <c r="F514" s="99" t="s">
        <v>348</v>
      </c>
      <c r="G514" s="99" t="s">
        <v>251</v>
      </c>
      <c r="H514" s="99" t="s">
        <v>13</v>
      </c>
      <c r="I514" s="99" t="s">
        <v>246</v>
      </c>
      <c r="J514" s="99"/>
      <c r="K514" s="101">
        <v>13.3</v>
      </c>
      <c r="L514" s="101">
        <f>K514*VLOOKUP(H514,dagsoorttabel1,2,FALSE)</f>
        <v>10.431372549019608</v>
      </c>
      <c r="M514" s="102">
        <f>prodnorm39</f>
        <v>0</v>
      </c>
      <c r="N514" s="37">
        <f>dagwerk39</f>
        <v>0</v>
      </c>
      <c r="O514" s="99" t="s">
        <v>108</v>
      </c>
      <c r="P514" s="24">
        <f>uurtarief39</f>
        <v>0</v>
      </c>
      <c r="Q514" s="101" t="e">
        <f>IF(ISBLANK(M514),0,L514/ROUND(M514,4))</f>
        <v>#DIV/0!</v>
      </c>
      <c r="R514" s="101" t="e">
        <f>IF(ISBLANK(M514),0,Q514*ROUND(N514,2))</f>
        <v>#DIV/0!</v>
      </c>
      <c r="S514" s="24" t="e">
        <f>ROUND(P514,2)*Q514</f>
        <v>#DIV/0!</v>
      </c>
      <c r="T514" s="101" t="e">
        <f>Q514*dagenperjaar1</f>
        <v>#DIV/0!</v>
      </c>
      <c r="U514" s="25" t="e">
        <f>T514*ROUND(P514,2)</f>
        <v>#DIV/0!</v>
      </c>
    </row>
    <row r="515" spans="1:21" x14ac:dyDescent="0.2">
      <c r="A515" s="98" t="s">
        <v>644</v>
      </c>
      <c r="B515" s="99" t="s">
        <v>50</v>
      </c>
      <c r="C515" s="99" t="s">
        <v>345</v>
      </c>
      <c r="D515" s="99" t="s">
        <v>359</v>
      </c>
      <c r="E515" s="100" t="s">
        <v>578</v>
      </c>
      <c r="F515" s="99" t="s">
        <v>640</v>
      </c>
      <c r="G515" s="99" t="s">
        <v>259</v>
      </c>
      <c r="H515" s="99" t="s">
        <v>13</v>
      </c>
      <c r="I515" s="99" t="s">
        <v>246</v>
      </c>
      <c r="J515" s="99"/>
      <c r="K515" s="101">
        <v>252</v>
      </c>
      <c r="L515" s="101">
        <f>K515*VLOOKUP(H515,dagsoorttabel1,2,FALSE)</f>
        <v>197.64705882352942</v>
      </c>
      <c r="M515" s="102">
        <f>prodnorm51</f>
        <v>0</v>
      </c>
      <c r="N515" s="37">
        <f>dagwerk51</f>
        <v>0</v>
      </c>
      <c r="O515" s="99" t="s">
        <v>108</v>
      </c>
      <c r="P515" s="24">
        <f>uurtarief51</f>
        <v>0</v>
      </c>
      <c r="Q515" s="101" t="e">
        <f>IF(ISBLANK(M515),0,L515/ROUND(M515,4))</f>
        <v>#DIV/0!</v>
      </c>
      <c r="R515" s="101" t="e">
        <f>IF(ISBLANK(M515),0,Q515*ROUND(N515,2))</f>
        <v>#DIV/0!</v>
      </c>
      <c r="S515" s="24" t="e">
        <f>ROUND(P515,2)*Q515</f>
        <v>#DIV/0!</v>
      </c>
      <c r="T515" s="101" t="e">
        <f>Q515*dagenperjaar1</f>
        <v>#DIV/0!</v>
      </c>
      <c r="U515" s="25" t="e">
        <f>T515*ROUND(P515,2)</f>
        <v>#DIV/0!</v>
      </c>
    </row>
    <row r="516" spans="1:21" x14ac:dyDescent="0.2">
      <c r="A516" s="98" t="s">
        <v>644</v>
      </c>
      <c r="B516" s="99" t="s">
        <v>50</v>
      </c>
      <c r="C516" s="99" t="s">
        <v>345</v>
      </c>
      <c r="D516" s="99" t="s">
        <v>361</v>
      </c>
      <c r="E516" s="100" t="s">
        <v>579</v>
      </c>
      <c r="F516" s="99" t="s">
        <v>640</v>
      </c>
      <c r="G516" s="99" t="s">
        <v>259</v>
      </c>
      <c r="H516" s="99" t="s">
        <v>13</v>
      </c>
      <c r="I516" s="99" t="s">
        <v>246</v>
      </c>
      <c r="J516" s="99"/>
      <c r="K516" s="101">
        <v>22.7</v>
      </c>
      <c r="L516" s="101">
        <f>K516*VLOOKUP(H516,dagsoorttabel1,2,FALSE)</f>
        <v>17.803921568627452</v>
      </c>
      <c r="M516" s="102">
        <f>prodnorm51</f>
        <v>0</v>
      </c>
      <c r="N516" s="37">
        <f>dagwerk51</f>
        <v>0</v>
      </c>
      <c r="O516" s="99" t="s">
        <v>108</v>
      </c>
      <c r="P516" s="24">
        <f>uurtarief51</f>
        <v>0</v>
      </c>
      <c r="Q516" s="101" t="e">
        <f>IF(ISBLANK(M516),0,L516/ROUND(M516,4))</f>
        <v>#DIV/0!</v>
      </c>
      <c r="R516" s="101" t="e">
        <f>IF(ISBLANK(M516),0,Q516*ROUND(N516,2))</f>
        <v>#DIV/0!</v>
      </c>
      <c r="S516" s="24" t="e">
        <f>ROUND(P516,2)*Q516</f>
        <v>#DIV/0!</v>
      </c>
      <c r="T516" s="101" t="e">
        <f>Q516*dagenperjaar1</f>
        <v>#DIV/0!</v>
      </c>
      <c r="U516" s="25" t="e">
        <f>T516*ROUND(P516,2)</f>
        <v>#DIV/0!</v>
      </c>
    </row>
    <row r="517" spans="1:21" x14ac:dyDescent="0.2">
      <c r="A517" s="98" t="s">
        <v>644</v>
      </c>
      <c r="B517" s="99" t="s">
        <v>50</v>
      </c>
      <c r="C517" s="99" t="s">
        <v>345</v>
      </c>
      <c r="D517" s="99" t="s">
        <v>363</v>
      </c>
      <c r="E517" s="100" t="s">
        <v>529</v>
      </c>
      <c r="F517" s="99" t="s">
        <v>348</v>
      </c>
      <c r="G517" s="99" t="s">
        <v>262</v>
      </c>
      <c r="H517" s="99" t="s">
        <v>13</v>
      </c>
      <c r="I517" s="99" t="s">
        <v>246</v>
      </c>
      <c r="J517" s="99"/>
      <c r="K517" s="101">
        <v>20.7</v>
      </c>
      <c r="L517" s="101">
        <f>K517*VLOOKUP(H517,dagsoorttabel1,2,FALSE)</f>
        <v>16.235294117647058</v>
      </c>
      <c r="M517" s="102">
        <f>prodnorm57</f>
        <v>0</v>
      </c>
      <c r="N517" s="37">
        <f>dagwerk57</f>
        <v>0</v>
      </c>
      <c r="O517" s="99" t="s">
        <v>108</v>
      </c>
      <c r="P517" s="24">
        <f>uurtarief57</f>
        <v>0</v>
      </c>
      <c r="Q517" s="101" t="e">
        <f>IF(ISBLANK(M517),0,L517/ROUND(M517,4))</f>
        <v>#DIV/0!</v>
      </c>
      <c r="R517" s="101" t="e">
        <f>IF(ISBLANK(M517),0,Q517*ROUND(N517,2))</f>
        <v>#DIV/0!</v>
      </c>
      <c r="S517" s="24" t="e">
        <f>ROUND(P517,2)*Q517</f>
        <v>#DIV/0!</v>
      </c>
      <c r="T517" s="101" t="e">
        <f>Q517*dagenperjaar1</f>
        <v>#DIV/0!</v>
      </c>
      <c r="U517" s="25" t="e">
        <f>T517*ROUND(P517,2)</f>
        <v>#DIV/0!</v>
      </c>
    </row>
    <row r="518" spans="1:21" x14ac:dyDescent="0.2">
      <c r="A518" s="98" t="s">
        <v>644</v>
      </c>
      <c r="B518" s="99" t="s">
        <v>50</v>
      </c>
      <c r="C518" s="99" t="s">
        <v>345</v>
      </c>
      <c r="D518" s="99" t="s">
        <v>365</v>
      </c>
      <c r="E518" s="100" t="s">
        <v>380</v>
      </c>
      <c r="F518" s="99" t="s">
        <v>348</v>
      </c>
      <c r="G518" s="99" t="s">
        <v>270</v>
      </c>
      <c r="H518" s="99" t="s">
        <v>13</v>
      </c>
      <c r="I518" s="99" t="s">
        <v>246</v>
      </c>
      <c r="J518" s="99"/>
      <c r="K518" s="101">
        <v>1.36</v>
      </c>
      <c r="L518" s="101">
        <f>K518*VLOOKUP(H518,dagsoorttabel1,2,FALSE)</f>
        <v>1.0666666666666667</v>
      </c>
      <c r="M518" s="102">
        <f>prodnorm64</f>
        <v>0</v>
      </c>
      <c r="N518" s="37">
        <f>dagwerk64</f>
        <v>0</v>
      </c>
      <c r="O518" s="99" t="s">
        <v>108</v>
      </c>
      <c r="P518" s="24">
        <f>uurtarief64</f>
        <v>0</v>
      </c>
      <c r="Q518" s="101" t="e">
        <f>IF(ISBLANK(M518),0,L518/ROUND(M518,4))</f>
        <v>#DIV/0!</v>
      </c>
      <c r="R518" s="101" t="e">
        <f>IF(ISBLANK(M518),0,Q518*ROUND(N518,2))</f>
        <v>#DIV/0!</v>
      </c>
      <c r="S518" s="24" t="e">
        <f>ROUND(P518,2)*Q518</f>
        <v>#DIV/0!</v>
      </c>
      <c r="T518" s="101" t="e">
        <f>Q518*dagenperjaar1</f>
        <v>#DIV/0!</v>
      </c>
      <c r="U518" s="25" t="e">
        <f>T518*ROUND(P518,2)</f>
        <v>#DIV/0!</v>
      </c>
    </row>
    <row r="519" spans="1:21" x14ac:dyDescent="0.2">
      <c r="A519" s="98" t="s">
        <v>644</v>
      </c>
      <c r="B519" s="99" t="s">
        <v>50</v>
      </c>
      <c r="C519" s="99" t="s">
        <v>345</v>
      </c>
      <c r="D519" s="99" t="s">
        <v>367</v>
      </c>
      <c r="E519" s="100" t="s">
        <v>410</v>
      </c>
      <c r="F519" s="99" t="s">
        <v>348</v>
      </c>
      <c r="G519" s="99" t="s">
        <v>251</v>
      </c>
      <c r="H519" s="99" t="s">
        <v>13</v>
      </c>
      <c r="I519" s="99" t="s">
        <v>246</v>
      </c>
      <c r="J519" s="99"/>
      <c r="K519" s="101">
        <v>13.3</v>
      </c>
      <c r="L519" s="101">
        <f>K519*VLOOKUP(H519,dagsoorttabel1,2,FALSE)</f>
        <v>10.431372549019608</v>
      </c>
      <c r="M519" s="102">
        <f>prodnorm39</f>
        <v>0</v>
      </c>
      <c r="N519" s="37">
        <f>dagwerk39</f>
        <v>0</v>
      </c>
      <c r="O519" s="99" t="s">
        <v>108</v>
      </c>
      <c r="P519" s="24">
        <f>uurtarief39</f>
        <v>0</v>
      </c>
      <c r="Q519" s="101" t="e">
        <f>IF(ISBLANK(M519),0,L519/ROUND(M519,4))</f>
        <v>#DIV/0!</v>
      </c>
      <c r="R519" s="101" t="e">
        <f>IF(ISBLANK(M519),0,Q519*ROUND(N519,2))</f>
        <v>#DIV/0!</v>
      </c>
      <c r="S519" s="24" t="e">
        <f>ROUND(P519,2)*Q519</f>
        <v>#DIV/0!</v>
      </c>
      <c r="T519" s="101" t="e">
        <f>Q519*dagenperjaar1</f>
        <v>#DIV/0!</v>
      </c>
      <c r="U519" s="25" t="e">
        <f>T519*ROUND(P519,2)</f>
        <v>#DIV/0!</v>
      </c>
    </row>
    <row r="520" spans="1:21" x14ac:dyDescent="0.2">
      <c r="A520" s="98" t="s">
        <v>644</v>
      </c>
      <c r="B520" s="99" t="s">
        <v>50</v>
      </c>
      <c r="C520" s="99" t="s">
        <v>345</v>
      </c>
      <c r="D520" s="99" t="s">
        <v>369</v>
      </c>
      <c r="E520" s="100" t="s">
        <v>642</v>
      </c>
      <c r="F520" s="99" t="s">
        <v>348</v>
      </c>
      <c r="G520" s="99" t="s">
        <v>248</v>
      </c>
      <c r="H520" s="99" t="s">
        <v>13</v>
      </c>
      <c r="I520" s="99" t="s">
        <v>246</v>
      </c>
      <c r="J520" s="99"/>
      <c r="K520" s="101">
        <v>4.92</v>
      </c>
      <c r="L520" s="101">
        <f>K520*VLOOKUP(H520,dagsoorttabel1,2,FALSE)</f>
        <v>3.8588235294117648</v>
      </c>
      <c r="M520" s="102">
        <f>prodnorm35</f>
        <v>0</v>
      </c>
      <c r="N520" s="37">
        <f>dagwerk35</f>
        <v>0</v>
      </c>
      <c r="O520" s="99" t="s">
        <v>108</v>
      </c>
      <c r="P520" s="24">
        <f>uurtarief35</f>
        <v>0</v>
      </c>
      <c r="Q520" s="101" t="e">
        <f>IF(ISBLANK(M520),0,L520/ROUND(M520,4))</f>
        <v>#DIV/0!</v>
      </c>
      <c r="R520" s="101" t="e">
        <f>IF(ISBLANK(M520),0,Q520*ROUND(N520,2))</f>
        <v>#DIV/0!</v>
      </c>
      <c r="S520" s="24" t="e">
        <f>ROUND(P520,2)*Q520</f>
        <v>#DIV/0!</v>
      </c>
      <c r="T520" s="101" t="e">
        <f>Q520*dagenperjaar1</f>
        <v>#DIV/0!</v>
      </c>
      <c r="U520" s="25" t="e">
        <f>T520*ROUND(P520,2)</f>
        <v>#DIV/0!</v>
      </c>
    </row>
    <row r="521" spans="1:21" x14ac:dyDescent="0.2">
      <c r="A521" s="103" t="s">
        <v>644</v>
      </c>
      <c r="B521" s="104" t="s">
        <v>50</v>
      </c>
      <c r="C521" s="104" t="s">
        <v>345</v>
      </c>
      <c r="D521" s="104" t="s">
        <v>371</v>
      </c>
      <c r="E521" s="105" t="s">
        <v>380</v>
      </c>
      <c r="F521" s="104" t="s">
        <v>348</v>
      </c>
      <c r="G521" s="104" t="s">
        <v>270</v>
      </c>
      <c r="H521" s="104" t="s">
        <v>13</v>
      </c>
      <c r="I521" s="104" t="s">
        <v>246</v>
      </c>
      <c r="J521" s="104"/>
      <c r="K521" s="106">
        <v>1.36</v>
      </c>
      <c r="L521" s="106">
        <f>K521*VLOOKUP(H521,dagsoorttabel1,2,FALSE)</f>
        <v>1.0666666666666667</v>
      </c>
      <c r="M521" s="107">
        <f>prodnorm64</f>
        <v>0</v>
      </c>
      <c r="N521" s="108">
        <f>dagwerk64</f>
        <v>0</v>
      </c>
      <c r="O521" s="104" t="s">
        <v>108</v>
      </c>
      <c r="P521" s="34">
        <f>uurtarief64</f>
        <v>0</v>
      </c>
      <c r="Q521" s="106" t="e">
        <f>IF(ISBLANK(M521),0,L521/ROUND(M521,4))</f>
        <v>#DIV/0!</v>
      </c>
      <c r="R521" s="106" t="e">
        <f>IF(ISBLANK(M521),0,Q521*ROUND(N521,2))</f>
        <v>#DIV/0!</v>
      </c>
      <c r="S521" s="34" t="e">
        <f>ROUND(P521,2)*Q521</f>
        <v>#DIV/0!</v>
      </c>
      <c r="T521" s="106" t="e">
        <f>Q521*dagenperjaar1</f>
        <v>#DIV/0!</v>
      </c>
      <c r="U521" s="35" t="e">
        <f>T521*ROUND(P521,2)</f>
        <v>#DIV/0!</v>
      </c>
    </row>
    <row r="522" spans="1:21" x14ac:dyDescent="0.2">
      <c r="A522" s="109" t="s">
        <v>403</v>
      </c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81" t="e">
        <f>IF(_xlfn.SINGLE(object24_urenjaar1)&gt;0,_xlfn.SINGLE(object24_prijsjaar1)/_xlfn.SINGLE(object24_urenjaar1),0)</f>
        <v>#DIV/0!</v>
      </c>
      <c r="Q522" s="80" t="e">
        <f>SUM(Q509:Q521)</f>
        <v>#DIV/0!</v>
      </c>
      <c r="R522" s="80" t="e">
        <f>SUM(R509:R521)</f>
        <v>#DIV/0!</v>
      </c>
      <c r="S522" s="81" t="e">
        <f>SUM(S509:S521)</f>
        <v>#DIV/0!</v>
      </c>
      <c r="T522" s="80" t="e">
        <f>SUM(T509:T521)</f>
        <v>#DIV/0!</v>
      </c>
      <c r="U522" s="82" t="e">
        <f>SUM(U509:U521)</f>
        <v>#DIV/0!</v>
      </c>
    </row>
    <row r="523" spans="1:21" x14ac:dyDescent="0.2">
      <c r="A523" s="88" t="s">
        <v>646</v>
      </c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77"/>
    </row>
    <row r="524" spans="1:21" x14ac:dyDescent="0.2">
      <c r="A524" s="90" t="s">
        <v>647</v>
      </c>
      <c r="B524" s="91" t="s">
        <v>50</v>
      </c>
      <c r="C524" s="91" t="s">
        <v>345</v>
      </c>
      <c r="D524" s="91" t="s">
        <v>346</v>
      </c>
      <c r="E524" s="92" t="s">
        <v>636</v>
      </c>
      <c r="F524" s="91" t="s">
        <v>348</v>
      </c>
      <c r="G524" s="91" t="s">
        <v>266</v>
      </c>
      <c r="H524" s="91" t="s">
        <v>13</v>
      </c>
      <c r="I524" s="91" t="s">
        <v>246</v>
      </c>
      <c r="J524" s="91"/>
      <c r="K524" s="93">
        <v>10</v>
      </c>
      <c r="L524" s="93">
        <f>K524*VLOOKUP(H524,dagsoorttabel1,2,FALSE)</f>
        <v>7.8431372549019605</v>
      </c>
      <c r="M524" s="94">
        <f>prodnorm60</f>
        <v>0</v>
      </c>
      <c r="N524" s="95">
        <f>dagwerk60</f>
        <v>0</v>
      </c>
      <c r="O524" s="91" t="s">
        <v>108</v>
      </c>
      <c r="P524" s="96">
        <f>uurtarief60</f>
        <v>0</v>
      </c>
      <c r="Q524" s="93" t="e">
        <f>IF(ISBLANK(M524),0,L524/ROUND(M524,4))</f>
        <v>#DIV/0!</v>
      </c>
      <c r="R524" s="93" t="e">
        <f>IF(ISBLANK(M524),0,Q524*ROUND(N524,2))</f>
        <v>#DIV/0!</v>
      </c>
      <c r="S524" s="96" t="e">
        <f>ROUND(P524,2)*Q524</f>
        <v>#DIV/0!</v>
      </c>
      <c r="T524" s="93" t="e">
        <f>Q524*dagenperjaar1</f>
        <v>#DIV/0!</v>
      </c>
      <c r="U524" s="97" t="e">
        <f>T524*ROUND(P524,2)</f>
        <v>#DIV/0!</v>
      </c>
    </row>
    <row r="525" spans="1:21" x14ac:dyDescent="0.2">
      <c r="A525" s="98" t="s">
        <v>647</v>
      </c>
      <c r="B525" s="99" t="s">
        <v>50</v>
      </c>
      <c r="C525" s="99" t="s">
        <v>345</v>
      </c>
      <c r="D525" s="99" t="s">
        <v>349</v>
      </c>
      <c r="E525" s="100" t="s">
        <v>637</v>
      </c>
      <c r="F525" s="99" t="s">
        <v>348</v>
      </c>
      <c r="G525" s="99" t="s">
        <v>253</v>
      </c>
      <c r="H525" s="99" t="s">
        <v>13</v>
      </c>
      <c r="I525" s="99" t="s">
        <v>246</v>
      </c>
      <c r="J525" s="99"/>
      <c r="K525" s="101">
        <v>4.09</v>
      </c>
      <c r="L525" s="101">
        <f>K525*VLOOKUP(H525,dagsoorttabel1,2,FALSE)</f>
        <v>3.2078431372549017</v>
      </c>
      <c r="M525" s="102">
        <f>prodnorm42</f>
        <v>0</v>
      </c>
      <c r="N525" s="37">
        <f>dagwerk42</f>
        <v>0</v>
      </c>
      <c r="O525" s="99" t="s">
        <v>108</v>
      </c>
      <c r="P525" s="24">
        <f>uurtarief42</f>
        <v>0</v>
      </c>
      <c r="Q525" s="101" t="e">
        <f>IF(ISBLANK(M525),0,L525/ROUND(M525,4))</f>
        <v>#DIV/0!</v>
      </c>
      <c r="R525" s="101" t="e">
        <f>IF(ISBLANK(M525),0,Q525*ROUND(N525,2))</f>
        <v>#DIV/0!</v>
      </c>
      <c r="S525" s="24" t="e">
        <f>ROUND(P525,2)*Q525</f>
        <v>#DIV/0!</v>
      </c>
      <c r="T525" s="101" t="e">
        <f>Q525*dagenperjaar1</f>
        <v>#DIV/0!</v>
      </c>
      <c r="U525" s="25" t="e">
        <f>T525*ROUND(P525,2)</f>
        <v>#DIV/0!</v>
      </c>
    </row>
    <row r="526" spans="1:21" x14ac:dyDescent="0.2">
      <c r="A526" s="98" t="s">
        <v>647</v>
      </c>
      <c r="B526" s="99" t="s">
        <v>50</v>
      </c>
      <c r="C526" s="99" t="s">
        <v>345</v>
      </c>
      <c r="D526" s="99" t="s">
        <v>351</v>
      </c>
      <c r="E526" s="100" t="s">
        <v>415</v>
      </c>
      <c r="F526" s="99" t="s">
        <v>397</v>
      </c>
      <c r="G526" s="99" t="s">
        <v>277</v>
      </c>
      <c r="H526" s="99" t="s">
        <v>13</v>
      </c>
      <c r="I526" s="99" t="s">
        <v>246</v>
      </c>
      <c r="J526" s="99"/>
      <c r="K526" s="101">
        <v>29.47</v>
      </c>
      <c r="L526" s="101">
        <f>K526*VLOOKUP(H526,dagsoorttabel1,2,FALSE)</f>
        <v>23.113725490196078</v>
      </c>
      <c r="M526" s="102">
        <f>prodnorm73</f>
        <v>0</v>
      </c>
      <c r="N526" s="37">
        <f>dagwerk73</f>
        <v>0</v>
      </c>
      <c r="O526" s="99" t="s">
        <v>108</v>
      </c>
      <c r="P526" s="24">
        <f>uurtarief73</f>
        <v>0</v>
      </c>
      <c r="Q526" s="101" t="e">
        <f>IF(ISBLANK(M526),0,L526/ROUND(M526,4))</f>
        <v>#DIV/0!</v>
      </c>
      <c r="R526" s="101" t="e">
        <f>IF(ISBLANK(M526),0,Q526*ROUND(N526,2))</f>
        <v>#DIV/0!</v>
      </c>
      <c r="S526" s="24" t="e">
        <f>ROUND(P526,2)*Q526</f>
        <v>#DIV/0!</v>
      </c>
      <c r="T526" s="101" t="e">
        <f>Q526*dagenperjaar1</f>
        <v>#DIV/0!</v>
      </c>
      <c r="U526" s="25" t="e">
        <f>T526*ROUND(P526,2)</f>
        <v>#DIV/0!</v>
      </c>
    </row>
    <row r="527" spans="1:21" x14ac:dyDescent="0.2">
      <c r="A527" s="98" t="s">
        <v>647</v>
      </c>
      <c r="B527" s="99" t="s">
        <v>50</v>
      </c>
      <c r="C527" s="99" t="s">
        <v>345</v>
      </c>
      <c r="D527" s="99" t="s">
        <v>353</v>
      </c>
      <c r="E527" s="100" t="s">
        <v>642</v>
      </c>
      <c r="F527" s="99" t="s">
        <v>397</v>
      </c>
      <c r="G527" s="99" t="s">
        <v>248</v>
      </c>
      <c r="H527" s="99" t="s">
        <v>13</v>
      </c>
      <c r="I527" s="99" t="s">
        <v>246</v>
      </c>
      <c r="J527" s="99"/>
      <c r="K527" s="101">
        <v>4.75</v>
      </c>
      <c r="L527" s="101">
        <f>K527*VLOOKUP(H527,dagsoorttabel1,2,FALSE)</f>
        <v>3.7254901960784315</v>
      </c>
      <c r="M527" s="102">
        <f>prodnorm35</f>
        <v>0</v>
      </c>
      <c r="N527" s="37">
        <f>dagwerk35</f>
        <v>0</v>
      </c>
      <c r="O527" s="99" t="s">
        <v>108</v>
      </c>
      <c r="P527" s="24">
        <f>uurtarief35</f>
        <v>0</v>
      </c>
      <c r="Q527" s="101" t="e">
        <f>IF(ISBLANK(M527),0,L527/ROUND(M527,4))</f>
        <v>#DIV/0!</v>
      </c>
      <c r="R527" s="101" t="e">
        <f>IF(ISBLANK(M527),0,Q527*ROUND(N527,2))</f>
        <v>#DIV/0!</v>
      </c>
      <c r="S527" s="24" t="e">
        <f>ROUND(P527,2)*Q527</f>
        <v>#DIV/0!</v>
      </c>
      <c r="T527" s="101" t="e">
        <f>Q527*dagenperjaar1</f>
        <v>#DIV/0!</v>
      </c>
      <c r="U527" s="25" t="e">
        <f>T527*ROUND(P527,2)</f>
        <v>#DIV/0!</v>
      </c>
    </row>
    <row r="528" spans="1:21" x14ac:dyDescent="0.2">
      <c r="A528" s="98" t="s">
        <v>647</v>
      </c>
      <c r="B528" s="99" t="s">
        <v>50</v>
      </c>
      <c r="C528" s="99" t="s">
        <v>345</v>
      </c>
      <c r="D528" s="99" t="s">
        <v>355</v>
      </c>
      <c r="E528" s="100" t="s">
        <v>527</v>
      </c>
      <c r="F528" s="99" t="s">
        <v>348</v>
      </c>
      <c r="G528" s="99" t="s">
        <v>251</v>
      </c>
      <c r="H528" s="99" t="s">
        <v>13</v>
      </c>
      <c r="I528" s="99" t="s">
        <v>246</v>
      </c>
      <c r="J528" s="99"/>
      <c r="K528" s="101">
        <v>1.02</v>
      </c>
      <c r="L528" s="101">
        <f>K528*VLOOKUP(H528,dagsoorttabel1,2,FALSE)</f>
        <v>0.8</v>
      </c>
      <c r="M528" s="102">
        <f>prodnorm39</f>
        <v>0</v>
      </c>
      <c r="N528" s="37">
        <f>dagwerk39</f>
        <v>0</v>
      </c>
      <c r="O528" s="99" t="s">
        <v>108</v>
      </c>
      <c r="P528" s="24">
        <f>uurtarief39</f>
        <v>0</v>
      </c>
      <c r="Q528" s="101" t="e">
        <f>IF(ISBLANK(M528),0,L528/ROUND(M528,4))</f>
        <v>#DIV/0!</v>
      </c>
      <c r="R528" s="101" t="e">
        <f>IF(ISBLANK(M528),0,Q528*ROUND(N528,2))</f>
        <v>#DIV/0!</v>
      </c>
      <c r="S528" s="24" t="e">
        <f>ROUND(P528,2)*Q528</f>
        <v>#DIV/0!</v>
      </c>
      <c r="T528" s="101" t="e">
        <f>Q528*dagenperjaar1</f>
        <v>#DIV/0!</v>
      </c>
      <c r="U528" s="25" t="e">
        <f>T528*ROUND(P528,2)</f>
        <v>#DIV/0!</v>
      </c>
    </row>
    <row r="529" spans="1:21" x14ac:dyDescent="0.2">
      <c r="A529" s="98" t="s">
        <v>647</v>
      </c>
      <c r="B529" s="99" t="s">
        <v>50</v>
      </c>
      <c r="C529" s="99" t="s">
        <v>345</v>
      </c>
      <c r="D529" s="99" t="s">
        <v>357</v>
      </c>
      <c r="E529" s="100" t="s">
        <v>612</v>
      </c>
      <c r="F529" s="99" t="s">
        <v>348</v>
      </c>
      <c r="G529" s="99" t="s">
        <v>251</v>
      </c>
      <c r="H529" s="99" t="s">
        <v>13</v>
      </c>
      <c r="I529" s="99" t="s">
        <v>246</v>
      </c>
      <c r="J529" s="99"/>
      <c r="K529" s="101">
        <v>31.810000000000002</v>
      </c>
      <c r="L529" s="101">
        <f>K529*VLOOKUP(H529,dagsoorttabel1,2,FALSE)</f>
        <v>24.949019607843137</v>
      </c>
      <c r="M529" s="102">
        <f>prodnorm39</f>
        <v>0</v>
      </c>
      <c r="N529" s="37">
        <f>dagwerk39</f>
        <v>0</v>
      </c>
      <c r="O529" s="99" t="s">
        <v>108</v>
      </c>
      <c r="P529" s="24">
        <f>uurtarief39</f>
        <v>0</v>
      </c>
      <c r="Q529" s="101" t="e">
        <f>IF(ISBLANK(M529),0,L529/ROUND(M529,4))</f>
        <v>#DIV/0!</v>
      </c>
      <c r="R529" s="101" t="e">
        <f>IF(ISBLANK(M529),0,Q529*ROUND(N529,2))</f>
        <v>#DIV/0!</v>
      </c>
      <c r="S529" s="24" t="e">
        <f>ROUND(P529,2)*Q529</f>
        <v>#DIV/0!</v>
      </c>
      <c r="T529" s="101" t="e">
        <f>Q529*dagenperjaar1</f>
        <v>#DIV/0!</v>
      </c>
      <c r="U529" s="25" t="e">
        <f>T529*ROUND(P529,2)</f>
        <v>#DIV/0!</v>
      </c>
    </row>
    <row r="530" spans="1:21" x14ac:dyDescent="0.2">
      <c r="A530" s="98" t="s">
        <v>647</v>
      </c>
      <c r="B530" s="99" t="s">
        <v>50</v>
      </c>
      <c r="C530" s="99" t="s">
        <v>345</v>
      </c>
      <c r="D530" s="99" t="s">
        <v>359</v>
      </c>
      <c r="E530" s="100" t="s">
        <v>529</v>
      </c>
      <c r="F530" s="99" t="s">
        <v>397</v>
      </c>
      <c r="G530" s="99" t="s">
        <v>262</v>
      </c>
      <c r="H530" s="99" t="s">
        <v>13</v>
      </c>
      <c r="I530" s="99" t="s">
        <v>246</v>
      </c>
      <c r="J530" s="99"/>
      <c r="K530" s="101">
        <v>32.730000000000004</v>
      </c>
      <c r="L530" s="101">
        <f>K530*VLOOKUP(H530,dagsoorttabel1,2,FALSE)</f>
        <v>25.670588235294119</v>
      </c>
      <c r="M530" s="102">
        <f>prodnorm57</f>
        <v>0</v>
      </c>
      <c r="N530" s="37">
        <f>dagwerk57</f>
        <v>0</v>
      </c>
      <c r="O530" s="99" t="s">
        <v>108</v>
      </c>
      <c r="P530" s="24">
        <f>uurtarief57</f>
        <v>0</v>
      </c>
      <c r="Q530" s="101" t="e">
        <f>IF(ISBLANK(M530),0,L530/ROUND(M530,4))</f>
        <v>#DIV/0!</v>
      </c>
      <c r="R530" s="101" t="e">
        <f>IF(ISBLANK(M530),0,Q530*ROUND(N530,2))</f>
        <v>#DIV/0!</v>
      </c>
      <c r="S530" s="24" t="e">
        <f>ROUND(P530,2)*Q530</f>
        <v>#DIV/0!</v>
      </c>
      <c r="T530" s="101" t="e">
        <f>Q530*dagenperjaar1</f>
        <v>#DIV/0!</v>
      </c>
      <c r="U530" s="25" t="e">
        <f>T530*ROUND(P530,2)</f>
        <v>#DIV/0!</v>
      </c>
    </row>
    <row r="531" spans="1:21" x14ac:dyDescent="0.2">
      <c r="A531" s="98" t="s">
        <v>647</v>
      </c>
      <c r="B531" s="99" t="s">
        <v>50</v>
      </c>
      <c r="C531" s="99" t="s">
        <v>345</v>
      </c>
      <c r="D531" s="99" t="s">
        <v>361</v>
      </c>
      <c r="E531" s="100" t="s">
        <v>380</v>
      </c>
      <c r="F531" s="99" t="s">
        <v>348</v>
      </c>
      <c r="G531" s="99" t="s">
        <v>270</v>
      </c>
      <c r="H531" s="99" t="s">
        <v>13</v>
      </c>
      <c r="I531" s="99" t="s">
        <v>246</v>
      </c>
      <c r="J531" s="99"/>
      <c r="K531" s="101">
        <v>2.13</v>
      </c>
      <c r="L531" s="101">
        <f>K531*VLOOKUP(H531,dagsoorttabel1,2,FALSE)</f>
        <v>1.6705882352941175</v>
      </c>
      <c r="M531" s="102">
        <f>prodnorm64</f>
        <v>0</v>
      </c>
      <c r="N531" s="37">
        <f>dagwerk64</f>
        <v>0</v>
      </c>
      <c r="O531" s="99" t="s">
        <v>108</v>
      </c>
      <c r="P531" s="24">
        <f>uurtarief64</f>
        <v>0</v>
      </c>
      <c r="Q531" s="101" t="e">
        <f>IF(ISBLANK(M531),0,L531/ROUND(M531,4))</f>
        <v>#DIV/0!</v>
      </c>
      <c r="R531" s="101" t="e">
        <f>IF(ISBLANK(M531),0,Q531*ROUND(N531,2))</f>
        <v>#DIV/0!</v>
      </c>
      <c r="S531" s="24" t="e">
        <f>ROUND(P531,2)*Q531</f>
        <v>#DIV/0!</v>
      </c>
      <c r="T531" s="101" t="e">
        <f>Q531*dagenperjaar1</f>
        <v>#DIV/0!</v>
      </c>
      <c r="U531" s="25" t="e">
        <f>T531*ROUND(P531,2)</f>
        <v>#DIV/0!</v>
      </c>
    </row>
    <row r="532" spans="1:21" x14ac:dyDescent="0.2">
      <c r="A532" s="98" t="s">
        <v>647</v>
      </c>
      <c r="B532" s="99" t="s">
        <v>50</v>
      </c>
      <c r="C532" s="99" t="s">
        <v>345</v>
      </c>
      <c r="D532" s="99" t="s">
        <v>363</v>
      </c>
      <c r="E532" s="100" t="s">
        <v>579</v>
      </c>
      <c r="F532" s="99" t="s">
        <v>640</v>
      </c>
      <c r="G532" s="99" t="s">
        <v>259</v>
      </c>
      <c r="H532" s="99" t="s">
        <v>13</v>
      </c>
      <c r="I532" s="99" t="s">
        <v>246</v>
      </c>
      <c r="J532" s="99"/>
      <c r="K532" s="101">
        <v>33.449999999999996</v>
      </c>
      <c r="L532" s="101">
        <f>K532*VLOOKUP(H532,dagsoorttabel1,2,FALSE)</f>
        <v>26.235294117647054</v>
      </c>
      <c r="M532" s="102">
        <f>prodnorm51</f>
        <v>0</v>
      </c>
      <c r="N532" s="37">
        <f>dagwerk51</f>
        <v>0</v>
      </c>
      <c r="O532" s="99" t="s">
        <v>108</v>
      </c>
      <c r="P532" s="24">
        <f>uurtarief51</f>
        <v>0</v>
      </c>
      <c r="Q532" s="101" t="e">
        <f>IF(ISBLANK(M532),0,L532/ROUND(M532,4))</f>
        <v>#DIV/0!</v>
      </c>
      <c r="R532" s="101" t="e">
        <f>IF(ISBLANK(M532),0,Q532*ROUND(N532,2))</f>
        <v>#DIV/0!</v>
      </c>
      <c r="S532" s="24" t="e">
        <f>ROUND(P532,2)*Q532</f>
        <v>#DIV/0!</v>
      </c>
      <c r="T532" s="101" t="e">
        <f>Q532*dagenperjaar1</f>
        <v>#DIV/0!</v>
      </c>
      <c r="U532" s="25" t="e">
        <f>T532*ROUND(P532,2)</f>
        <v>#DIV/0!</v>
      </c>
    </row>
    <row r="533" spans="1:21" x14ac:dyDescent="0.2">
      <c r="A533" s="98" t="s">
        <v>647</v>
      </c>
      <c r="B533" s="99" t="s">
        <v>50</v>
      </c>
      <c r="C533" s="99" t="s">
        <v>345</v>
      </c>
      <c r="D533" s="99" t="s">
        <v>365</v>
      </c>
      <c r="E533" s="100" t="s">
        <v>578</v>
      </c>
      <c r="F533" s="99" t="s">
        <v>640</v>
      </c>
      <c r="G533" s="99" t="s">
        <v>259</v>
      </c>
      <c r="H533" s="99" t="s">
        <v>13</v>
      </c>
      <c r="I533" s="99" t="s">
        <v>246</v>
      </c>
      <c r="J533" s="99"/>
      <c r="K533" s="101">
        <v>252</v>
      </c>
      <c r="L533" s="101">
        <f>K533*VLOOKUP(H533,dagsoorttabel1,2,FALSE)</f>
        <v>197.64705882352942</v>
      </c>
      <c r="M533" s="102">
        <f>prodnorm51</f>
        <v>0</v>
      </c>
      <c r="N533" s="37">
        <f>dagwerk51</f>
        <v>0</v>
      </c>
      <c r="O533" s="99" t="s">
        <v>108</v>
      </c>
      <c r="P533" s="24">
        <f>uurtarief51</f>
        <v>0</v>
      </c>
      <c r="Q533" s="101" t="e">
        <f>IF(ISBLANK(M533),0,L533/ROUND(M533,4))</f>
        <v>#DIV/0!</v>
      </c>
      <c r="R533" s="101" t="e">
        <f>IF(ISBLANK(M533),0,Q533*ROUND(N533,2))</f>
        <v>#DIV/0!</v>
      </c>
      <c r="S533" s="24" t="e">
        <f>ROUND(P533,2)*Q533</f>
        <v>#DIV/0!</v>
      </c>
      <c r="T533" s="101" t="e">
        <f>Q533*dagenperjaar1</f>
        <v>#DIV/0!</v>
      </c>
      <c r="U533" s="25" t="e">
        <f>T533*ROUND(P533,2)</f>
        <v>#DIV/0!</v>
      </c>
    </row>
    <row r="534" spans="1:21" x14ac:dyDescent="0.2">
      <c r="A534" s="98" t="s">
        <v>647</v>
      </c>
      <c r="B534" s="99" t="s">
        <v>50</v>
      </c>
      <c r="C534" s="99" t="s">
        <v>345</v>
      </c>
      <c r="D534" s="99" t="s">
        <v>367</v>
      </c>
      <c r="E534" s="100" t="s">
        <v>529</v>
      </c>
      <c r="F534" s="99" t="s">
        <v>397</v>
      </c>
      <c r="G534" s="99" t="s">
        <v>262</v>
      </c>
      <c r="H534" s="99" t="s">
        <v>13</v>
      </c>
      <c r="I534" s="99" t="s">
        <v>246</v>
      </c>
      <c r="J534" s="99"/>
      <c r="K534" s="101">
        <v>35.07</v>
      </c>
      <c r="L534" s="101">
        <f>K534*VLOOKUP(H534,dagsoorttabel1,2,FALSE)</f>
        <v>27.505882352941175</v>
      </c>
      <c r="M534" s="102">
        <f>prodnorm57</f>
        <v>0</v>
      </c>
      <c r="N534" s="37">
        <f>dagwerk57</f>
        <v>0</v>
      </c>
      <c r="O534" s="99" t="s">
        <v>108</v>
      </c>
      <c r="P534" s="24">
        <f>uurtarief57</f>
        <v>0</v>
      </c>
      <c r="Q534" s="101" t="e">
        <f>IF(ISBLANK(M534),0,L534/ROUND(M534,4))</f>
        <v>#DIV/0!</v>
      </c>
      <c r="R534" s="101" t="e">
        <f>IF(ISBLANK(M534),0,Q534*ROUND(N534,2))</f>
        <v>#DIV/0!</v>
      </c>
      <c r="S534" s="24" t="e">
        <f>ROUND(P534,2)*Q534</f>
        <v>#DIV/0!</v>
      </c>
      <c r="T534" s="101" t="e">
        <f>Q534*dagenperjaar1</f>
        <v>#DIV/0!</v>
      </c>
      <c r="U534" s="25" t="e">
        <f>T534*ROUND(P534,2)</f>
        <v>#DIV/0!</v>
      </c>
    </row>
    <row r="535" spans="1:21" x14ac:dyDescent="0.2">
      <c r="A535" s="103" t="s">
        <v>647</v>
      </c>
      <c r="B535" s="104" t="s">
        <v>50</v>
      </c>
      <c r="C535" s="104" t="s">
        <v>345</v>
      </c>
      <c r="D535" s="104" t="s">
        <v>369</v>
      </c>
      <c r="E535" s="105" t="s">
        <v>380</v>
      </c>
      <c r="F535" s="104" t="s">
        <v>348</v>
      </c>
      <c r="G535" s="104" t="s">
        <v>270</v>
      </c>
      <c r="H535" s="104" t="s">
        <v>13</v>
      </c>
      <c r="I535" s="104" t="s">
        <v>246</v>
      </c>
      <c r="J535" s="104"/>
      <c r="K535" s="106">
        <v>1.23</v>
      </c>
      <c r="L535" s="106">
        <f>K535*VLOOKUP(H535,dagsoorttabel1,2,FALSE)</f>
        <v>0.96470588235294119</v>
      </c>
      <c r="M535" s="107">
        <f>prodnorm64</f>
        <v>0</v>
      </c>
      <c r="N535" s="108">
        <f>dagwerk64</f>
        <v>0</v>
      </c>
      <c r="O535" s="104" t="s">
        <v>108</v>
      </c>
      <c r="P535" s="34">
        <f>uurtarief64</f>
        <v>0</v>
      </c>
      <c r="Q535" s="106" t="e">
        <f>IF(ISBLANK(M535),0,L535/ROUND(M535,4))</f>
        <v>#DIV/0!</v>
      </c>
      <c r="R535" s="106" t="e">
        <f>IF(ISBLANK(M535),0,Q535*ROUND(N535,2))</f>
        <v>#DIV/0!</v>
      </c>
      <c r="S535" s="34" t="e">
        <f>ROUND(P535,2)*Q535</f>
        <v>#DIV/0!</v>
      </c>
      <c r="T535" s="106" t="e">
        <f>Q535*dagenperjaar1</f>
        <v>#DIV/0!</v>
      </c>
      <c r="U535" s="35" t="e">
        <f>T535*ROUND(P535,2)</f>
        <v>#DIV/0!</v>
      </c>
    </row>
    <row r="536" spans="1:21" x14ac:dyDescent="0.2">
      <c r="A536" s="109" t="s">
        <v>403</v>
      </c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81" t="e">
        <f>IF(_xlfn.SINGLE(object25_urenjaar1)&gt;0,_xlfn.SINGLE(object25_prijsjaar1)/_xlfn.SINGLE(object25_urenjaar1),0)</f>
        <v>#DIV/0!</v>
      </c>
      <c r="Q536" s="80" t="e">
        <f>SUM(Q524:Q535)</f>
        <v>#DIV/0!</v>
      </c>
      <c r="R536" s="80" t="e">
        <f>SUM(R524:R535)</f>
        <v>#DIV/0!</v>
      </c>
      <c r="S536" s="81" t="e">
        <f>SUM(S524:S535)</f>
        <v>#DIV/0!</v>
      </c>
      <c r="T536" s="80" t="e">
        <f>SUM(T524:T535)</f>
        <v>#DIV/0!</v>
      </c>
      <c r="U536" s="82" t="e">
        <f>SUM(U524:U535)</f>
        <v>#DIV/0!</v>
      </c>
    </row>
    <row r="537" spans="1:21" x14ac:dyDescent="0.2">
      <c r="A537" s="88" t="s">
        <v>648</v>
      </c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77"/>
    </row>
    <row r="538" spans="1:21" x14ac:dyDescent="0.2">
      <c r="A538" s="90" t="s">
        <v>649</v>
      </c>
      <c r="B538" s="91" t="s">
        <v>50</v>
      </c>
      <c r="C538" s="91" t="s">
        <v>345</v>
      </c>
      <c r="D538" s="91" t="s">
        <v>346</v>
      </c>
      <c r="E538" s="92" t="s">
        <v>380</v>
      </c>
      <c r="F538" s="91" t="s">
        <v>348</v>
      </c>
      <c r="G538" s="91" t="s">
        <v>270</v>
      </c>
      <c r="H538" s="91" t="s">
        <v>13</v>
      </c>
      <c r="I538" s="91" t="s">
        <v>246</v>
      </c>
      <c r="J538" s="91"/>
      <c r="K538" s="93">
        <v>0.98</v>
      </c>
      <c r="L538" s="93">
        <f>K538*VLOOKUP(H538,dagsoorttabel1,2,FALSE)</f>
        <v>0.76862745098039209</v>
      </c>
      <c r="M538" s="94">
        <f>prodnorm64</f>
        <v>0</v>
      </c>
      <c r="N538" s="95">
        <f>dagwerk64</f>
        <v>0</v>
      </c>
      <c r="O538" s="91" t="s">
        <v>108</v>
      </c>
      <c r="P538" s="96">
        <f>uurtarief64</f>
        <v>0</v>
      </c>
      <c r="Q538" s="93" t="e">
        <f>IF(ISBLANK(M538),0,L538/ROUND(M538,4))</f>
        <v>#DIV/0!</v>
      </c>
      <c r="R538" s="93" t="e">
        <f>IF(ISBLANK(M538),0,Q538*ROUND(N538,2))</f>
        <v>#DIV/0!</v>
      </c>
      <c r="S538" s="96" t="e">
        <f>ROUND(P538,2)*Q538</f>
        <v>#DIV/0!</v>
      </c>
      <c r="T538" s="93" t="e">
        <f>Q538*dagenperjaar1</f>
        <v>#DIV/0!</v>
      </c>
      <c r="U538" s="97" t="e">
        <f>T538*ROUND(P538,2)</f>
        <v>#DIV/0!</v>
      </c>
    </row>
    <row r="539" spans="1:21" x14ac:dyDescent="0.2">
      <c r="A539" s="98" t="s">
        <v>649</v>
      </c>
      <c r="B539" s="99" t="s">
        <v>50</v>
      </c>
      <c r="C539" s="99" t="s">
        <v>345</v>
      </c>
      <c r="D539" s="99" t="s">
        <v>349</v>
      </c>
      <c r="E539" s="100" t="s">
        <v>612</v>
      </c>
      <c r="F539" s="99" t="s">
        <v>348</v>
      </c>
      <c r="G539" s="99" t="s">
        <v>251</v>
      </c>
      <c r="H539" s="99" t="s">
        <v>13</v>
      </c>
      <c r="I539" s="99" t="s">
        <v>246</v>
      </c>
      <c r="J539" s="99"/>
      <c r="K539" s="101">
        <v>24.7</v>
      </c>
      <c r="L539" s="101">
        <f>K539*VLOOKUP(H539,dagsoorttabel1,2,FALSE)</f>
        <v>19.372549019607842</v>
      </c>
      <c r="M539" s="102">
        <f>prodnorm39</f>
        <v>0</v>
      </c>
      <c r="N539" s="37">
        <f>dagwerk39</f>
        <v>0</v>
      </c>
      <c r="O539" s="99" t="s">
        <v>108</v>
      </c>
      <c r="P539" s="24">
        <f>uurtarief39</f>
        <v>0</v>
      </c>
      <c r="Q539" s="101" t="e">
        <f>IF(ISBLANK(M539),0,L539/ROUND(M539,4))</f>
        <v>#DIV/0!</v>
      </c>
      <c r="R539" s="101" t="e">
        <f>IF(ISBLANK(M539),0,Q539*ROUND(N539,2))</f>
        <v>#DIV/0!</v>
      </c>
      <c r="S539" s="24" t="e">
        <f>ROUND(P539,2)*Q539</f>
        <v>#DIV/0!</v>
      </c>
      <c r="T539" s="101" t="e">
        <f>Q539*dagenperjaar1</f>
        <v>#DIV/0!</v>
      </c>
      <c r="U539" s="25" t="e">
        <f>T539*ROUND(P539,2)</f>
        <v>#DIV/0!</v>
      </c>
    </row>
    <row r="540" spans="1:21" x14ac:dyDescent="0.2">
      <c r="A540" s="98" t="s">
        <v>649</v>
      </c>
      <c r="B540" s="99" t="s">
        <v>50</v>
      </c>
      <c r="C540" s="99" t="s">
        <v>345</v>
      </c>
      <c r="D540" s="99" t="s">
        <v>351</v>
      </c>
      <c r="E540" s="100" t="s">
        <v>380</v>
      </c>
      <c r="F540" s="99" t="s">
        <v>348</v>
      </c>
      <c r="G540" s="99" t="s">
        <v>270</v>
      </c>
      <c r="H540" s="99" t="s">
        <v>13</v>
      </c>
      <c r="I540" s="99" t="s">
        <v>246</v>
      </c>
      <c r="J540" s="99"/>
      <c r="K540" s="101">
        <v>0.98</v>
      </c>
      <c r="L540" s="101">
        <f>K540*VLOOKUP(H540,dagsoorttabel1,2,FALSE)</f>
        <v>0.76862745098039209</v>
      </c>
      <c r="M540" s="102">
        <f>prodnorm64</f>
        <v>0</v>
      </c>
      <c r="N540" s="37">
        <f>dagwerk64</f>
        <v>0</v>
      </c>
      <c r="O540" s="99" t="s">
        <v>108</v>
      </c>
      <c r="P540" s="24">
        <f>uurtarief64</f>
        <v>0</v>
      </c>
      <c r="Q540" s="101" t="e">
        <f>IF(ISBLANK(M540),0,L540/ROUND(M540,4))</f>
        <v>#DIV/0!</v>
      </c>
      <c r="R540" s="101" t="e">
        <f>IF(ISBLANK(M540),0,Q540*ROUND(N540,2))</f>
        <v>#DIV/0!</v>
      </c>
      <c r="S540" s="24" t="e">
        <f>ROUND(P540,2)*Q540</f>
        <v>#DIV/0!</v>
      </c>
      <c r="T540" s="101" t="e">
        <f>Q540*dagenperjaar1</f>
        <v>#DIV/0!</v>
      </c>
      <c r="U540" s="25" t="e">
        <f>T540*ROUND(P540,2)</f>
        <v>#DIV/0!</v>
      </c>
    </row>
    <row r="541" spans="1:21" x14ac:dyDescent="0.2">
      <c r="A541" s="98" t="s">
        <v>649</v>
      </c>
      <c r="B541" s="99" t="s">
        <v>50</v>
      </c>
      <c r="C541" s="99" t="s">
        <v>345</v>
      </c>
      <c r="D541" s="99" t="s">
        <v>353</v>
      </c>
      <c r="E541" s="100" t="s">
        <v>612</v>
      </c>
      <c r="F541" s="99" t="s">
        <v>348</v>
      </c>
      <c r="G541" s="99" t="s">
        <v>251</v>
      </c>
      <c r="H541" s="99" t="s">
        <v>13</v>
      </c>
      <c r="I541" s="99" t="s">
        <v>246</v>
      </c>
      <c r="J541" s="99"/>
      <c r="K541" s="101">
        <v>1.6600000000000001</v>
      </c>
      <c r="L541" s="101">
        <f>K541*VLOOKUP(H541,dagsoorttabel1,2,FALSE)</f>
        <v>1.3019607843137255</v>
      </c>
      <c r="M541" s="102">
        <f>prodnorm39</f>
        <v>0</v>
      </c>
      <c r="N541" s="37">
        <f>dagwerk39</f>
        <v>0</v>
      </c>
      <c r="O541" s="99" t="s">
        <v>108</v>
      </c>
      <c r="P541" s="24">
        <f>uurtarief39</f>
        <v>0</v>
      </c>
      <c r="Q541" s="101" t="e">
        <f>IF(ISBLANK(M541),0,L541/ROUND(M541,4))</f>
        <v>#DIV/0!</v>
      </c>
      <c r="R541" s="101" t="e">
        <f>IF(ISBLANK(M541),0,Q541*ROUND(N541,2))</f>
        <v>#DIV/0!</v>
      </c>
      <c r="S541" s="24" t="e">
        <f>ROUND(P541,2)*Q541</f>
        <v>#DIV/0!</v>
      </c>
      <c r="T541" s="101" t="e">
        <f>Q541*dagenperjaar1</f>
        <v>#DIV/0!</v>
      </c>
      <c r="U541" s="25" t="e">
        <f>T541*ROUND(P541,2)</f>
        <v>#DIV/0!</v>
      </c>
    </row>
    <row r="542" spans="1:21" x14ac:dyDescent="0.2">
      <c r="A542" s="98" t="s">
        <v>649</v>
      </c>
      <c r="B542" s="99" t="s">
        <v>50</v>
      </c>
      <c r="C542" s="99" t="s">
        <v>345</v>
      </c>
      <c r="D542" s="99" t="s">
        <v>355</v>
      </c>
      <c r="E542" s="100" t="s">
        <v>636</v>
      </c>
      <c r="F542" s="99" t="s">
        <v>348</v>
      </c>
      <c r="G542" s="99" t="s">
        <v>266</v>
      </c>
      <c r="H542" s="99" t="s">
        <v>13</v>
      </c>
      <c r="I542" s="99" t="s">
        <v>246</v>
      </c>
      <c r="J542" s="99"/>
      <c r="K542" s="101">
        <v>10</v>
      </c>
      <c r="L542" s="101">
        <f>K542*VLOOKUP(H542,dagsoorttabel1,2,FALSE)</f>
        <v>7.8431372549019605</v>
      </c>
      <c r="M542" s="102">
        <f>prodnorm60</f>
        <v>0</v>
      </c>
      <c r="N542" s="37">
        <f>dagwerk60</f>
        <v>0</v>
      </c>
      <c r="O542" s="99" t="s">
        <v>108</v>
      </c>
      <c r="P542" s="24">
        <f>uurtarief60</f>
        <v>0</v>
      </c>
      <c r="Q542" s="101" t="e">
        <f>IF(ISBLANK(M542),0,L542/ROUND(M542,4))</f>
        <v>#DIV/0!</v>
      </c>
      <c r="R542" s="101" t="e">
        <f>IF(ISBLANK(M542),0,Q542*ROUND(N542,2))</f>
        <v>#DIV/0!</v>
      </c>
      <c r="S542" s="24" t="e">
        <f>ROUND(P542,2)*Q542</f>
        <v>#DIV/0!</v>
      </c>
      <c r="T542" s="101" t="e">
        <f>Q542*dagenperjaar1</f>
        <v>#DIV/0!</v>
      </c>
      <c r="U542" s="25" t="e">
        <f>T542*ROUND(P542,2)</f>
        <v>#DIV/0!</v>
      </c>
    </row>
    <row r="543" spans="1:21" x14ac:dyDescent="0.2">
      <c r="A543" s="98" t="s">
        <v>649</v>
      </c>
      <c r="B543" s="99" t="s">
        <v>50</v>
      </c>
      <c r="C543" s="99" t="s">
        <v>345</v>
      </c>
      <c r="D543" s="99" t="s">
        <v>357</v>
      </c>
      <c r="E543" s="100" t="s">
        <v>637</v>
      </c>
      <c r="F543" s="99" t="s">
        <v>348</v>
      </c>
      <c r="G543" s="99" t="s">
        <v>253</v>
      </c>
      <c r="H543" s="99" t="s">
        <v>13</v>
      </c>
      <c r="I543" s="99" t="s">
        <v>246</v>
      </c>
      <c r="J543" s="99"/>
      <c r="K543" s="101">
        <v>19.14</v>
      </c>
      <c r="L543" s="101">
        <f>K543*VLOOKUP(H543,dagsoorttabel1,2,FALSE)</f>
        <v>15.011764705882353</v>
      </c>
      <c r="M543" s="102">
        <f>prodnorm42</f>
        <v>0</v>
      </c>
      <c r="N543" s="37">
        <f>dagwerk42</f>
        <v>0</v>
      </c>
      <c r="O543" s="99" t="s">
        <v>108</v>
      </c>
      <c r="P543" s="24">
        <f>uurtarief42</f>
        <v>0</v>
      </c>
      <c r="Q543" s="101" t="e">
        <f>IF(ISBLANK(M543),0,L543/ROUND(M543,4))</f>
        <v>#DIV/0!</v>
      </c>
      <c r="R543" s="101" t="e">
        <f>IF(ISBLANK(M543),0,Q543*ROUND(N543,2))</f>
        <v>#DIV/0!</v>
      </c>
      <c r="S543" s="24" t="e">
        <f>ROUND(P543,2)*Q543</f>
        <v>#DIV/0!</v>
      </c>
      <c r="T543" s="101" t="e">
        <f>Q543*dagenperjaar1</f>
        <v>#DIV/0!</v>
      </c>
      <c r="U543" s="25" t="e">
        <f>T543*ROUND(P543,2)</f>
        <v>#DIV/0!</v>
      </c>
    </row>
    <row r="544" spans="1:21" x14ac:dyDescent="0.2">
      <c r="A544" s="98" t="s">
        <v>649</v>
      </c>
      <c r="B544" s="99" t="s">
        <v>50</v>
      </c>
      <c r="C544" s="99" t="s">
        <v>345</v>
      </c>
      <c r="D544" s="99" t="s">
        <v>359</v>
      </c>
      <c r="E544" s="100" t="s">
        <v>529</v>
      </c>
      <c r="F544" s="99" t="s">
        <v>348</v>
      </c>
      <c r="G544" s="99" t="s">
        <v>262</v>
      </c>
      <c r="H544" s="99" t="s">
        <v>13</v>
      </c>
      <c r="I544" s="99" t="s">
        <v>246</v>
      </c>
      <c r="J544" s="99"/>
      <c r="K544" s="101">
        <v>31.54</v>
      </c>
      <c r="L544" s="101">
        <f>K544*VLOOKUP(H544,dagsoorttabel1,2,FALSE)</f>
        <v>24.737254901960782</v>
      </c>
      <c r="M544" s="102">
        <f>prodnorm57</f>
        <v>0</v>
      </c>
      <c r="N544" s="37">
        <f>dagwerk57</f>
        <v>0</v>
      </c>
      <c r="O544" s="99" t="s">
        <v>108</v>
      </c>
      <c r="P544" s="24">
        <f>uurtarief57</f>
        <v>0</v>
      </c>
      <c r="Q544" s="101" t="e">
        <f>IF(ISBLANK(M544),0,L544/ROUND(M544,4))</f>
        <v>#DIV/0!</v>
      </c>
      <c r="R544" s="101" t="e">
        <f>IF(ISBLANK(M544),0,Q544*ROUND(N544,2))</f>
        <v>#DIV/0!</v>
      </c>
      <c r="S544" s="24" t="e">
        <f>ROUND(P544,2)*Q544</f>
        <v>#DIV/0!</v>
      </c>
      <c r="T544" s="101" t="e">
        <f>Q544*dagenperjaar1</f>
        <v>#DIV/0!</v>
      </c>
      <c r="U544" s="25" t="e">
        <f>T544*ROUND(P544,2)</f>
        <v>#DIV/0!</v>
      </c>
    </row>
    <row r="545" spans="1:21" x14ac:dyDescent="0.2">
      <c r="A545" s="98" t="s">
        <v>649</v>
      </c>
      <c r="B545" s="99" t="s">
        <v>50</v>
      </c>
      <c r="C545" s="99" t="s">
        <v>345</v>
      </c>
      <c r="D545" s="99" t="s">
        <v>361</v>
      </c>
      <c r="E545" s="100" t="s">
        <v>578</v>
      </c>
      <c r="F545" s="99" t="s">
        <v>599</v>
      </c>
      <c r="G545" s="99" t="s">
        <v>259</v>
      </c>
      <c r="H545" s="99" t="s">
        <v>13</v>
      </c>
      <c r="I545" s="99" t="s">
        <v>246</v>
      </c>
      <c r="J545" s="99"/>
      <c r="K545" s="101">
        <v>200</v>
      </c>
      <c r="L545" s="101">
        <f>K545*VLOOKUP(H545,dagsoorttabel1,2,FALSE)</f>
        <v>156.86274509803923</v>
      </c>
      <c r="M545" s="102">
        <f>prodnorm51</f>
        <v>0</v>
      </c>
      <c r="N545" s="37">
        <f>dagwerk51</f>
        <v>0</v>
      </c>
      <c r="O545" s="99" t="s">
        <v>108</v>
      </c>
      <c r="P545" s="24">
        <f>uurtarief51</f>
        <v>0</v>
      </c>
      <c r="Q545" s="101" t="e">
        <f>IF(ISBLANK(M545),0,L545/ROUND(M545,4))</f>
        <v>#DIV/0!</v>
      </c>
      <c r="R545" s="101" t="e">
        <f>IF(ISBLANK(M545),0,Q545*ROUND(N545,2))</f>
        <v>#DIV/0!</v>
      </c>
      <c r="S545" s="24" t="e">
        <f>ROUND(P545,2)*Q545</f>
        <v>#DIV/0!</v>
      </c>
      <c r="T545" s="101" t="e">
        <f>Q545*dagenperjaar1</f>
        <v>#DIV/0!</v>
      </c>
      <c r="U545" s="25" t="e">
        <f>T545*ROUND(P545,2)</f>
        <v>#DIV/0!</v>
      </c>
    </row>
    <row r="546" spans="1:21" x14ac:dyDescent="0.2">
      <c r="A546" s="98" t="s">
        <v>649</v>
      </c>
      <c r="B546" s="99" t="s">
        <v>50</v>
      </c>
      <c r="C546" s="99" t="s">
        <v>345</v>
      </c>
      <c r="D546" s="99" t="s">
        <v>363</v>
      </c>
      <c r="E546" s="100" t="s">
        <v>579</v>
      </c>
      <c r="F546" s="99" t="s">
        <v>599</v>
      </c>
      <c r="G546" s="99" t="s">
        <v>259</v>
      </c>
      <c r="H546" s="99" t="s">
        <v>13</v>
      </c>
      <c r="I546" s="99" t="s">
        <v>246</v>
      </c>
      <c r="J546" s="99"/>
      <c r="K546" s="101">
        <v>38.409999999999997</v>
      </c>
      <c r="L546" s="101">
        <f>K546*VLOOKUP(H546,dagsoorttabel1,2,FALSE)</f>
        <v>30.125490196078427</v>
      </c>
      <c r="M546" s="102">
        <f>prodnorm51</f>
        <v>0</v>
      </c>
      <c r="N546" s="37">
        <f>dagwerk51</f>
        <v>0</v>
      </c>
      <c r="O546" s="99" t="s">
        <v>108</v>
      </c>
      <c r="P546" s="24">
        <f>uurtarief51</f>
        <v>0</v>
      </c>
      <c r="Q546" s="101" t="e">
        <f>IF(ISBLANK(M546),0,L546/ROUND(M546,4))</f>
        <v>#DIV/0!</v>
      </c>
      <c r="R546" s="101" t="e">
        <f>IF(ISBLANK(M546),0,Q546*ROUND(N546,2))</f>
        <v>#DIV/0!</v>
      </c>
      <c r="S546" s="24" t="e">
        <f>ROUND(P546,2)*Q546</f>
        <v>#DIV/0!</v>
      </c>
      <c r="T546" s="101" t="e">
        <f>Q546*dagenperjaar1</f>
        <v>#DIV/0!</v>
      </c>
      <c r="U546" s="25" t="e">
        <f>T546*ROUND(P546,2)</f>
        <v>#DIV/0!</v>
      </c>
    </row>
    <row r="547" spans="1:21" x14ac:dyDescent="0.2">
      <c r="A547" s="98" t="s">
        <v>649</v>
      </c>
      <c r="B547" s="99" t="s">
        <v>50</v>
      </c>
      <c r="C547" s="99" t="s">
        <v>345</v>
      </c>
      <c r="D547" s="99" t="s">
        <v>365</v>
      </c>
      <c r="E547" s="100" t="s">
        <v>529</v>
      </c>
      <c r="F547" s="99" t="s">
        <v>348</v>
      </c>
      <c r="G547" s="99" t="s">
        <v>262</v>
      </c>
      <c r="H547" s="99" t="s">
        <v>13</v>
      </c>
      <c r="I547" s="99" t="s">
        <v>246</v>
      </c>
      <c r="J547" s="99"/>
      <c r="K547" s="101">
        <v>31.54</v>
      </c>
      <c r="L547" s="101">
        <f>K547*VLOOKUP(H547,dagsoorttabel1,2,FALSE)</f>
        <v>24.737254901960782</v>
      </c>
      <c r="M547" s="102">
        <f>prodnorm57</f>
        <v>0</v>
      </c>
      <c r="N547" s="37">
        <f>dagwerk57</f>
        <v>0</v>
      </c>
      <c r="O547" s="99" t="s">
        <v>108</v>
      </c>
      <c r="P547" s="24">
        <f>uurtarief57</f>
        <v>0</v>
      </c>
      <c r="Q547" s="101" t="e">
        <f>IF(ISBLANK(M547),0,L547/ROUND(M547,4))</f>
        <v>#DIV/0!</v>
      </c>
      <c r="R547" s="101" t="e">
        <f>IF(ISBLANK(M547),0,Q547*ROUND(N547,2))</f>
        <v>#DIV/0!</v>
      </c>
      <c r="S547" s="24" t="e">
        <f>ROUND(P547,2)*Q547</f>
        <v>#DIV/0!</v>
      </c>
      <c r="T547" s="101" t="e">
        <f>Q547*dagenperjaar1</f>
        <v>#DIV/0!</v>
      </c>
      <c r="U547" s="25" t="e">
        <f>T547*ROUND(P547,2)</f>
        <v>#DIV/0!</v>
      </c>
    </row>
    <row r="548" spans="1:21" x14ac:dyDescent="0.2">
      <c r="A548" s="103" t="s">
        <v>649</v>
      </c>
      <c r="B548" s="104" t="s">
        <v>50</v>
      </c>
      <c r="C548" s="104" t="s">
        <v>345</v>
      </c>
      <c r="D548" s="104" t="s">
        <v>367</v>
      </c>
      <c r="E548" s="105" t="s">
        <v>642</v>
      </c>
      <c r="F548" s="104" t="s">
        <v>348</v>
      </c>
      <c r="G548" s="104" t="s">
        <v>248</v>
      </c>
      <c r="H548" s="104" t="s">
        <v>13</v>
      </c>
      <c r="I548" s="104" t="s">
        <v>246</v>
      </c>
      <c r="J548" s="104"/>
      <c r="K548" s="106">
        <v>3.32</v>
      </c>
      <c r="L548" s="106">
        <f>K548*VLOOKUP(H548,dagsoorttabel1,2,FALSE)</f>
        <v>2.6039215686274506</v>
      </c>
      <c r="M548" s="107">
        <f>prodnorm35</f>
        <v>0</v>
      </c>
      <c r="N548" s="108">
        <f>dagwerk35</f>
        <v>0</v>
      </c>
      <c r="O548" s="104" t="s">
        <v>108</v>
      </c>
      <c r="P548" s="34">
        <f>uurtarief35</f>
        <v>0</v>
      </c>
      <c r="Q548" s="106" t="e">
        <f>IF(ISBLANK(M548),0,L548/ROUND(M548,4))</f>
        <v>#DIV/0!</v>
      </c>
      <c r="R548" s="106" t="e">
        <f>IF(ISBLANK(M548),0,Q548*ROUND(N548,2))</f>
        <v>#DIV/0!</v>
      </c>
      <c r="S548" s="34" t="e">
        <f>ROUND(P548,2)*Q548</f>
        <v>#DIV/0!</v>
      </c>
      <c r="T548" s="106" t="e">
        <f>Q548*dagenperjaar1</f>
        <v>#DIV/0!</v>
      </c>
      <c r="U548" s="35" t="e">
        <f>T548*ROUND(P548,2)</f>
        <v>#DIV/0!</v>
      </c>
    </row>
    <row r="549" spans="1:21" x14ac:dyDescent="0.2">
      <c r="A549" s="109" t="s">
        <v>403</v>
      </c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81" t="e">
        <f>IF(_xlfn.SINGLE(object26_urenjaar1)&gt;0,_xlfn.SINGLE(object26_prijsjaar1)/_xlfn.SINGLE(object26_urenjaar1),0)</f>
        <v>#DIV/0!</v>
      </c>
      <c r="Q549" s="80" t="e">
        <f>SUM(Q538:Q548)</f>
        <v>#DIV/0!</v>
      </c>
      <c r="R549" s="80" t="e">
        <f>SUM(R538:R548)</f>
        <v>#DIV/0!</v>
      </c>
      <c r="S549" s="81" t="e">
        <f>SUM(S538:S548)</f>
        <v>#DIV/0!</v>
      </c>
      <c r="T549" s="80" t="e">
        <f>SUM(T538:T548)</f>
        <v>#DIV/0!</v>
      </c>
      <c r="U549" s="82" t="e">
        <f>SUM(U538:U548)</f>
        <v>#DIV/0!</v>
      </c>
    </row>
    <row r="550" spans="1:21" x14ac:dyDescent="0.2">
      <c r="A550" s="88" t="s">
        <v>650</v>
      </c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77"/>
    </row>
    <row r="551" spans="1:21" x14ac:dyDescent="0.2">
      <c r="A551" s="90" t="s">
        <v>651</v>
      </c>
      <c r="B551" s="91" t="s">
        <v>50</v>
      </c>
      <c r="C551" s="91" t="s">
        <v>345</v>
      </c>
      <c r="D551" s="91" t="s">
        <v>346</v>
      </c>
      <c r="E551" s="92" t="s">
        <v>636</v>
      </c>
      <c r="F551" s="91" t="s">
        <v>348</v>
      </c>
      <c r="G551" s="91" t="s">
        <v>266</v>
      </c>
      <c r="H551" s="91" t="s">
        <v>13</v>
      </c>
      <c r="I551" s="91" t="s">
        <v>246</v>
      </c>
      <c r="J551" s="91"/>
      <c r="K551" s="93">
        <v>10</v>
      </c>
      <c r="L551" s="93">
        <f>K551*VLOOKUP(H551,dagsoorttabel1,2,FALSE)</f>
        <v>7.8431372549019605</v>
      </c>
      <c r="M551" s="94">
        <f>prodnorm60</f>
        <v>0</v>
      </c>
      <c r="N551" s="95">
        <f>dagwerk60</f>
        <v>0</v>
      </c>
      <c r="O551" s="91" t="s">
        <v>108</v>
      </c>
      <c r="P551" s="96">
        <f>uurtarief60</f>
        <v>0</v>
      </c>
      <c r="Q551" s="93" t="e">
        <f>IF(ISBLANK(M551),0,L551/ROUND(M551,4))</f>
        <v>#DIV/0!</v>
      </c>
      <c r="R551" s="93" t="e">
        <f>IF(ISBLANK(M551),0,Q551*ROUND(N551,2))</f>
        <v>#DIV/0!</v>
      </c>
      <c r="S551" s="96" t="e">
        <f>ROUND(P551,2)*Q551</f>
        <v>#DIV/0!</v>
      </c>
      <c r="T551" s="93" t="e">
        <f>Q551*dagenperjaar1</f>
        <v>#DIV/0!</v>
      </c>
      <c r="U551" s="97" t="e">
        <f>T551*ROUND(P551,2)</f>
        <v>#DIV/0!</v>
      </c>
    </row>
    <row r="552" spans="1:21" x14ac:dyDescent="0.2">
      <c r="A552" s="98" t="s">
        <v>651</v>
      </c>
      <c r="B552" s="99" t="s">
        <v>50</v>
      </c>
      <c r="C552" s="99" t="s">
        <v>345</v>
      </c>
      <c r="D552" s="99" t="s">
        <v>349</v>
      </c>
      <c r="E552" s="100" t="s">
        <v>637</v>
      </c>
      <c r="F552" s="99" t="s">
        <v>397</v>
      </c>
      <c r="G552" s="99" t="s">
        <v>253</v>
      </c>
      <c r="H552" s="99" t="s">
        <v>13</v>
      </c>
      <c r="I552" s="99" t="s">
        <v>246</v>
      </c>
      <c r="J552" s="99"/>
      <c r="K552" s="101">
        <v>5.3199999999999994</v>
      </c>
      <c r="L552" s="101">
        <f>K552*VLOOKUP(H552,dagsoorttabel1,2,FALSE)</f>
        <v>4.1725490196078425</v>
      </c>
      <c r="M552" s="102">
        <f>prodnorm42</f>
        <v>0</v>
      </c>
      <c r="N552" s="37">
        <f>dagwerk42</f>
        <v>0</v>
      </c>
      <c r="O552" s="99" t="s">
        <v>108</v>
      </c>
      <c r="P552" s="24">
        <f>uurtarief42</f>
        <v>0</v>
      </c>
      <c r="Q552" s="101" t="e">
        <f>IF(ISBLANK(M552),0,L552/ROUND(M552,4))</f>
        <v>#DIV/0!</v>
      </c>
      <c r="R552" s="101" t="e">
        <f>IF(ISBLANK(M552),0,Q552*ROUND(N552,2))</f>
        <v>#DIV/0!</v>
      </c>
      <c r="S552" s="24" t="e">
        <f>ROUND(P552,2)*Q552</f>
        <v>#DIV/0!</v>
      </c>
      <c r="T552" s="101" t="e">
        <f>Q552*dagenperjaar1</f>
        <v>#DIV/0!</v>
      </c>
      <c r="U552" s="25" t="e">
        <f>T552*ROUND(P552,2)</f>
        <v>#DIV/0!</v>
      </c>
    </row>
    <row r="553" spans="1:21" x14ac:dyDescent="0.2">
      <c r="A553" s="98" t="s">
        <v>651</v>
      </c>
      <c r="B553" s="99" t="s">
        <v>50</v>
      </c>
      <c r="C553" s="99" t="s">
        <v>345</v>
      </c>
      <c r="D553" s="99" t="s">
        <v>351</v>
      </c>
      <c r="E553" s="100" t="s">
        <v>415</v>
      </c>
      <c r="F553" s="99" t="s">
        <v>397</v>
      </c>
      <c r="G553" s="99" t="s">
        <v>277</v>
      </c>
      <c r="H553" s="99" t="s">
        <v>13</v>
      </c>
      <c r="I553" s="99" t="s">
        <v>246</v>
      </c>
      <c r="J553" s="99"/>
      <c r="K553" s="101">
        <v>38.299999999999997</v>
      </c>
      <c r="L553" s="101">
        <f>K553*VLOOKUP(H553,dagsoorttabel1,2,FALSE)</f>
        <v>30.039215686274506</v>
      </c>
      <c r="M553" s="102">
        <f>prodnorm73</f>
        <v>0</v>
      </c>
      <c r="N553" s="37">
        <f>dagwerk73</f>
        <v>0</v>
      </c>
      <c r="O553" s="99" t="s">
        <v>108</v>
      </c>
      <c r="P553" s="24">
        <f>uurtarief73</f>
        <v>0</v>
      </c>
      <c r="Q553" s="101" t="e">
        <f>IF(ISBLANK(M553),0,L553/ROUND(M553,4))</f>
        <v>#DIV/0!</v>
      </c>
      <c r="R553" s="101" t="e">
        <f>IF(ISBLANK(M553),0,Q553*ROUND(N553,2))</f>
        <v>#DIV/0!</v>
      </c>
      <c r="S553" s="24" t="e">
        <f>ROUND(P553,2)*Q553</f>
        <v>#DIV/0!</v>
      </c>
      <c r="T553" s="101" t="e">
        <f>Q553*dagenperjaar1</f>
        <v>#DIV/0!</v>
      </c>
      <c r="U553" s="25" t="e">
        <f>T553*ROUND(P553,2)</f>
        <v>#DIV/0!</v>
      </c>
    </row>
    <row r="554" spans="1:21" x14ac:dyDescent="0.2">
      <c r="A554" s="98" t="s">
        <v>651</v>
      </c>
      <c r="B554" s="99" t="s">
        <v>50</v>
      </c>
      <c r="C554" s="99" t="s">
        <v>345</v>
      </c>
      <c r="D554" s="99" t="s">
        <v>353</v>
      </c>
      <c r="E554" s="100" t="s">
        <v>529</v>
      </c>
      <c r="F554" s="99" t="s">
        <v>348</v>
      </c>
      <c r="G554" s="99" t="s">
        <v>262</v>
      </c>
      <c r="H554" s="99" t="s">
        <v>13</v>
      </c>
      <c r="I554" s="99" t="s">
        <v>246</v>
      </c>
      <c r="J554" s="99"/>
      <c r="K554" s="101">
        <v>14.860000000000001</v>
      </c>
      <c r="L554" s="101">
        <f>K554*VLOOKUP(H554,dagsoorttabel1,2,FALSE)</f>
        <v>11.654901960784315</v>
      </c>
      <c r="M554" s="102">
        <f>prodnorm57</f>
        <v>0</v>
      </c>
      <c r="N554" s="37">
        <f>dagwerk57</f>
        <v>0</v>
      </c>
      <c r="O554" s="99" t="s">
        <v>108</v>
      </c>
      <c r="P554" s="24">
        <f>uurtarief57</f>
        <v>0</v>
      </c>
      <c r="Q554" s="101" t="e">
        <f>IF(ISBLANK(M554),0,L554/ROUND(M554,4))</f>
        <v>#DIV/0!</v>
      </c>
      <c r="R554" s="101" t="e">
        <f>IF(ISBLANK(M554),0,Q554*ROUND(N554,2))</f>
        <v>#DIV/0!</v>
      </c>
      <c r="S554" s="24" t="e">
        <f>ROUND(P554,2)*Q554</f>
        <v>#DIV/0!</v>
      </c>
      <c r="T554" s="101" t="e">
        <f>Q554*dagenperjaar1</f>
        <v>#DIV/0!</v>
      </c>
      <c r="U554" s="25" t="e">
        <f>T554*ROUND(P554,2)</f>
        <v>#DIV/0!</v>
      </c>
    </row>
    <row r="555" spans="1:21" x14ac:dyDescent="0.2">
      <c r="A555" s="98" t="s">
        <v>651</v>
      </c>
      <c r="B555" s="99" t="s">
        <v>50</v>
      </c>
      <c r="C555" s="99" t="s">
        <v>345</v>
      </c>
      <c r="D555" s="99" t="s">
        <v>355</v>
      </c>
      <c r="E555" s="100" t="s">
        <v>580</v>
      </c>
      <c r="F555" s="99" t="s">
        <v>348</v>
      </c>
      <c r="G555" s="99" t="s">
        <v>251</v>
      </c>
      <c r="H555" s="99" t="s">
        <v>13</v>
      </c>
      <c r="I555" s="99" t="s">
        <v>246</v>
      </c>
      <c r="J555" s="99"/>
      <c r="K555" s="101">
        <v>13.04</v>
      </c>
      <c r="L555" s="101">
        <f>K555*VLOOKUP(H555,dagsoorttabel1,2,FALSE)</f>
        <v>10.227450980392156</v>
      </c>
      <c r="M555" s="102">
        <f>prodnorm39</f>
        <v>0</v>
      </c>
      <c r="N555" s="37">
        <f>dagwerk39</f>
        <v>0</v>
      </c>
      <c r="O555" s="99" t="s">
        <v>108</v>
      </c>
      <c r="P555" s="24">
        <f>uurtarief39</f>
        <v>0</v>
      </c>
      <c r="Q555" s="101" t="e">
        <f>IF(ISBLANK(M555),0,L555/ROUND(M555,4))</f>
        <v>#DIV/0!</v>
      </c>
      <c r="R555" s="101" t="e">
        <f>IF(ISBLANK(M555),0,Q555*ROUND(N555,2))</f>
        <v>#DIV/0!</v>
      </c>
      <c r="S555" s="24" t="e">
        <f>ROUND(P555,2)*Q555</f>
        <v>#DIV/0!</v>
      </c>
      <c r="T555" s="101" t="e">
        <f>Q555*dagenperjaar1</f>
        <v>#DIV/0!</v>
      </c>
      <c r="U555" s="25" t="e">
        <f>T555*ROUND(P555,2)</f>
        <v>#DIV/0!</v>
      </c>
    </row>
    <row r="556" spans="1:21" x14ac:dyDescent="0.2">
      <c r="A556" s="98" t="s">
        <v>651</v>
      </c>
      <c r="B556" s="99" t="s">
        <v>50</v>
      </c>
      <c r="C556" s="99" t="s">
        <v>345</v>
      </c>
      <c r="D556" s="99" t="s">
        <v>357</v>
      </c>
      <c r="E556" s="100" t="s">
        <v>380</v>
      </c>
      <c r="F556" s="99" t="s">
        <v>348</v>
      </c>
      <c r="G556" s="99" t="s">
        <v>270</v>
      </c>
      <c r="H556" s="99" t="s">
        <v>13</v>
      </c>
      <c r="I556" s="99" t="s">
        <v>246</v>
      </c>
      <c r="J556" s="99"/>
      <c r="K556" s="101">
        <v>1.41</v>
      </c>
      <c r="L556" s="101">
        <f>K556*VLOOKUP(H556,dagsoorttabel1,2,FALSE)</f>
        <v>1.1058823529411763</v>
      </c>
      <c r="M556" s="102">
        <f>prodnorm64</f>
        <v>0</v>
      </c>
      <c r="N556" s="37">
        <f>dagwerk64</f>
        <v>0</v>
      </c>
      <c r="O556" s="99" t="s">
        <v>108</v>
      </c>
      <c r="P556" s="24">
        <f>uurtarief64</f>
        <v>0</v>
      </c>
      <c r="Q556" s="101" t="e">
        <f>IF(ISBLANK(M556),0,L556/ROUND(M556,4))</f>
        <v>#DIV/0!</v>
      </c>
      <c r="R556" s="101" t="e">
        <f>IF(ISBLANK(M556),0,Q556*ROUND(N556,2))</f>
        <v>#DIV/0!</v>
      </c>
      <c r="S556" s="24" t="e">
        <f>ROUND(P556,2)*Q556</f>
        <v>#DIV/0!</v>
      </c>
      <c r="T556" s="101" t="e">
        <f>Q556*dagenperjaar1</f>
        <v>#DIV/0!</v>
      </c>
      <c r="U556" s="25" t="e">
        <f>T556*ROUND(P556,2)</f>
        <v>#DIV/0!</v>
      </c>
    </row>
    <row r="557" spans="1:21" x14ac:dyDescent="0.2">
      <c r="A557" s="98" t="s">
        <v>651</v>
      </c>
      <c r="B557" s="99" t="s">
        <v>50</v>
      </c>
      <c r="C557" s="99" t="s">
        <v>345</v>
      </c>
      <c r="D557" s="99" t="s">
        <v>359</v>
      </c>
      <c r="E557" s="100" t="s">
        <v>642</v>
      </c>
      <c r="F557" s="99" t="s">
        <v>348</v>
      </c>
      <c r="G557" s="99" t="s">
        <v>248</v>
      </c>
      <c r="H557" s="99" t="s">
        <v>13</v>
      </c>
      <c r="I557" s="99" t="s">
        <v>246</v>
      </c>
      <c r="J557" s="99"/>
      <c r="K557" s="101">
        <v>4.25</v>
      </c>
      <c r="L557" s="101">
        <f>K557*VLOOKUP(H557,dagsoorttabel1,2,FALSE)</f>
        <v>3.3333333333333335</v>
      </c>
      <c r="M557" s="102">
        <f>prodnorm35</f>
        <v>0</v>
      </c>
      <c r="N557" s="37">
        <f>dagwerk35</f>
        <v>0</v>
      </c>
      <c r="O557" s="99" t="s">
        <v>108</v>
      </c>
      <c r="P557" s="24">
        <f>uurtarief35</f>
        <v>0</v>
      </c>
      <c r="Q557" s="101" t="e">
        <f>IF(ISBLANK(M557),0,L557/ROUND(M557,4))</f>
        <v>#DIV/0!</v>
      </c>
      <c r="R557" s="101" t="e">
        <f>IF(ISBLANK(M557),0,Q557*ROUND(N557,2))</f>
        <v>#DIV/0!</v>
      </c>
      <c r="S557" s="24" t="e">
        <f>ROUND(P557,2)*Q557</f>
        <v>#DIV/0!</v>
      </c>
      <c r="T557" s="101" t="e">
        <f>Q557*dagenperjaar1</f>
        <v>#DIV/0!</v>
      </c>
      <c r="U557" s="25" t="e">
        <f>T557*ROUND(P557,2)</f>
        <v>#DIV/0!</v>
      </c>
    </row>
    <row r="558" spans="1:21" x14ac:dyDescent="0.2">
      <c r="A558" s="98" t="s">
        <v>651</v>
      </c>
      <c r="B558" s="99" t="s">
        <v>50</v>
      </c>
      <c r="C558" s="99" t="s">
        <v>345</v>
      </c>
      <c r="D558" s="99" t="s">
        <v>361</v>
      </c>
      <c r="E558" s="100" t="s">
        <v>652</v>
      </c>
      <c r="F558" s="99" t="s">
        <v>348</v>
      </c>
      <c r="G558" s="99" t="s">
        <v>270</v>
      </c>
      <c r="H558" s="99" t="s">
        <v>13</v>
      </c>
      <c r="I558" s="99" t="s">
        <v>246</v>
      </c>
      <c r="J558" s="99"/>
      <c r="K558" s="101">
        <v>4.25</v>
      </c>
      <c r="L558" s="101">
        <f>K558*VLOOKUP(H558,dagsoorttabel1,2,FALSE)</f>
        <v>3.3333333333333335</v>
      </c>
      <c r="M558" s="102">
        <f>prodnorm64</f>
        <v>0</v>
      </c>
      <c r="N558" s="37">
        <f>dagwerk64</f>
        <v>0</v>
      </c>
      <c r="O558" s="99" t="s">
        <v>108</v>
      </c>
      <c r="P558" s="24">
        <f>uurtarief64</f>
        <v>0</v>
      </c>
      <c r="Q558" s="101" t="e">
        <f>IF(ISBLANK(M558),0,L558/ROUND(M558,4))</f>
        <v>#DIV/0!</v>
      </c>
      <c r="R558" s="101" t="e">
        <f>IF(ISBLANK(M558),0,Q558*ROUND(N558,2))</f>
        <v>#DIV/0!</v>
      </c>
      <c r="S558" s="24" t="e">
        <f>ROUND(P558,2)*Q558</f>
        <v>#DIV/0!</v>
      </c>
      <c r="T558" s="101" t="e">
        <f>Q558*dagenperjaar1</f>
        <v>#DIV/0!</v>
      </c>
      <c r="U558" s="25" t="e">
        <f>T558*ROUND(P558,2)</f>
        <v>#DIV/0!</v>
      </c>
    </row>
    <row r="559" spans="1:21" x14ac:dyDescent="0.2">
      <c r="A559" s="98" t="s">
        <v>651</v>
      </c>
      <c r="B559" s="99" t="s">
        <v>50</v>
      </c>
      <c r="C559" s="99" t="s">
        <v>345</v>
      </c>
      <c r="D559" s="99" t="s">
        <v>363</v>
      </c>
      <c r="E559" s="100" t="s">
        <v>529</v>
      </c>
      <c r="F559" s="99" t="s">
        <v>348</v>
      </c>
      <c r="G559" s="99" t="s">
        <v>262</v>
      </c>
      <c r="H559" s="99" t="s">
        <v>13</v>
      </c>
      <c r="I559" s="99" t="s">
        <v>246</v>
      </c>
      <c r="J559" s="99"/>
      <c r="K559" s="101">
        <v>14.860000000000001</v>
      </c>
      <c r="L559" s="101">
        <f>K559*VLOOKUP(H559,dagsoorttabel1,2,FALSE)</f>
        <v>11.654901960784315</v>
      </c>
      <c r="M559" s="102">
        <f>prodnorm57</f>
        <v>0</v>
      </c>
      <c r="N559" s="37">
        <f>dagwerk57</f>
        <v>0</v>
      </c>
      <c r="O559" s="99" t="s">
        <v>108</v>
      </c>
      <c r="P559" s="24">
        <f>uurtarief57</f>
        <v>0</v>
      </c>
      <c r="Q559" s="101" t="e">
        <f>IF(ISBLANK(M559),0,L559/ROUND(M559,4))</f>
        <v>#DIV/0!</v>
      </c>
      <c r="R559" s="101" t="e">
        <f>IF(ISBLANK(M559),0,Q559*ROUND(N559,2))</f>
        <v>#DIV/0!</v>
      </c>
      <c r="S559" s="24" t="e">
        <f>ROUND(P559,2)*Q559</f>
        <v>#DIV/0!</v>
      </c>
      <c r="T559" s="101" t="e">
        <f>Q559*dagenperjaar1</f>
        <v>#DIV/0!</v>
      </c>
      <c r="U559" s="25" t="e">
        <f>T559*ROUND(P559,2)</f>
        <v>#DIV/0!</v>
      </c>
    </row>
    <row r="560" spans="1:21" x14ac:dyDescent="0.2">
      <c r="A560" s="98" t="s">
        <v>651</v>
      </c>
      <c r="B560" s="99" t="s">
        <v>50</v>
      </c>
      <c r="C560" s="99" t="s">
        <v>345</v>
      </c>
      <c r="D560" s="99" t="s">
        <v>365</v>
      </c>
      <c r="E560" s="100" t="s">
        <v>580</v>
      </c>
      <c r="F560" s="99" t="s">
        <v>348</v>
      </c>
      <c r="G560" s="99" t="s">
        <v>251</v>
      </c>
      <c r="H560" s="99" t="s">
        <v>13</v>
      </c>
      <c r="I560" s="99" t="s">
        <v>246</v>
      </c>
      <c r="J560" s="99"/>
      <c r="K560" s="101">
        <v>13.04</v>
      </c>
      <c r="L560" s="101">
        <f>K560*VLOOKUP(H560,dagsoorttabel1,2,FALSE)</f>
        <v>10.227450980392156</v>
      </c>
      <c r="M560" s="102">
        <f>prodnorm39</f>
        <v>0</v>
      </c>
      <c r="N560" s="37">
        <f>dagwerk39</f>
        <v>0</v>
      </c>
      <c r="O560" s="99" t="s">
        <v>108</v>
      </c>
      <c r="P560" s="24">
        <f>uurtarief39</f>
        <v>0</v>
      </c>
      <c r="Q560" s="101" t="e">
        <f>IF(ISBLANK(M560),0,L560/ROUND(M560,4))</f>
        <v>#DIV/0!</v>
      </c>
      <c r="R560" s="101" t="e">
        <f>IF(ISBLANK(M560),0,Q560*ROUND(N560,2))</f>
        <v>#DIV/0!</v>
      </c>
      <c r="S560" s="24" t="e">
        <f>ROUND(P560,2)*Q560</f>
        <v>#DIV/0!</v>
      </c>
      <c r="T560" s="101" t="e">
        <f>Q560*dagenperjaar1</f>
        <v>#DIV/0!</v>
      </c>
      <c r="U560" s="25" t="e">
        <f>T560*ROUND(P560,2)</f>
        <v>#DIV/0!</v>
      </c>
    </row>
    <row r="561" spans="1:21" x14ac:dyDescent="0.2">
      <c r="A561" s="98" t="s">
        <v>651</v>
      </c>
      <c r="B561" s="99" t="s">
        <v>50</v>
      </c>
      <c r="C561" s="99" t="s">
        <v>345</v>
      </c>
      <c r="D561" s="99" t="s">
        <v>367</v>
      </c>
      <c r="E561" s="100" t="s">
        <v>380</v>
      </c>
      <c r="F561" s="99" t="s">
        <v>348</v>
      </c>
      <c r="G561" s="99" t="s">
        <v>270</v>
      </c>
      <c r="H561" s="99" t="s">
        <v>13</v>
      </c>
      <c r="I561" s="99" t="s">
        <v>246</v>
      </c>
      <c r="J561" s="99"/>
      <c r="K561" s="101">
        <v>1.41</v>
      </c>
      <c r="L561" s="101">
        <f>K561*VLOOKUP(H561,dagsoorttabel1,2,FALSE)</f>
        <v>1.1058823529411763</v>
      </c>
      <c r="M561" s="102">
        <f>prodnorm64</f>
        <v>0</v>
      </c>
      <c r="N561" s="37">
        <f>dagwerk64</f>
        <v>0</v>
      </c>
      <c r="O561" s="99" t="s">
        <v>108</v>
      </c>
      <c r="P561" s="24">
        <f>uurtarief64</f>
        <v>0</v>
      </c>
      <c r="Q561" s="101" t="e">
        <f>IF(ISBLANK(M561),0,L561/ROUND(M561,4))</f>
        <v>#DIV/0!</v>
      </c>
      <c r="R561" s="101" t="e">
        <f>IF(ISBLANK(M561),0,Q561*ROUND(N561,2))</f>
        <v>#DIV/0!</v>
      </c>
      <c r="S561" s="24" t="e">
        <f>ROUND(P561,2)*Q561</f>
        <v>#DIV/0!</v>
      </c>
      <c r="T561" s="101" t="e">
        <f>Q561*dagenperjaar1</f>
        <v>#DIV/0!</v>
      </c>
      <c r="U561" s="25" t="e">
        <f>T561*ROUND(P561,2)</f>
        <v>#DIV/0!</v>
      </c>
    </row>
    <row r="562" spans="1:21" x14ac:dyDescent="0.2">
      <c r="A562" s="98" t="s">
        <v>651</v>
      </c>
      <c r="B562" s="99" t="s">
        <v>50</v>
      </c>
      <c r="C562" s="99" t="s">
        <v>345</v>
      </c>
      <c r="D562" s="99" t="s">
        <v>369</v>
      </c>
      <c r="E562" s="100" t="s">
        <v>578</v>
      </c>
      <c r="F562" s="99" t="s">
        <v>640</v>
      </c>
      <c r="G562" s="99" t="s">
        <v>259</v>
      </c>
      <c r="H562" s="99" t="s">
        <v>13</v>
      </c>
      <c r="I562" s="99" t="s">
        <v>246</v>
      </c>
      <c r="J562" s="99"/>
      <c r="K562" s="101">
        <v>252</v>
      </c>
      <c r="L562" s="101">
        <f>K562*VLOOKUP(H562,dagsoorttabel1,2,FALSE)</f>
        <v>197.64705882352942</v>
      </c>
      <c r="M562" s="102">
        <f>prodnorm51</f>
        <v>0</v>
      </c>
      <c r="N562" s="37">
        <f>dagwerk51</f>
        <v>0</v>
      </c>
      <c r="O562" s="99" t="s">
        <v>108</v>
      </c>
      <c r="P562" s="24">
        <f>uurtarief51</f>
        <v>0</v>
      </c>
      <c r="Q562" s="101" t="e">
        <f>IF(ISBLANK(M562),0,L562/ROUND(M562,4))</f>
        <v>#DIV/0!</v>
      </c>
      <c r="R562" s="101" t="e">
        <f>IF(ISBLANK(M562),0,Q562*ROUND(N562,2))</f>
        <v>#DIV/0!</v>
      </c>
      <c r="S562" s="24" t="e">
        <f>ROUND(P562,2)*Q562</f>
        <v>#DIV/0!</v>
      </c>
      <c r="T562" s="101" t="e">
        <f>Q562*dagenperjaar1</f>
        <v>#DIV/0!</v>
      </c>
      <c r="U562" s="25" t="e">
        <f>T562*ROUND(P562,2)</f>
        <v>#DIV/0!</v>
      </c>
    </row>
    <row r="563" spans="1:21" x14ac:dyDescent="0.2">
      <c r="A563" s="103" t="s">
        <v>651</v>
      </c>
      <c r="B563" s="104" t="s">
        <v>50</v>
      </c>
      <c r="C563" s="104" t="s">
        <v>345</v>
      </c>
      <c r="D563" s="104" t="s">
        <v>371</v>
      </c>
      <c r="E563" s="105" t="s">
        <v>579</v>
      </c>
      <c r="F563" s="104" t="s">
        <v>640</v>
      </c>
      <c r="G563" s="104" t="s">
        <v>259</v>
      </c>
      <c r="H563" s="104" t="s">
        <v>13</v>
      </c>
      <c r="I563" s="104" t="s">
        <v>246</v>
      </c>
      <c r="J563" s="104"/>
      <c r="K563" s="106">
        <v>31.89</v>
      </c>
      <c r="L563" s="106">
        <f>K563*VLOOKUP(H563,dagsoorttabel1,2,FALSE)</f>
        <v>25.011764705882353</v>
      </c>
      <c r="M563" s="107">
        <f>prodnorm51</f>
        <v>0</v>
      </c>
      <c r="N563" s="108">
        <f>dagwerk51</f>
        <v>0</v>
      </c>
      <c r="O563" s="104" t="s">
        <v>108</v>
      </c>
      <c r="P563" s="34">
        <f>uurtarief51</f>
        <v>0</v>
      </c>
      <c r="Q563" s="106" t="e">
        <f>IF(ISBLANK(M563),0,L563/ROUND(M563,4))</f>
        <v>#DIV/0!</v>
      </c>
      <c r="R563" s="106" t="e">
        <f>IF(ISBLANK(M563),0,Q563*ROUND(N563,2))</f>
        <v>#DIV/0!</v>
      </c>
      <c r="S563" s="34" t="e">
        <f>ROUND(P563,2)*Q563</f>
        <v>#DIV/0!</v>
      </c>
      <c r="T563" s="106" t="e">
        <f>Q563*dagenperjaar1</f>
        <v>#DIV/0!</v>
      </c>
      <c r="U563" s="35" t="e">
        <f>T563*ROUND(P563,2)</f>
        <v>#DIV/0!</v>
      </c>
    </row>
    <row r="564" spans="1:21" x14ac:dyDescent="0.2">
      <c r="A564" s="109" t="s">
        <v>403</v>
      </c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81" t="e">
        <f>IF(_xlfn.SINGLE(object27_urenjaar1)&gt;0,_xlfn.SINGLE(object27_prijsjaar1)/_xlfn.SINGLE(object27_urenjaar1),0)</f>
        <v>#DIV/0!</v>
      </c>
      <c r="Q564" s="80" t="e">
        <f>SUM(Q551:Q563)</f>
        <v>#DIV/0!</v>
      </c>
      <c r="R564" s="80" t="e">
        <f>SUM(R551:R563)</f>
        <v>#DIV/0!</v>
      </c>
      <c r="S564" s="81" t="e">
        <f>SUM(S551:S563)</f>
        <v>#DIV/0!</v>
      </c>
      <c r="T564" s="80" t="e">
        <f>SUM(T551:T563)</f>
        <v>#DIV/0!</v>
      </c>
      <c r="U564" s="82" t="e">
        <f>SUM(U551:U563)</f>
        <v>#DIV/0!</v>
      </c>
    </row>
    <row r="565" spans="1:21" x14ac:dyDescent="0.2">
      <c r="A565" s="88" t="s">
        <v>653</v>
      </c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77"/>
    </row>
    <row r="566" spans="1:21" x14ac:dyDescent="0.2">
      <c r="A566" s="90" t="s">
        <v>654</v>
      </c>
      <c r="B566" s="91" t="s">
        <v>50</v>
      </c>
      <c r="C566" s="91" t="s">
        <v>345</v>
      </c>
      <c r="D566" s="91" t="s">
        <v>441</v>
      </c>
      <c r="E566" s="92" t="s">
        <v>622</v>
      </c>
      <c r="F566" s="91" t="s">
        <v>431</v>
      </c>
      <c r="G566" s="91" t="s">
        <v>273</v>
      </c>
      <c r="H566" s="91" t="s">
        <v>13</v>
      </c>
      <c r="I566" s="91" t="s">
        <v>246</v>
      </c>
      <c r="J566" s="91"/>
      <c r="K566" s="93">
        <v>3.8</v>
      </c>
      <c r="L566" s="93">
        <f>K566*VLOOKUP(H566,dagsoorttabel1,2,FALSE)</f>
        <v>2.9803921568627447</v>
      </c>
      <c r="M566" s="94">
        <f>prodnorm68</f>
        <v>0</v>
      </c>
      <c r="N566" s="95">
        <f>dagwerk68</f>
        <v>0</v>
      </c>
      <c r="O566" s="91" t="s">
        <v>108</v>
      </c>
      <c r="P566" s="96">
        <f>uurtarief68</f>
        <v>0</v>
      </c>
      <c r="Q566" s="93" t="e">
        <f>IF(ISBLANK(M566),0,L566/ROUND(M566,4))</f>
        <v>#DIV/0!</v>
      </c>
      <c r="R566" s="93" t="e">
        <f>IF(ISBLANK(M566),0,Q566*ROUND(N566,2))</f>
        <v>#DIV/0!</v>
      </c>
      <c r="S566" s="96" t="e">
        <f>ROUND(P566,2)*Q566</f>
        <v>#DIV/0!</v>
      </c>
      <c r="T566" s="93" t="e">
        <f>Q566*dagenperjaar1</f>
        <v>#DIV/0!</v>
      </c>
      <c r="U566" s="97" t="e">
        <f>T566*ROUND(P566,2)</f>
        <v>#DIV/0!</v>
      </c>
    </row>
    <row r="567" spans="1:21" x14ac:dyDescent="0.2">
      <c r="A567" s="98" t="s">
        <v>654</v>
      </c>
      <c r="B567" s="99" t="s">
        <v>50</v>
      </c>
      <c r="C567" s="99" t="s">
        <v>452</v>
      </c>
      <c r="D567" s="99" t="s">
        <v>655</v>
      </c>
      <c r="E567" s="100" t="s">
        <v>656</v>
      </c>
      <c r="F567" s="99" t="s">
        <v>443</v>
      </c>
      <c r="G567" s="99" t="s">
        <v>259</v>
      </c>
      <c r="H567" s="99" t="s">
        <v>22</v>
      </c>
      <c r="I567" s="99" t="s">
        <v>246</v>
      </c>
      <c r="J567" s="99"/>
      <c r="K567" s="101">
        <v>32.949999999999996</v>
      </c>
      <c r="L567" s="101">
        <f>K567*VLOOKUP(H567,dagsoorttabel1,2,FALSE)</f>
        <v>5.1686274509803916</v>
      </c>
      <c r="M567" s="102">
        <f>prodnorm54</f>
        <v>0</v>
      </c>
      <c r="N567" s="37">
        <f>dagwerk54</f>
        <v>0</v>
      </c>
      <c r="O567" s="99" t="s">
        <v>108</v>
      </c>
      <c r="P567" s="24">
        <f>uurtarief54</f>
        <v>0</v>
      </c>
      <c r="Q567" s="101" t="e">
        <f>IF(ISBLANK(M567),0,L567/ROUND(M567,4))</f>
        <v>#DIV/0!</v>
      </c>
      <c r="R567" s="101" t="e">
        <f>IF(ISBLANK(M567),0,Q567*ROUND(N567,2))</f>
        <v>#DIV/0!</v>
      </c>
      <c r="S567" s="24" t="e">
        <f>ROUND(P567,2)*Q567</f>
        <v>#DIV/0!</v>
      </c>
      <c r="T567" s="101" t="e">
        <f>Q567*dagenperjaar1</f>
        <v>#DIV/0!</v>
      </c>
      <c r="U567" s="25" t="e">
        <f>T567*ROUND(P567,2)</f>
        <v>#DIV/0!</v>
      </c>
    </row>
    <row r="568" spans="1:21" x14ac:dyDescent="0.2">
      <c r="A568" s="98" t="s">
        <v>654</v>
      </c>
      <c r="B568" s="99" t="s">
        <v>50</v>
      </c>
      <c r="C568" s="99" t="s">
        <v>452</v>
      </c>
      <c r="D568" s="99" t="s">
        <v>657</v>
      </c>
      <c r="E568" s="100" t="s">
        <v>622</v>
      </c>
      <c r="F568" s="99" t="s">
        <v>431</v>
      </c>
      <c r="G568" s="99" t="s">
        <v>273</v>
      </c>
      <c r="H568" s="99" t="s">
        <v>13</v>
      </c>
      <c r="I568" s="99" t="s">
        <v>246</v>
      </c>
      <c r="J568" s="99"/>
      <c r="K568" s="101">
        <v>3.92</v>
      </c>
      <c r="L568" s="101">
        <f>K568*VLOOKUP(H568,dagsoorttabel1,2,FALSE)</f>
        <v>3.0745098039215684</v>
      </c>
      <c r="M568" s="102">
        <f>prodnorm68</f>
        <v>0</v>
      </c>
      <c r="N568" s="37">
        <f>dagwerk68</f>
        <v>0</v>
      </c>
      <c r="O568" s="99" t="s">
        <v>108</v>
      </c>
      <c r="P568" s="24">
        <f>uurtarief68</f>
        <v>0</v>
      </c>
      <c r="Q568" s="101" t="e">
        <f>IF(ISBLANK(M568),0,L568/ROUND(M568,4))</f>
        <v>#DIV/0!</v>
      </c>
      <c r="R568" s="101" t="e">
        <f>IF(ISBLANK(M568),0,Q568*ROUND(N568,2))</f>
        <v>#DIV/0!</v>
      </c>
      <c r="S568" s="24" t="e">
        <f>ROUND(P568,2)*Q568</f>
        <v>#DIV/0!</v>
      </c>
      <c r="T568" s="101" t="e">
        <f>Q568*dagenperjaar1</f>
        <v>#DIV/0!</v>
      </c>
      <c r="U568" s="25" t="e">
        <f>T568*ROUND(P568,2)</f>
        <v>#DIV/0!</v>
      </c>
    </row>
    <row r="569" spans="1:21" x14ac:dyDescent="0.2">
      <c r="A569" s="98" t="s">
        <v>654</v>
      </c>
      <c r="B569" s="99" t="s">
        <v>50</v>
      </c>
      <c r="C569" s="99" t="s">
        <v>452</v>
      </c>
      <c r="D569" s="99" t="s">
        <v>658</v>
      </c>
      <c r="E569" s="100" t="s">
        <v>578</v>
      </c>
      <c r="F569" s="99" t="s">
        <v>443</v>
      </c>
      <c r="G569" s="99" t="s">
        <v>259</v>
      </c>
      <c r="H569" s="99" t="s">
        <v>13</v>
      </c>
      <c r="I569" s="99" t="s">
        <v>246</v>
      </c>
      <c r="J569" s="99"/>
      <c r="K569" s="101">
        <v>307.8</v>
      </c>
      <c r="L569" s="101">
        <f>K569*VLOOKUP(H569,dagsoorttabel1,2,FALSE)</f>
        <v>241.41176470588235</v>
      </c>
      <c r="M569" s="102">
        <f>prodnorm51</f>
        <v>0</v>
      </c>
      <c r="N569" s="37">
        <f>dagwerk51</f>
        <v>0</v>
      </c>
      <c r="O569" s="99" t="s">
        <v>108</v>
      </c>
      <c r="P569" s="24">
        <f>uurtarief51</f>
        <v>0</v>
      </c>
      <c r="Q569" s="101" t="e">
        <f>IF(ISBLANK(M569),0,L569/ROUND(M569,4))</f>
        <v>#DIV/0!</v>
      </c>
      <c r="R569" s="101" t="e">
        <f>IF(ISBLANK(M569),0,Q569*ROUND(N569,2))</f>
        <v>#DIV/0!</v>
      </c>
      <c r="S569" s="24" t="e">
        <f>ROUND(P569,2)*Q569</f>
        <v>#DIV/0!</v>
      </c>
      <c r="T569" s="101" t="e">
        <f>Q569*dagenperjaar1</f>
        <v>#DIV/0!</v>
      </c>
      <c r="U569" s="25" t="e">
        <f>T569*ROUND(P569,2)</f>
        <v>#DIV/0!</v>
      </c>
    </row>
    <row r="570" spans="1:21" x14ac:dyDescent="0.2">
      <c r="A570" s="98" t="s">
        <v>654</v>
      </c>
      <c r="B570" s="99" t="s">
        <v>50</v>
      </c>
      <c r="C570" s="99" t="s">
        <v>452</v>
      </c>
      <c r="D570" s="99" t="s">
        <v>659</v>
      </c>
      <c r="E570" s="100" t="s">
        <v>660</v>
      </c>
      <c r="F570" s="99" t="s">
        <v>548</v>
      </c>
      <c r="G570" s="99" t="s">
        <v>270</v>
      </c>
      <c r="H570" s="99" t="s">
        <v>13</v>
      </c>
      <c r="I570" s="99" t="s">
        <v>246</v>
      </c>
      <c r="J570" s="99"/>
      <c r="K570" s="101">
        <v>1.71</v>
      </c>
      <c r="L570" s="101">
        <f>K570*VLOOKUP(H570,dagsoorttabel1,2,FALSE)</f>
        <v>1.3411764705882352</v>
      </c>
      <c r="M570" s="102">
        <f>prodnorm64</f>
        <v>0</v>
      </c>
      <c r="N570" s="37">
        <f>dagwerk64</f>
        <v>0</v>
      </c>
      <c r="O570" s="99" t="s">
        <v>108</v>
      </c>
      <c r="P570" s="24">
        <f>uurtarief64</f>
        <v>0</v>
      </c>
      <c r="Q570" s="101" t="e">
        <f>IF(ISBLANK(M570),0,L570/ROUND(M570,4))</f>
        <v>#DIV/0!</v>
      </c>
      <c r="R570" s="101" t="e">
        <f>IF(ISBLANK(M570),0,Q570*ROUND(N570,2))</f>
        <v>#DIV/0!</v>
      </c>
      <c r="S570" s="24" t="e">
        <f>ROUND(P570,2)*Q570</f>
        <v>#DIV/0!</v>
      </c>
      <c r="T570" s="101" t="e">
        <f>Q570*dagenperjaar1</f>
        <v>#DIV/0!</v>
      </c>
      <c r="U570" s="25" t="e">
        <f>T570*ROUND(P570,2)</f>
        <v>#DIV/0!</v>
      </c>
    </row>
    <row r="571" spans="1:21" x14ac:dyDescent="0.2">
      <c r="A571" s="98" t="s">
        <v>654</v>
      </c>
      <c r="B571" s="99" t="s">
        <v>50</v>
      </c>
      <c r="C571" s="99" t="s">
        <v>452</v>
      </c>
      <c r="D571" s="99" t="s">
        <v>661</v>
      </c>
      <c r="E571" s="100" t="s">
        <v>662</v>
      </c>
      <c r="F571" s="99" t="s">
        <v>548</v>
      </c>
      <c r="G571" s="99" t="s">
        <v>262</v>
      </c>
      <c r="H571" s="99" t="s">
        <v>13</v>
      </c>
      <c r="I571" s="99" t="s">
        <v>246</v>
      </c>
      <c r="J571" s="99"/>
      <c r="K571" s="101">
        <v>4.5</v>
      </c>
      <c r="L571" s="101">
        <f>K571*VLOOKUP(H571,dagsoorttabel1,2,FALSE)</f>
        <v>3.5294117647058822</v>
      </c>
      <c r="M571" s="102">
        <f>prodnorm57</f>
        <v>0</v>
      </c>
      <c r="N571" s="37">
        <f>dagwerk57</f>
        <v>0</v>
      </c>
      <c r="O571" s="99" t="s">
        <v>108</v>
      </c>
      <c r="P571" s="24">
        <f>uurtarief57</f>
        <v>0</v>
      </c>
      <c r="Q571" s="101" t="e">
        <f>IF(ISBLANK(M571),0,L571/ROUND(M571,4))</f>
        <v>#DIV/0!</v>
      </c>
      <c r="R571" s="101" t="e">
        <f>IF(ISBLANK(M571),0,Q571*ROUND(N571,2))</f>
        <v>#DIV/0!</v>
      </c>
      <c r="S571" s="24" t="e">
        <f>ROUND(P571,2)*Q571</f>
        <v>#DIV/0!</v>
      </c>
      <c r="T571" s="101" t="e">
        <f>Q571*dagenperjaar1</f>
        <v>#DIV/0!</v>
      </c>
      <c r="U571" s="25" t="e">
        <f>T571*ROUND(P571,2)</f>
        <v>#DIV/0!</v>
      </c>
    </row>
    <row r="572" spans="1:21" x14ac:dyDescent="0.2">
      <c r="A572" s="98" t="s">
        <v>654</v>
      </c>
      <c r="B572" s="99" t="s">
        <v>50</v>
      </c>
      <c r="C572" s="99" t="s">
        <v>452</v>
      </c>
      <c r="D572" s="99" t="s">
        <v>663</v>
      </c>
      <c r="E572" s="100" t="s">
        <v>612</v>
      </c>
      <c r="F572" s="99" t="s">
        <v>548</v>
      </c>
      <c r="G572" s="99" t="s">
        <v>251</v>
      </c>
      <c r="H572" s="99" t="s">
        <v>13</v>
      </c>
      <c r="I572" s="99" t="s">
        <v>246</v>
      </c>
      <c r="J572" s="99"/>
      <c r="K572" s="101">
        <v>1.8800000000000001</v>
      </c>
      <c r="L572" s="101">
        <f>K572*VLOOKUP(H572,dagsoorttabel1,2,FALSE)</f>
        <v>1.4745098039215687</v>
      </c>
      <c r="M572" s="102">
        <f>prodnorm39</f>
        <v>0</v>
      </c>
      <c r="N572" s="37">
        <f>dagwerk39</f>
        <v>0</v>
      </c>
      <c r="O572" s="99" t="s">
        <v>108</v>
      </c>
      <c r="P572" s="24">
        <f>uurtarief39</f>
        <v>0</v>
      </c>
      <c r="Q572" s="101" t="e">
        <f>IF(ISBLANK(M572),0,L572/ROUND(M572,4))</f>
        <v>#DIV/0!</v>
      </c>
      <c r="R572" s="101" t="e">
        <f>IF(ISBLANK(M572),0,Q572*ROUND(N572,2))</f>
        <v>#DIV/0!</v>
      </c>
      <c r="S572" s="24" t="e">
        <f>ROUND(P572,2)*Q572</f>
        <v>#DIV/0!</v>
      </c>
      <c r="T572" s="101" t="e">
        <f>Q572*dagenperjaar1</f>
        <v>#DIV/0!</v>
      </c>
      <c r="U572" s="25" t="e">
        <f>T572*ROUND(P572,2)</f>
        <v>#DIV/0!</v>
      </c>
    </row>
    <row r="573" spans="1:21" x14ac:dyDescent="0.2">
      <c r="A573" s="98" t="s">
        <v>654</v>
      </c>
      <c r="B573" s="99" t="s">
        <v>50</v>
      </c>
      <c r="C573" s="99" t="s">
        <v>452</v>
      </c>
      <c r="D573" s="99" t="s">
        <v>664</v>
      </c>
      <c r="E573" s="100" t="s">
        <v>407</v>
      </c>
      <c r="F573" s="99" t="s">
        <v>548</v>
      </c>
      <c r="G573" s="99" t="s">
        <v>262</v>
      </c>
      <c r="H573" s="99" t="s">
        <v>13</v>
      </c>
      <c r="I573" s="99" t="s">
        <v>246</v>
      </c>
      <c r="J573" s="99"/>
      <c r="K573" s="101">
        <v>24.6</v>
      </c>
      <c r="L573" s="101">
        <f>K573*VLOOKUP(H573,dagsoorttabel1,2,FALSE)</f>
        <v>19.294117647058826</v>
      </c>
      <c r="M573" s="102">
        <f>prodnorm57</f>
        <v>0</v>
      </c>
      <c r="N573" s="37">
        <f>dagwerk57</f>
        <v>0</v>
      </c>
      <c r="O573" s="99" t="s">
        <v>108</v>
      </c>
      <c r="P573" s="24">
        <f>uurtarief57</f>
        <v>0</v>
      </c>
      <c r="Q573" s="101" t="e">
        <f>IF(ISBLANK(M573),0,L573/ROUND(M573,4))</f>
        <v>#DIV/0!</v>
      </c>
      <c r="R573" s="101" t="e">
        <f>IF(ISBLANK(M573),0,Q573*ROUND(N573,2))</f>
        <v>#DIV/0!</v>
      </c>
      <c r="S573" s="24" t="e">
        <f>ROUND(P573,2)*Q573</f>
        <v>#DIV/0!</v>
      </c>
      <c r="T573" s="101" t="e">
        <f>Q573*dagenperjaar1</f>
        <v>#DIV/0!</v>
      </c>
      <c r="U573" s="25" t="e">
        <f>T573*ROUND(P573,2)</f>
        <v>#DIV/0!</v>
      </c>
    </row>
    <row r="574" spans="1:21" x14ac:dyDescent="0.2">
      <c r="A574" s="98" t="s">
        <v>654</v>
      </c>
      <c r="B574" s="99" t="s">
        <v>50</v>
      </c>
      <c r="C574" s="99" t="s">
        <v>452</v>
      </c>
      <c r="D574" s="99" t="s">
        <v>665</v>
      </c>
      <c r="E574" s="100" t="s">
        <v>612</v>
      </c>
      <c r="F574" s="99" t="s">
        <v>548</v>
      </c>
      <c r="G574" s="99" t="s">
        <v>251</v>
      </c>
      <c r="H574" s="99" t="s">
        <v>13</v>
      </c>
      <c r="I574" s="99" t="s">
        <v>246</v>
      </c>
      <c r="J574" s="99"/>
      <c r="K574" s="101">
        <v>10.43</v>
      </c>
      <c r="L574" s="101">
        <f>K574*VLOOKUP(H574,dagsoorttabel1,2,FALSE)</f>
        <v>8.1803921568627445</v>
      </c>
      <c r="M574" s="102">
        <f>prodnorm39</f>
        <v>0</v>
      </c>
      <c r="N574" s="37">
        <f>dagwerk39</f>
        <v>0</v>
      </c>
      <c r="O574" s="99" t="s">
        <v>108</v>
      </c>
      <c r="P574" s="24">
        <f>uurtarief39</f>
        <v>0</v>
      </c>
      <c r="Q574" s="101" t="e">
        <f>IF(ISBLANK(M574),0,L574/ROUND(M574,4))</f>
        <v>#DIV/0!</v>
      </c>
      <c r="R574" s="101" t="e">
        <f>IF(ISBLANK(M574),0,Q574*ROUND(N574,2))</f>
        <v>#DIV/0!</v>
      </c>
      <c r="S574" s="24" t="e">
        <f>ROUND(P574,2)*Q574</f>
        <v>#DIV/0!</v>
      </c>
      <c r="T574" s="101" t="e">
        <f>Q574*dagenperjaar1</f>
        <v>#DIV/0!</v>
      </c>
      <c r="U574" s="25" t="e">
        <f>T574*ROUND(P574,2)</f>
        <v>#DIV/0!</v>
      </c>
    </row>
    <row r="575" spans="1:21" x14ac:dyDescent="0.2">
      <c r="A575" s="98" t="s">
        <v>654</v>
      </c>
      <c r="B575" s="99" t="s">
        <v>50</v>
      </c>
      <c r="C575" s="99" t="s">
        <v>452</v>
      </c>
      <c r="D575" s="99" t="s">
        <v>666</v>
      </c>
      <c r="E575" s="100" t="s">
        <v>612</v>
      </c>
      <c r="F575" s="99" t="s">
        <v>548</v>
      </c>
      <c r="G575" s="99" t="s">
        <v>251</v>
      </c>
      <c r="H575" s="99" t="s">
        <v>13</v>
      </c>
      <c r="I575" s="99" t="s">
        <v>246</v>
      </c>
      <c r="J575" s="99"/>
      <c r="K575" s="101">
        <v>10.46</v>
      </c>
      <c r="L575" s="101">
        <f>K575*VLOOKUP(H575,dagsoorttabel1,2,FALSE)</f>
        <v>8.203921568627452</v>
      </c>
      <c r="M575" s="102">
        <f>prodnorm39</f>
        <v>0</v>
      </c>
      <c r="N575" s="37">
        <f>dagwerk39</f>
        <v>0</v>
      </c>
      <c r="O575" s="99" t="s">
        <v>108</v>
      </c>
      <c r="P575" s="24">
        <f>uurtarief39</f>
        <v>0</v>
      </c>
      <c r="Q575" s="101" t="e">
        <f>IF(ISBLANK(M575),0,L575/ROUND(M575,4))</f>
        <v>#DIV/0!</v>
      </c>
      <c r="R575" s="101" t="e">
        <f>IF(ISBLANK(M575),0,Q575*ROUND(N575,2))</f>
        <v>#DIV/0!</v>
      </c>
      <c r="S575" s="24" t="e">
        <f>ROUND(P575,2)*Q575</f>
        <v>#DIV/0!</v>
      </c>
      <c r="T575" s="101" t="e">
        <f>Q575*dagenperjaar1</f>
        <v>#DIV/0!</v>
      </c>
      <c r="U575" s="25" t="e">
        <f>T575*ROUND(P575,2)</f>
        <v>#DIV/0!</v>
      </c>
    </row>
    <row r="576" spans="1:21" x14ac:dyDescent="0.2">
      <c r="A576" s="98" t="s">
        <v>654</v>
      </c>
      <c r="B576" s="99" t="s">
        <v>50</v>
      </c>
      <c r="C576" s="99" t="s">
        <v>452</v>
      </c>
      <c r="D576" s="99" t="s">
        <v>667</v>
      </c>
      <c r="E576" s="100" t="s">
        <v>407</v>
      </c>
      <c r="F576" s="99" t="s">
        <v>548</v>
      </c>
      <c r="G576" s="99" t="s">
        <v>262</v>
      </c>
      <c r="H576" s="99" t="s">
        <v>13</v>
      </c>
      <c r="I576" s="99" t="s">
        <v>246</v>
      </c>
      <c r="J576" s="99"/>
      <c r="K576" s="101">
        <v>24.88</v>
      </c>
      <c r="L576" s="101">
        <f>K576*VLOOKUP(H576,dagsoorttabel1,2,FALSE)</f>
        <v>19.513725490196077</v>
      </c>
      <c r="M576" s="102">
        <f>prodnorm57</f>
        <v>0</v>
      </c>
      <c r="N576" s="37">
        <f>dagwerk57</f>
        <v>0</v>
      </c>
      <c r="O576" s="99" t="s">
        <v>108</v>
      </c>
      <c r="P576" s="24">
        <f>uurtarief57</f>
        <v>0</v>
      </c>
      <c r="Q576" s="101" t="e">
        <f>IF(ISBLANK(M576),0,L576/ROUND(M576,4))</f>
        <v>#DIV/0!</v>
      </c>
      <c r="R576" s="101" t="e">
        <f>IF(ISBLANK(M576),0,Q576*ROUND(N576,2))</f>
        <v>#DIV/0!</v>
      </c>
      <c r="S576" s="24" t="e">
        <f>ROUND(P576,2)*Q576</f>
        <v>#DIV/0!</v>
      </c>
      <c r="T576" s="101" t="e">
        <f>Q576*dagenperjaar1</f>
        <v>#DIV/0!</v>
      </c>
      <c r="U576" s="25" t="e">
        <f>T576*ROUND(P576,2)</f>
        <v>#DIV/0!</v>
      </c>
    </row>
    <row r="577" spans="1:21" x14ac:dyDescent="0.2">
      <c r="A577" s="103" t="s">
        <v>654</v>
      </c>
      <c r="B577" s="104" t="s">
        <v>50</v>
      </c>
      <c r="C577" s="104" t="s">
        <v>452</v>
      </c>
      <c r="D577" s="104" t="s">
        <v>668</v>
      </c>
      <c r="E577" s="105" t="s">
        <v>669</v>
      </c>
      <c r="F577" s="104" t="s">
        <v>431</v>
      </c>
      <c r="G577" s="104" t="s">
        <v>245</v>
      </c>
      <c r="H577" s="104" t="s">
        <v>24</v>
      </c>
      <c r="I577" s="104" t="s">
        <v>246</v>
      </c>
      <c r="J577" s="104"/>
      <c r="K577" s="106">
        <v>1.9400000000000002</v>
      </c>
      <c r="L577" s="106">
        <f>K577*VLOOKUP(H577,dagsoorttabel1,2,FALSE)</f>
        <v>9.1294117647058831E-2</v>
      </c>
      <c r="M577" s="107">
        <f>prodnorm32</f>
        <v>0</v>
      </c>
      <c r="N577" s="108">
        <f>dagwerk32</f>
        <v>0</v>
      </c>
      <c r="O577" s="104" t="s">
        <v>108</v>
      </c>
      <c r="P577" s="34">
        <f>uurtarief32</f>
        <v>0</v>
      </c>
      <c r="Q577" s="106" t="e">
        <f>IF(ISBLANK(M577),0,L577/ROUND(M577,4))</f>
        <v>#DIV/0!</v>
      </c>
      <c r="R577" s="106" t="e">
        <f>IF(ISBLANK(M577),0,Q577*ROUND(N577,2))</f>
        <v>#DIV/0!</v>
      </c>
      <c r="S577" s="34" t="e">
        <f>ROUND(P577,2)*Q577</f>
        <v>#DIV/0!</v>
      </c>
      <c r="T577" s="106" t="e">
        <f>Q577*dagenperjaar1</f>
        <v>#DIV/0!</v>
      </c>
      <c r="U577" s="35" t="e">
        <f>T577*ROUND(P577,2)</f>
        <v>#DIV/0!</v>
      </c>
    </row>
    <row r="578" spans="1:21" x14ac:dyDescent="0.2">
      <c r="A578" s="78" t="s">
        <v>403</v>
      </c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81" t="e">
        <f>IF(_xlfn.SINGLE(object28_urenjaar1)&gt;0,_xlfn.SINGLE(object28_prijsjaar1)/_xlfn.SINGLE(object28_urenjaar1),0)</f>
        <v>#DIV/0!</v>
      </c>
      <c r="Q578" s="80" t="e">
        <f>SUM(Q566:Q577)</f>
        <v>#DIV/0!</v>
      </c>
      <c r="R578" s="80" t="e">
        <f>SUM(R566:R577)</f>
        <v>#DIV/0!</v>
      </c>
      <c r="S578" s="81" t="e">
        <f>SUM(S566:S577)</f>
        <v>#DIV/0!</v>
      </c>
      <c r="T578" s="80" t="e">
        <f>SUM(T566:T577)</f>
        <v>#DIV/0!</v>
      </c>
      <c r="U578" s="81" t="e">
        <f>SUM(U566:U577)</f>
        <v>#DIV/0!</v>
      </c>
    </row>
  </sheetData>
  <sheetProtection algorithmName="SHA-512" hashValue="JJC/bGB0sYjsFcKGUml/zcmPoC4Umxxus5EL7n3W6pbBh/zhrcwW7zLKzsBenOLIm5pxugjTuSzTy5YsqA0riw==" saltValue="ORH33Bz7NS+aJbDzApU9kQ==" spinCount="100000" sheet="1" objects="1" scenarios="1" autoFilter="0"/>
  <autoFilter ref="A3:U578" xr:uid="{EFCE652B-9079-4A31-969C-E0481F5B72A6}"/>
  <pageMargins left="0.7" right="0.7" top="0.75" bottom="0.75" header="0.3" footer="0.3"/>
  <pageSetup scale="61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3CA78-426D-462B-B4B5-61FC529B9924}">
  <dimension ref="A1:U100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6" x14ac:dyDescent="0.2"/>
  <cols>
    <col min="1" max="1" width="8.6328125" customWidth="1"/>
    <col min="2" max="3" width="7.6328125" customWidth="1"/>
    <col min="4" max="4" width="10.6328125" customWidth="1"/>
    <col min="5" max="5" width="25.6328125" customWidth="1"/>
    <col min="6" max="6" width="11.6328125" customWidth="1"/>
    <col min="7" max="7" width="7.6328125" customWidth="1"/>
    <col min="8" max="8" width="6.6328125" customWidth="1"/>
    <col min="9" max="10" width="8.6328125" customWidth="1"/>
    <col min="11" max="12" width="10.6328125" customWidth="1"/>
    <col min="13" max="14" width="11.6328125" customWidth="1"/>
    <col min="15" max="15" width="9.6328125" customWidth="1"/>
    <col min="16" max="19" width="11.6328125" customWidth="1"/>
    <col min="20" max="20" width="12.6328125" customWidth="1"/>
    <col min="21" max="21" width="14.6328125" customWidth="1"/>
  </cols>
  <sheetData>
    <row r="1" spans="1:21" x14ac:dyDescent="0.2">
      <c r="A1" s="1" t="str">
        <f>CONCATENATE("Bijlage F.2.4: ",tabeltype," ruimten werkdag vakantie")</f>
        <v>Bijlage F.2.4: Invultabel ruimten werkdag vakantie</v>
      </c>
    </row>
    <row r="3" spans="1:21" ht="37.799999999999997" x14ac:dyDescent="0.2">
      <c r="A3" s="86" t="s">
        <v>334</v>
      </c>
      <c r="B3" s="40" t="s">
        <v>335</v>
      </c>
      <c r="C3" s="40" t="s">
        <v>336</v>
      </c>
      <c r="D3" s="40" t="s">
        <v>337</v>
      </c>
      <c r="E3" s="40" t="s">
        <v>338</v>
      </c>
      <c r="F3" s="40" t="s">
        <v>339</v>
      </c>
      <c r="G3" s="40" t="s">
        <v>237</v>
      </c>
      <c r="H3" s="40" t="s">
        <v>7</v>
      </c>
      <c r="I3" s="40" t="s">
        <v>340</v>
      </c>
      <c r="J3" s="40" t="s">
        <v>341</v>
      </c>
      <c r="K3" s="40" t="s">
        <v>239</v>
      </c>
      <c r="L3" s="40" t="s">
        <v>240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241</v>
      </c>
      <c r="R3" s="40" t="s">
        <v>342</v>
      </c>
      <c r="S3" s="40" t="s">
        <v>242</v>
      </c>
      <c r="T3" s="40" t="s">
        <v>243</v>
      </c>
      <c r="U3" s="87" t="s">
        <v>244</v>
      </c>
    </row>
    <row r="4" spans="1:21" x14ac:dyDescent="0.2">
      <c r="A4" s="88" t="s">
        <v>416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77"/>
    </row>
    <row r="5" spans="1:21" x14ac:dyDescent="0.2">
      <c r="A5" s="90" t="s">
        <v>417</v>
      </c>
      <c r="B5" s="91" t="s">
        <v>50</v>
      </c>
      <c r="C5" s="91" t="s">
        <v>345</v>
      </c>
      <c r="D5" s="91" t="s">
        <v>346</v>
      </c>
      <c r="E5" s="92" t="s">
        <v>418</v>
      </c>
      <c r="F5" s="91" t="s">
        <v>348</v>
      </c>
      <c r="G5" s="91" t="s">
        <v>303</v>
      </c>
      <c r="H5" s="91" t="s">
        <v>31</v>
      </c>
      <c r="I5" s="91" t="s">
        <v>246</v>
      </c>
      <c r="J5" s="91"/>
      <c r="K5" s="93">
        <v>34</v>
      </c>
      <c r="L5" s="93">
        <f>K5*VLOOKUP(H5,dagsoorttabel2,2,FALSE)</f>
        <v>127.5</v>
      </c>
      <c r="M5" s="94">
        <f>prodnorm91</f>
        <v>0</v>
      </c>
      <c r="N5" s="95">
        <f>dagwerk91</f>
        <v>0</v>
      </c>
      <c r="O5" s="91" t="s">
        <v>108</v>
      </c>
      <c r="P5" s="96">
        <f>uurtarief91</f>
        <v>0</v>
      </c>
      <c r="Q5" s="93" t="e">
        <f>IF(ISBLANK(M5),0,L5/ROUND(M5,4))</f>
        <v>#DIV/0!</v>
      </c>
      <c r="R5" s="93" t="e">
        <f>IF(ISBLANK(M5),0,Q5*ROUND(N5,2))</f>
        <v>#DIV/0!</v>
      </c>
      <c r="S5" s="96" t="e">
        <f>ROUND(P5,2)*Q5</f>
        <v>#DIV/0!</v>
      </c>
      <c r="T5" s="93" t="e">
        <f>Q5*dagenperjaar2</f>
        <v>#DIV/0!</v>
      </c>
      <c r="U5" s="97" t="e">
        <f>T5*ROUND(P5,2)</f>
        <v>#DIV/0!</v>
      </c>
    </row>
    <row r="6" spans="1:21" x14ac:dyDescent="0.2">
      <c r="A6" s="98" t="s">
        <v>417</v>
      </c>
      <c r="B6" s="99" t="s">
        <v>50</v>
      </c>
      <c r="C6" s="99" t="s">
        <v>345</v>
      </c>
      <c r="D6" s="99" t="s">
        <v>349</v>
      </c>
      <c r="E6" s="100" t="s">
        <v>419</v>
      </c>
      <c r="F6" s="99" t="s">
        <v>348</v>
      </c>
      <c r="G6" s="99" t="s">
        <v>314</v>
      </c>
      <c r="H6" s="99" t="s">
        <v>31</v>
      </c>
      <c r="I6" s="99" t="s">
        <v>246</v>
      </c>
      <c r="J6" s="99"/>
      <c r="K6" s="101">
        <v>181</v>
      </c>
      <c r="L6" s="101">
        <f>K6*VLOOKUP(H6,dagsoorttabel2,2,FALSE)</f>
        <v>678.75</v>
      </c>
      <c r="M6" s="102">
        <f>prodnorm99</f>
        <v>0</v>
      </c>
      <c r="N6" s="37">
        <f>dagwerk99</f>
        <v>0</v>
      </c>
      <c r="O6" s="99" t="s">
        <v>108</v>
      </c>
      <c r="P6" s="24">
        <f>uurtarief99</f>
        <v>0</v>
      </c>
      <c r="Q6" s="101" t="e">
        <f>IF(ISBLANK(M6),0,L6/ROUND(M6,4))</f>
        <v>#DIV/0!</v>
      </c>
      <c r="R6" s="101" t="e">
        <f>IF(ISBLANK(M6),0,Q6*ROUND(N6,2))</f>
        <v>#DIV/0!</v>
      </c>
      <c r="S6" s="24" t="e">
        <f>ROUND(P6,2)*Q6</f>
        <v>#DIV/0!</v>
      </c>
      <c r="T6" s="101" t="e">
        <f>Q6*dagenperjaar2</f>
        <v>#DIV/0!</v>
      </c>
      <c r="U6" s="25" t="e">
        <f>T6*ROUND(P6,2)</f>
        <v>#DIV/0!</v>
      </c>
    </row>
    <row r="7" spans="1:21" x14ac:dyDescent="0.2">
      <c r="A7" s="98" t="s">
        <v>417</v>
      </c>
      <c r="B7" s="99" t="s">
        <v>50</v>
      </c>
      <c r="C7" s="99" t="s">
        <v>345</v>
      </c>
      <c r="D7" s="99" t="s">
        <v>351</v>
      </c>
      <c r="E7" s="100" t="s">
        <v>420</v>
      </c>
      <c r="F7" s="99" t="s">
        <v>348</v>
      </c>
      <c r="G7" s="99" t="s">
        <v>312</v>
      </c>
      <c r="H7" s="99" t="s">
        <v>31</v>
      </c>
      <c r="I7" s="99" t="s">
        <v>246</v>
      </c>
      <c r="J7" s="99"/>
      <c r="K7" s="101">
        <v>9</v>
      </c>
      <c r="L7" s="101">
        <f>K7*VLOOKUP(H7,dagsoorttabel2,2,FALSE)</f>
        <v>33.75</v>
      </c>
      <c r="M7" s="102">
        <f>prodnorm97</f>
        <v>0</v>
      </c>
      <c r="N7" s="37">
        <f>dagwerk97</f>
        <v>0</v>
      </c>
      <c r="O7" s="99" t="s">
        <v>108</v>
      </c>
      <c r="P7" s="24">
        <f>uurtarief97</f>
        <v>0</v>
      </c>
      <c r="Q7" s="101" t="e">
        <f>IF(ISBLANK(M7),0,L7/ROUND(M7,4))</f>
        <v>#DIV/0!</v>
      </c>
      <c r="R7" s="101" t="e">
        <f>IF(ISBLANK(M7),0,Q7*ROUND(N7,2))</f>
        <v>#DIV/0!</v>
      </c>
      <c r="S7" s="24" t="e">
        <f>ROUND(P7,2)*Q7</f>
        <v>#DIV/0!</v>
      </c>
      <c r="T7" s="101" t="e">
        <f>Q7*dagenperjaar2</f>
        <v>#DIV/0!</v>
      </c>
      <c r="U7" s="25" t="e">
        <f>T7*ROUND(P7,2)</f>
        <v>#DIV/0!</v>
      </c>
    </row>
    <row r="8" spans="1:21" x14ac:dyDescent="0.2">
      <c r="A8" s="98" t="s">
        <v>417</v>
      </c>
      <c r="B8" s="99" t="s">
        <v>50</v>
      </c>
      <c r="C8" s="99" t="s">
        <v>345</v>
      </c>
      <c r="D8" s="99" t="s">
        <v>353</v>
      </c>
      <c r="E8" s="100" t="s">
        <v>420</v>
      </c>
      <c r="F8" s="99" t="s">
        <v>348</v>
      </c>
      <c r="G8" s="99" t="s">
        <v>312</v>
      </c>
      <c r="H8" s="99" t="s">
        <v>31</v>
      </c>
      <c r="I8" s="99" t="s">
        <v>246</v>
      </c>
      <c r="J8" s="99"/>
      <c r="K8" s="101">
        <v>5</v>
      </c>
      <c r="L8" s="101">
        <f>K8*VLOOKUP(H8,dagsoorttabel2,2,FALSE)</f>
        <v>18.75</v>
      </c>
      <c r="M8" s="102">
        <f>prodnorm97</f>
        <v>0</v>
      </c>
      <c r="N8" s="37">
        <f>dagwerk97</f>
        <v>0</v>
      </c>
      <c r="O8" s="99" t="s">
        <v>108</v>
      </c>
      <c r="P8" s="24">
        <f>uurtarief97</f>
        <v>0</v>
      </c>
      <c r="Q8" s="101" t="e">
        <f>IF(ISBLANK(M8),0,L8/ROUND(M8,4))</f>
        <v>#DIV/0!</v>
      </c>
      <c r="R8" s="101" t="e">
        <f>IF(ISBLANK(M8),0,Q8*ROUND(N8,2))</f>
        <v>#DIV/0!</v>
      </c>
      <c r="S8" s="24" t="e">
        <f>ROUND(P8,2)*Q8</f>
        <v>#DIV/0!</v>
      </c>
      <c r="T8" s="101" t="e">
        <f>Q8*dagenperjaar2</f>
        <v>#DIV/0!</v>
      </c>
      <c r="U8" s="25" t="e">
        <f>T8*ROUND(P8,2)</f>
        <v>#DIV/0!</v>
      </c>
    </row>
    <row r="9" spans="1:21" x14ac:dyDescent="0.2">
      <c r="A9" s="98" t="s">
        <v>417</v>
      </c>
      <c r="B9" s="99" t="s">
        <v>50</v>
      </c>
      <c r="C9" s="99" t="s">
        <v>345</v>
      </c>
      <c r="D9" s="99" t="s">
        <v>355</v>
      </c>
      <c r="E9" s="100" t="s">
        <v>420</v>
      </c>
      <c r="F9" s="99" t="s">
        <v>348</v>
      </c>
      <c r="G9" s="99" t="s">
        <v>312</v>
      </c>
      <c r="H9" s="99" t="s">
        <v>31</v>
      </c>
      <c r="I9" s="99" t="s">
        <v>246</v>
      </c>
      <c r="J9" s="99"/>
      <c r="K9" s="101">
        <v>11</v>
      </c>
      <c r="L9" s="101">
        <f>K9*VLOOKUP(H9,dagsoorttabel2,2,FALSE)</f>
        <v>41.25</v>
      </c>
      <c r="M9" s="102">
        <f>prodnorm97</f>
        <v>0</v>
      </c>
      <c r="N9" s="37">
        <f>dagwerk97</f>
        <v>0</v>
      </c>
      <c r="O9" s="99" t="s">
        <v>108</v>
      </c>
      <c r="P9" s="24">
        <f>uurtarief97</f>
        <v>0</v>
      </c>
      <c r="Q9" s="101" t="e">
        <f>IF(ISBLANK(M9),0,L9/ROUND(M9,4))</f>
        <v>#DIV/0!</v>
      </c>
      <c r="R9" s="101" t="e">
        <f>IF(ISBLANK(M9),0,Q9*ROUND(N9,2))</f>
        <v>#DIV/0!</v>
      </c>
      <c r="S9" s="24" t="e">
        <f>ROUND(P9,2)*Q9</f>
        <v>#DIV/0!</v>
      </c>
      <c r="T9" s="101" t="e">
        <f>Q9*dagenperjaar2</f>
        <v>#DIV/0!</v>
      </c>
      <c r="U9" s="25" t="e">
        <f>T9*ROUND(P9,2)</f>
        <v>#DIV/0!</v>
      </c>
    </row>
    <row r="10" spans="1:21" x14ac:dyDescent="0.2">
      <c r="A10" s="98" t="s">
        <v>417</v>
      </c>
      <c r="B10" s="99" t="s">
        <v>50</v>
      </c>
      <c r="C10" s="99" t="s">
        <v>345</v>
      </c>
      <c r="D10" s="99" t="s">
        <v>357</v>
      </c>
      <c r="E10" s="100" t="s">
        <v>421</v>
      </c>
      <c r="F10" s="99" t="s">
        <v>348</v>
      </c>
      <c r="G10" s="99" t="s">
        <v>314</v>
      </c>
      <c r="H10" s="99" t="s">
        <v>31</v>
      </c>
      <c r="I10" s="99" t="s">
        <v>246</v>
      </c>
      <c r="J10" s="99"/>
      <c r="K10" s="101">
        <v>60</v>
      </c>
      <c r="L10" s="101">
        <f>K10*VLOOKUP(H10,dagsoorttabel2,2,FALSE)</f>
        <v>225</v>
      </c>
      <c r="M10" s="102">
        <f>prodnorm99</f>
        <v>0</v>
      </c>
      <c r="N10" s="37">
        <f>dagwerk99</f>
        <v>0</v>
      </c>
      <c r="O10" s="99" t="s">
        <v>108</v>
      </c>
      <c r="P10" s="24">
        <f>uurtarief99</f>
        <v>0</v>
      </c>
      <c r="Q10" s="101" t="e">
        <f>IF(ISBLANK(M10),0,L10/ROUND(M10,4))</f>
        <v>#DIV/0!</v>
      </c>
      <c r="R10" s="101" t="e">
        <f>IF(ISBLANK(M10),0,Q10*ROUND(N10,2))</f>
        <v>#DIV/0!</v>
      </c>
      <c r="S10" s="24" t="e">
        <f>ROUND(P10,2)*Q10</f>
        <v>#DIV/0!</v>
      </c>
      <c r="T10" s="101" t="e">
        <f>Q10*dagenperjaar2</f>
        <v>#DIV/0!</v>
      </c>
      <c r="U10" s="25" t="e">
        <f>T10*ROUND(P10,2)</f>
        <v>#DIV/0!</v>
      </c>
    </row>
    <row r="11" spans="1:21" x14ac:dyDescent="0.2">
      <c r="A11" s="98" t="s">
        <v>417</v>
      </c>
      <c r="B11" s="99" t="s">
        <v>50</v>
      </c>
      <c r="C11" s="99" t="s">
        <v>345</v>
      </c>
      <c r="D11" s="99" t="s">
        <v>359</v>
      </c>
      <c r="E11" s="100" t="s">
        <v>422</v>
      </c>
      <c r="F11" s="99" t="s">
        <v>423</v>
      </c>
      <c r="G11" s="99" t="s">
        <v>299</v>
      </c>
      <c r="H11" s="99" t="s">
        <v>31</v>
      </c>
      <c r="I11" s="99" t="s">
        <v>246</v>
      </c>
      <c r="J11" s="99"/>
      <c r="K11" s="101">
        <v>14</v>
      </c>
      <c r="L11" s="101">
        <f>K11*VLOOKUP(H11,dagsoorttabel2,2,FALSE)</f>
        <v>52.5</v>
      </c>
      <c r="M11" s="102">
        <f>prodnorm89</f>
        <v>0</v>
      </c>
      <c r="N11" s="37">
        <f>dagwerk89</f>
        <v>0</v>
      </c>
      <c r="O11" s="99" t="s">
        <v>108</v>
      </c>
      <c r="P11" s="24">
        <f>uurtarief89</f>
        <v>0</v>
      </c>
      <c r="Q11" s="101" t="e">
        <f>IF(ISBLANK(M11),0,L11/ROUND(M11,4))</f>
        <v>#DIV/0!</v>
      </c>
      <c r="R11" s="101" t="e">
        <f>IF(ISBLANK(M11),0,Q11*ROUND(N11,2))</f>
        <v>#DIV/0!</v>
      </c>
      <c r="S11" s="24" t="e">
        <f>ROUND(P11,2)*Q11</f>
        <v>#DIV/0!</v>
      </c>
      <c r="T11" s="101" t="e">
        <f>Q11*dagenperjaar2</f>
        <v>#DIV/0!</v>
      </c>
      <c r="U11" s="25" t="e">
        <f>T11*ROUND(P11,2)</f>
        <v>#DIV/0!</v>
      </c>
    </row>
    <row r="12" spans="1:21" x14ac:dyDescent="0.2">
      <c r="A12" s="98" t="s">
        <v>417</v>
      </c>
      <c r="B12" s="99" t="s">
        <v>50</v>
      </c>
      <c r="C12" s="99" t="s">
        <v>345</v>
      </c>
      <c r="D12" s="99" t="s">
        <v>361</v>
      </c>
      <c r="E12" s="100" t="s">
        <v>424</v>
      </c>
      <c r="F12" s="99" t="s">
        <v>423</v>
      </c>
      <c r="G12" s="99" t="s">
        <v>310</v>
      </c>
      <c r="H12" s="99" t="s">
        <v>31</v>
      </c>
      <c r="I12" s="99" t="s">
        <v>246</v>
      </c>
      <c r="J12" s="99"/>
      <c r="K12" s="101">
        <v>16</v>
      </c>
      <c r="L12" s="101">
        <f>K12*VLOOKUP(H12,dagsoorttabel2,2,FALSE)</f>
        <v>60</v>
      </c>
      <c r="M12" s="102">
        <f>prodnorm96</f>
        <v>0</v>
      </c>
      <c r="N12" s="37">
        <f>dagwerk96</f>
        <v>0</v>
      </c>
      <c r="O12" s="99" t="s">
        <v>108</v>
      </c>
      <c r="P12" s="24">
        <f>uurtarief96</f>
        <v>0</v>
      </c>
      <c r="Q12" s="101" t="e">
        <f>IF(ISBLANK(M12),0,L12/ROUND(M12,4))</f>
        <v>#DIV/0!</v>
      </c>
      <c r="R12" s="101" t="e">
        <f>IF(ISBLANK(M12),0,Q12*ROUND(N12,2))</f>
        <v>#DIV/0!</v>
      </c>
      <c r="S12" s="24" t="e">
        <f>ROUND(P12,2)*Q12</f>
        <v>#DIV/0!</v>
      </c>
      <c r="T12" s="101" t="e">
        <f>Q12*dagenperjaar2</f>
        <v>#DIV/0!</v>
      </c>
      <c r="U12" s="25" t="e">
        <f>T12*ROUND(P12,2)</f>
        <v>#DIV/0!</v>
      </c>
    </row>
    <row r="13" spans="1:21" x14ac:dyDescent="0.2">
      <c r="A13" s="98" t="s">
        <v>417</v>
      </c>
      <c r="B13" s="99" t="s">
        <v>50</v>
      </c>
      <c r="C13" s="99" t="s">
        <v>345</v>
      </c>
      <c r="D13" s="99" t="s">
        <v>363</v>
      </c>
      <c r="E13" s="100" t="s">
        <v>425</v>
      </c>
      <c r="F13" s="99" t="s">
        <v>423</v>
      </c>
      <c r="G13" s="99" t="s">
        <v>314</v>
      </c>
      <c r="H13" s="99" t="s">
        <v>31</v>
      </c>
      <c r="I13" s="99" t="s">
        <v>246</v>
      </c>
      <c r="J13" s="99"/>
      <c r="K13" s="101">
        <v>6.5</v>
      </c>
      <c r="L13" s="101">
        <f>K13*VLOOKUP(H13,dagsoorttabel2,2,FALSE)</f>
        <v>24.375</v>
      </c>
      <c r="M13" s="102">
        <f>prodnorm99</f>
        <v>0</v>
      </c>
      <c r="N13" s="37">
        <f>dagwerk99</f>
        <v>0</v>
      </c>
      <c r="O13" s="99" t="s">
        <v>108</v>
      </c>
      <c r="P13" s="24">
        <f>uurtarief99</f>
        <v>0</v>
      </c>
      <c r="Q13" s="101" t="e">
        <f>IF(ISBLANK(M13),0,L13/ROUND(M13,4))</f>
        <v>#DIV/0!</v>
      </c>
      <c r="R13" s="101" t="e">
        <f>IF(ISBLANK(M13),0,Q13*ROUND(N13,2))</f>
        <v>#DIV/0!</v>
      </c>
      <c r="S13" s="24" t="e">
        <f>ROUND(P13,2)*Q13</f>
        <v>#DIV/0!</v>
      </c>
      <c r="T13" s="101" t="e">
        <f>Q13*dagenperjaar2</f>
        <v>#DIV/0!</v>
      </c>
      <c r="U13" s="25" t="e">
        <f>T13*ROUND(P13,2)</f>
        <v>#DIV/0!</v>
      </c>
    </row>
    <row r="14" spans="1:21" x14ac:dyDescent="0.2">
      <c r="A14" s="98" t="s">
        <v>417</v>
      </c>
      <c r="B14" s="99" t="s">
        <v>50</v>
      </c>
      <c r="C14" s="99" t="s">
        <v>345</v>
      </c>
      <c r="D14" s="99" t="s">
        <v>365</v>
      </c>
      <c r="E14" s="100" t="s">
        <v>420</v>
      </c>
      <c r="F14" s="99" t="s">
        <v>348</v>
      </c>
      <c r="G14" s="99" t="s">
        <v>312</v>
      </c>
      <c r="H14" s="99" t="s">
        <v>31</v>
      </c>
      <c r="I14" s="99" t="s">
        <v>246</v>
      </c>
      <c r="J14" s="99"/>
      <c r="K14" s="101">
        <v>1</v>
      </c>
      <c r="L14" s="101">
        <f>K14*VLOOKUP(H14,dagsoorttabel2,2,FALSE)</f>
        <v>3.75</v>
      </c>
      <c r="M14" s="102">
        <f>prodnorm97</f>
        <v>0</v>
      </c>
      <c r="N14" s="37">
        <f>dagwerk97</f>
        <v>0</v>
      </c>
      <c r="O14" s="99" t="s">
        <v>108</v>
      </c>
      <c r="P14" s="24">
        <f>uurtarief97</f>
        <v>0</v>
      </c>
      <c r="Q14" s="101" t="e">
        <f>IF(ISBLANK(M14),0,L14/ROUND(M14,4))</f>
        <v>#DIV/0!</v>
      </c>
      <c r="R14" s="101" t="e">
        <f>IF(ISBLANK(M14),0,Q14*ROUND(N14,2))</f>
        <v>#DIV/0!</v>
      </c>
      <c r="S14" s="24" t="e">
        <f>ROUND(P14,2)*Q14</f>
        <v>#DIV/0!</v>
      </c>
      <c r="T14" s="101" t="e">
        <f>Q14*dagenperjaar2</f>
        <v>#DIV/0!</v>
      </c>
      <c r="U14" s="25" t="e">
        <f>T14*ROUND(P14,2)</f>
        <v>#DIV/0!</v>
      </c>
    </row>
    <row r="15" spans="1:21" x14ac:dyDescent="0.2">
      <c r="A15" s="98" t="s">
        <v>417</v>
      </c>
      <c r="B15" s="99" t="s">
        <v>50</v>
      </c>
      <c r="C15" s="99" t="s">
        <v>345</v>
      </c>
      <c r="D15" s="99" t="s">
        <v>367</v>
      </c>
      <c r="E15" s="100" t="s">
        <v>426</v>
      </c>
      <c r="F15" s="99" t="s">
        <v>348</v>
      </c>
      <c r="G15" s="99" t="s">
        <v>307</v>
      </c>
      <c r="H15" s="99" t="s">
        <v>31</v>
      </c>
      <c r="I15" s="99" t="s">
        <v>246</v>
      </c>
      <c r="J15" s="99"/>
      <c r="K15" s="101">
        <v>10</v>
      </c>
      <c r="L15" s="101">
        <f>K15*VLOOKUP(H15,dagsoorttabel2,2,FALSE)</f>
        <v>37.5</v>
      </c>
      <c r="M15" s="102">
        <f>prodnorm94</f>
        <v>0</v>
      </c>
      <c r="N15" s="37">
        <f>dagwerk94</f>
        <v>0</v>
      </c>
      <c r="O15" s="99" t="s">
        <v>108</v>
      </c>
      <c r="P15" s="24">
        <f>uurtarief94</f>
        <v>0</v>
      </c>
      <c r="Q15" s="101" t="e">
        <f>IF(ISBLANK(M15),0,L15/ROUND(M15,4))</f>
        <v>#DIV/0!</v>
      </c>
      <c r="R15" s="101" t="e">
        <f>IF(ISBLANK(M15),0,Q15*ROUND(N15,2))</f>
        <v>#DIV/0!</v>
      </c>
      <c r="S15" s="24" t="e">
        <f>ROUND(P15,2)*Q15</f>
        <v>#DIV/0!</v>
      </c>
      <c r="T15" s="101" t="e">
        <f>Q15*dagenperjaar2</f>
        <v>#DIV/0!</v>
      </c>
      <c r="U15" s="25" t="e">
        <f>T15*ROUND(P15,2)</f>
        <v>#DIV/0!</v>
      </c>
    </row>
    <row r="16" spans="1:21" x14ac:dyDescent="0.2">
      <c r="A16" s="98" t="s">
        <v>417</v>
      </c>
      <c r="B16" s="99" t="s">
        <v>50</v>
      </c>
      <c r="C16" s="99" t="s">
        <v>345</v>
      </c>
      <c r="D16" s="99" t="s">
        <v>369</v>
      </c>
      <c r="E16" s="100" t="s">
        <v>427</v>
      </c>
      <c r="F16" s="99" t="s">
        <v>348</v>
      </c>
      <c r="G16" s="99" t="s">
        <v>301</v>
      </c>
      <c r="H16" s="99" t="s">
        <v>31</v>
      </c>
      <c r="I16" s="99" t="s">
        <v>246</v>
      </c>
      <c r="J16" s="99"/>
      <c r="K16" s="101">
        <v>4.5</v>
      </c>
      <c r="L16" s="101">
        <f>K16*VLOOKUP(H16,dagsoorttabel2,2,FALSE)</f>
        <v>16.875</v>
      </c>
      <c r="M16" s="102">
        <f>prodnorm90</f>
        <v>0</v>
      </c>
      <c r="N16" s="37">
        <f>dagwerk90</f>
        <v>0</v>
      </c>
      <c r="O16" s="99" t="s">
        <v>108</v>
      </c>
      <c r="P16" s="24">
        <f>uurtarief90</f>
        <v>0</v>
      </c>
      <c r="Q16" s="101" t="e">
        <f>IF(ISBLANK(M16),0,L16/ROUND(M16,4))</f>
        <v>#DIV/0!</v>
      </c>
      <c r="R16" s="101" t="e">
        <f>IF(ISBLANK(M16),0,Q16*ROUND(N16,2))</f>
        <v>#DIV/0!</v>
      </c>
      <c r="S16" s="24" t="e">
        <f>ROUND(P16,2)*Q16</f>
        <v>#DIV/0!</v>
      </c>
      <c r="T16" s="101" t="e">
        <f>Q16*dagenperjaar2</f>
        <v>#DIV/0!</v>
      </c>
      <c r="U16" s="25" t="e">
        <f>T16*ROUND(P16,2)</f>
        <v>#DIV/0!</v>
      </c>
    </row>
    <row r="17" spans="1:21" x14ac:dyDescent="0.2">
      <c r="A17" s="98" t="s">
        <v>417</v>
      </c>
      <c r="B17" s="99" t="s">
        <v>50</v>
      </c>
      <c r="C17" s="99" t="s">
        <v>345</v>
      </c>
      <c r="D17" s="99" t="s">
        <v>371</v>
      </c>
      <c r="E17" s="100" t="s">
        <v>420</v>
      </c>
      <c r="F17" s="99" t="s">
        <v>348</v>
      </c>
      <c r="G17" s="99" t="s">
        <v>312</v>
      </c>
      <c r="H17" s="99" t="s">
        <v>31</v>
      </c>
      <c r="I17" s="99" t="s">
        <v>246</v>
      </c>
      <c r="J17" s="99"/>
      <c r="K17" s="101">
        <v>1</v>
      </c>
      <c r="L17" s="101">
        <f>K17*VLOOKUP(H17,dagsoorttabel2,2,FALSE)</f>
        <v>3.75</v>
      </c>
      <c r="M17" s="102">
        <f>prodnorm97</f>
        <v>0</v>
      </c>
      <c r="N17" s="37">
        <f>dagwerk97</f>
        <v>0</v>
      </c>
      <c r="O17" s="99" t="s">
        <v>108</v>
      </c>
      <c r="P17" s="24">
        <f>uurtarief97</f>
        <v>0</v>
      </c>
      <c r="Q17" s="101" t="e">
        <f>IF(ISBLANK(M17),0,L17/ROUND(M17,4))</f>
        <v>#DIV/0!</v>
      </c>
      <c r="R17" s="101" t="e">
        <f>IF(ISBLANK(M17),0,Q17*ROUND(N17,2))</f>
        <v>#DIV/0!</v>
      </c>
      <c r="S17" s="24" t="e">
        <f>ROUND(P17,2)*Q17</f>
        <v>#DIV/0!</v>
      </c>
      <c r="T17" s="101" t="e">
        <f>Q17*dagenperjaar2</f>
        <v>#DIV/0!</v>
      </c>
      <c r="U17" s="25" t="e">
        <f>T17*ROUND(P17,2)</f>
        <v>#DIV/0!</v>
      </c>
    </row>
    <row r="18" spans="1:21" x14ac:dyDescent="0.2">
      <c r="A18" s="98" t="s">
        <v>417</v>
      </c>
      <c r="B18" s="99" t="s">
        <v>50</v>
      </c>
      <c r="C18" s="99" t="s">
        <v>345</v>
      </c>
      <c r="D18" s="99" t="s">
        <v>373</v>
      </c>
      <c r="E18" s="100" t="s">
        <v>420</v>
      </c>
      <c r="F18" s="99" t="s">
        <v>348</v>
      </c>
      <c r="G18" s="99" t="s">
        <v>312</v>
      </c>
      <c r="H18" s="99" t="s">
        <v>31</v>
      </c>
      <c r="I18" s="99" t="s">
        <v>246</v>
      </c>
      <c r="J18" s="99"/>
      <c r="K18" s="101">
        <v>1</v>
      </c>
      <c r="L18" s="101">
        <f>K18*VLOOKUP(H18,dagsoorttabel2,2,FALSE)</f>
        <v>3.75</v>
      </c>
      <c r="M18" s="102">
        <f>prodnorm97</f>
        <v>0</v>
      </c>
      <c r="N18" s="37">
        <f>dagwerk97</f>
        <v>0</v>
      </c>
      <c r="O18" s="99" t="s">
        <v>108</v>
      </c>
      <c r="P18" s="24">
        <f>uurtarief97</f>
        <v>0</v>
      </c>
      <c r="Q18" s="101" t="e">
        <f>IF(ISBLANK(M18),0,L18/ROUND(M18,4))</f>
        <v>#DIV/0!</v>
      </c>
      <c r="R18" s="101" t="e">
        <f>IF(ISBLANK(M18),0,Q18*ROUND(N18,2))</f>
        <v>#DIV/0!</v>
      </c>
      <c r="S18" s="24" t="e">
        <f>ROUND(P18,2)*Q18</f>
        <v>#DIV/0!</v>
      </c>
      <c r="T18" s="101" t="e">
        <f>Q18*dagenperjaar2</f>
        <v>#DIV/0!</v>
      </c>
      <c r="U18" s="25" t="e">
        <f>T18*ROUND(P18,2)</f>
        <v>#DIV/0!</v>
      </c>
    </row>
    <row r="19" spans="1:21" x14ac:dyDescent="0.2">
      <c r="A19" s="98" t="s">
        <v>417</v>
      </c>
      <c r="B19" s="99" t="s">
        <v>50</v>
      </c>
      <c r="C19" s="99" t="s">
        <v>345</v>
      </c>
      <c r="D19" s="99" t="s">
        <v>375</v>
      </c>
      <c r="E19" s="100" t="s">
        <v>426</v>
      </c>
      <c r="F19" s="99" t="s">
        <v>348</v>
      </c>
      <c r="G19" s="99" t="s">
        <v>307</v>
      </c>
      <c r="H19" s="99" t="s">
        <v>31</v>
      </c>
      <c r="I19" s="99" t="s">
        <v>246</v>
      </c>
      <c r="J19" s="99"/>
      <c r="K19" s="101">
        <v>10</v>
      </c>
      <c r="L19" s="101">
        <f>K19*VLOOKUP(H19,dagsoorttabel2,2,FALSE)</f>
        <v>37.5</v>
      </c>
      <c r="M19" s="102">
        <f>prodnorm94</f>
        <v>0</v>
      </c>
      <c r="N19" s="37">
        <f>dagwerk94</f>
        <v>0</v>
      </c>
      <c r="O19" s="99" t="s">
        <v>108</v>
      </c>
      <c r="P19" s="24">
        <f>uurtarief94</f>
        <v>0</v>
      </c>
      <c r="Q19" s="101" t="e">
        <f>IF(ISBLANK(M19),0,L19/ROUND(M19,4))</f>
        <v>#DIV/0!</v>
      </c>
      <c r="R19" s="101" t="e">
        <f>IF(ISBLANK(M19),0,Q19*ROUND(N19,2))</f>
        <v>#DIV/0!</v>
      </c>
      <c r="S19" s="24" t="e">
        <f>ROUND(P19,2)*Q19</f>
        <v>#DIV/0!</v>
      </c>
      <c r="T19" s="101" t="e">
        <f>Q19*dagenperjaar2</f>
        <v>#DIV/0!</v>
      </c>
      <c r="U19" s="25" t="e">
        <f>T19*ROUND(P19,2)</f>
        <v>#DIV/0!</v>
      </c>
    </row>
    <row r="20" spans="1:21" x14ac:dyDescent="0.2">
      <c r="A20" s="98" t="s">
        <v>417</v>
      </c>
      <c r="B20" s="99" t="s">
        <v>50</v>
      </c>
      <c r="C20" s="99" t="s">
        <v>345</v>
      </c>
      <c r="D20" s="99" t="s">
        <v>377</v>
      </c>
      <c r="E20" s="100" t="s">
        <v>427</v>
      </c>
      <c r="F20" s="99" t="s">
        <v>348</v>
      </c>
      <c r="G20" s="99" t="s">
        <v>301</v>
      </c>
      <c r="H20" s="99" t="s">
        <v>31</v>
      </c>
      <c r="I20" s="99" t="s">
        <v>246</v>
      </c>
      <c r="J20" s="99"/>
      <c r="K20" s="101">
        <v>4.5</v>
      </c>
      <c r="L20" s="101">
        <f>K20*VLOOKUP(H20,dagsoorttabel2,2,FALSE)</f>
        <v>16.875</v>
      </c>
      <c r="M20" s="102">
        <f>prodnorm90</f>
        <v>0</v>
      </c>
      <c r="N20" s="37">
        <f>dagwerk90</f>
        <v>0</v>
      </c>
      <c r="O20" s="99" t="s">
        <v>108</v>
      </c>
      <c r="P20" s="24">
        <f>uurtarief90</f>
        <v>0</v>
      </c>
      <c r="Q20" s="101" t="e">
        <f>IF(ISBLANK(M20),0,L20/ROUND(M20,4))</f>
        <v>#DIV/0!</v>
      </c>
      <c r="R20" s="101" t="e">
        <f>IF(ISBLANK(M20),0,Q20*ROUND(N20,2))</f>
        <v>#DIV/0!</v>
      </c>
      <c r="S20" s="24" t="e">
        <f>ROUND(P20,2)*Q20</f>
        <v>#DIV/0!</v>
      </c>
      <c r="T20" s="101" t="e">
        <f>Q20*dagenperjaar2</f>
        <v>#DIV/0!</v>
      </c>
      <c r="U20" s="25" t="e">
        <f>T20*ROUND(P20,2)</f>
        <v>#DIV/0!</v>
      </c>
    </row>
    <row r="21" spans="1:21" x14ac:dyDescent="0.2">
      <c r="A21" s="98" t="s">
        <v>417</v>
      </c>
      <c r="B21" s="99" t="s">
        <v>50</v>
      </c>
      <c r="C21" s="99" t="s">
        <v>345</v>
      </c>
      <c r="D21" s="99" t="s">
        <v>379</v>
      </c>
      <c r="E21" s="100" t="s">
        <v>428</v>
      </c>
      <c r="F21" s="99" t="s">
        <v>348</v>
      </c>
      <c r="G21" s="99" t="s">
        <v>309</v>
      </c>
      <c r="H21" s="99" t="s">
        <v>31</v>
      </c>
      <c r="I21" s="99" t="s">
        <v>246</v>
      </c>
      <c r="J21" s="99"/>
      <c r="K21" s="101">
        <v>56</v>
      </c>
      <c r="L21" s="101">
        <f>K21*VLOOKUP(H21,dagsoorttabel2,2,FALSE)</f>
        <v>210</v>
      </c>
      <c r="M21" s="102">
        <f>prodnorm95</f>
        <v>0</v>
      </c>
      <c r="N21" s="37">
        <f>dagwerk95</f>
        <v>0</v>
      </c>
      <c r="O21" s="99" t="s">
        <v>108</v>
      </c>
      <c r="P21" s="24">
        <f>uurtarief95</f>
        <v>0</v>
      </c>
      <c r="Q21" s="101" t="e">
        <f>IF(ISBLANK(M21),0,L21/ROUND(M21,4))</f>
        <v>#DIV/0!</v>
      </c>
      <c r="R21" s="101" t="e">
        <f>IF(ISBLANK(M21),0,Q21*ROUND(N21,2))</f>
        <v>#DIV/0!</v>
      </c>
      <c r="S21" s="24" t="e">
        <f>ROUND(P21,2)*Q21</f>
        <v>#DIV/0!</v>
      </c>
      <c r="T21" s="101" t="e">
        <f>Q21*dagenperjaar2</f>
        <v>#DIV/0!</v>
      </c>
      <c r="U21" s="25" t="e">
        <f>T21*ROUND(P21,2)</f>
        <v>#DIV/0!</v>
      </c>
    </row>
    <row r="22" spans="1:21" x14ac:dyDescent="0.2">
      <c r="A22" s="98" t="s">
        <v>417</v>
      </c>
      <c r="B22" s="99" t="s">
        <v>50</v>
      </c>
      <c r="C22" s="99" t="s">
        <v>345</v>
      </c>
      <c r="D22" s="99" t="s">
        <v>381</v>
      </c>
      <c r="E22" s="100" t="s">
        <v>428</v>
      </c>
      <c r="F22" s="99" t="s">
        <v>348</v>
      </c>
      <c r="G22" s="99" t="s">
        <v>309</v>
      </c>
      <c r="H22" s="99" t="s">
        <v>31</v>
      </c>
      <c r="I22" s="99" t="s">
        <v>246</v>
      </c>
      <c r="J22" s="99"/>
      <c r="K22" s="101">
        <v>56</v>
      </c>
      <c r="L22" s="101">
        <f>K22*VLOOKUP(H22,dagsoorttabel2,2,FALSE)</f>
        <v>210</v>
      </c>
      <c r="M22" s="102">
        <f>prodnorm95</f>
        <v>0</v>
      </c>
      <c r="N22" s="37">
        <f>dagwerk95</f>
        <v>0</v>
      </c>
      <c r="O22" s="99" t="s">
        <v>108</v>
      </c>
      <c r="P22" s="24">
        <f>uurtarief95</f>
        <v>0</v>
      </c>
      <c r="Q22" s="101" t="e">
        <f>IF(ISBLANK(M22),0,L22/ROUND(M22,4))</f>
        <v>#DIV/0!</v>
      </c>
      <c r="R22" s="101" t="e">
        <f>IF(ISBLANK(M22),0,Q22*ROUND(N22,2))</f>
        <v>#DIV/0!</v>
      </c>
      <c r="S22" s="24" t="e">
        <f>ROUND(P22,2)*Q22</f>
        <v>#DIV/0!</v>
      </c>
      <c r="T22" s="101" t="e">
        <f>Q22*dagenperjaar2</f>
        <v>#DIV/0!</v>
      </c>
      <c r="U22" s="25" t="e">
        <f>T22*ROUND(P22,2)</f>
        <v>#DIV/0!</v>
      </c>
    </row>
    <row r="23" spans="1:21" x14ac:dyDescent="0.2">
      <c r="A23" s="98" t="s">
        <v>417</v>
      </c>
      <c r="B23" s="99" t="s">
        <v>50</v>
      </c>
      <c r="C23" s="99" t="s">
        <v>345</v>
      </c>
      <c r="D23" s="99" t="s">
        <v>382</v>
      </c>
      <c r="E23" s="100" t="s">
        <v>429</v>
      </c>
      <c r="F23" s="99" t="s">
        <v>348</v>
      </c>
      <c r="G23" s="99" t="s">
        <v>314</v>
      </c>
      <c r="H23" s="99" t="s">
        <v>31</v>
      </c>
      <c r="I23" s="99" t="s">
        <v>246</v>
      </c>
      <c r="J23" s="99"/>
      <c r="K23" s="101">
        <v>20</v>
      </c>
      <c r="L23" s="101">
        <f>K23*VLOOKUP(H23,dagsoorttabel2,2,FALSE)</f>
        <v>75</v>
      </c>
      <c r="M23" s="102">
        <f>prodnorm99</f>
        <v>0</v>
      </c>
      <c r="N23" s="37">
        <f>dagwerk99</f>
        <v>0</v>
      </c>
      <c r="O23" s="99" t="s">
        <v>108</v>
      </c>
      <c r="P23" s="24">
        <f>uurtarief99</f>
        <v>0</v>
      </c>
      <c r="Q23" s="101" t="e">
        <f>IF(ISBLANK(M23),0,L23/ROUND(M23,4))</f>
        <v>#DIV/0!</v>
      </c>
      <c r="R23" s="101" t="e">
        <f>IF(ISBLANK(M23),0,Q23*ROUND(N23,2))</f>
        <v>#DIV/0!</v>
      </c>
      <c r="S23" s="24" t="e">
        <f>ROUND(P23,2)*Q23</f>
        <v>#DIV/0!</v>
      </c>
      <c r="T23" s="101" t="e">
        <f>Q23*dagenperjaar2</f>
        <v>#DIV/0!</v>
      </c>
      <c r="U23" s="25" t="e">
        <f>T23*ROUND(P23,2)</f>
        <v>#DIV/0!</v>
      </c>
    </row>
    <row r="24" spans="1:21" x14ac:dyDescent="0.2">
      <c r="A24" s="98" t="s">
        <v>417</v>
      </c>
      <c r="B24" s="99" t="s">
        <v>50</v>
      </c>
      <c r="C24" s="99" t="s">
        <v>345</v>
      </c>
      <c r="D24" s="99" t="s">
        <v>383</v>
      </c>
      <c r="E24" s="100" t="s">
        <v>430</v>
      </c>
      <c r="F24" s="99" t="s">
        <v>431</v>
      </c>
      <c r="G24" s="99" t="s">
        <v>313</v>
      </c>
      <c r="H24" s="99" t="s">
        <v>31</v>
      </c>
      <c r="I24" s="99" t="s">
        <v>246</v>
      </c>
      <c r="J24" s="99"/>
      <c r="K24" s="101">
        <v>17</v>
      </c>
      <c r="L24" s="101">
        <f>K24*VLOOKUP(H24,dagsoorttabel2,2,FALSE)</f>
        <v>63.75</v>
      </c>
      <c r="M24" s="102">
        <f>prodnorm98</f>
        <v>0</v>
      </c>
      <c r="N24" s="37">
        <f>dagwerk98</f>
        <v>0</v>
      </c>
      <c r="O24" s="99" t="s">
        <v>108</v>
      </c>
      <c r="P24" s="24">
        <f>uurtarief98</f>
        <v>0</v>
      </c>
      <c r="Q24" s="101" t="e">
        <f>IF(ISBLANK(M24),0,L24/ROUND(M24,4))</f>
        <v>#DIV/0!</v>
      </c>
      <c r="R24" s="101" t="e">
        <f>IF(ISBLANK(M24),0,Q24*ROUND(N24,2))</f>
        <v>#DIV/0!</v>
      </c>
      <c r="S24" s="24" t="e">
        <f>ROUND(P24,2)*Q24</f>
        <v>#DIV/0!</v>
      </c>
      <c r="T24" s="101" t="e">
        <f>Q24*dagenperjaar2</f>
        <v>#DIV/0!</v>
      </c>
      <c r="U24" s="25" t="e">
        <f>T24*ROUND(P24,2)</f>
        <v>#DIV/0!</v>
      </c>
    </row>
    <row r="25" spans="1:21" x14ac:dyDescent="0.2">
      <c r="A25" s="98" t="s">
        <v>417</v>
      </c>
      <c r="B25" s="99" t="s">
        <v>50</v>
      </c>
      <c r="C25" s="99" t="s">
        <v>345</v>
      </c>
      <c r="D25" s="99" t="s">
        <v>384</v>
      </c>
      <c r="E25" s="100" t="s">
        <v>426</v>
      </c>
      <c r="F25" s="99" t="s">
        <v>348</v>
      </c>
      <c r="G25" s="99" t="s">
        <v>307</v>
      </c>
      <c r="H25" s="99" t="s">
        <v>31</v>
      </c>
      <c r="I25" s="99" t="s">
        <v>246</v>
      </c>
      <c r="J25" s="99"/>
      <c r="K25" s="101">
        <v>24.5</v>
      </c>
      <c r="L25" s="101">
        <f>K25*VLOOKUP(H25,dagsoorttabel2,2,FALSE)</f>
        <v>91.875</v>
      </c>
      <c r="M25" s="102">
        <f>prodnorm94</f>
        <v>0</v>
      </c>
      <c r="N25" s="37">
        <f>dagwerk94</f>
        <v>0</v>
      </c>
      <c r="O25" s="99" t="s">
        <v>108</v>
      </c>
      <c r="P25" s="24">
        <f>uurtarief94</f>
        <v>0</v>
      </c>
      <c r="Q25" s="101" t="e">
        <f>IF(ISBLANK(M25),0,L25/ROUND(M25,4))</f>
        <v>#DIV/0!</v>
      </c>
      <c r="R25" s="101" t="e">
        <f>IF(ISBLANK(M25),0,Q25*ROUND(N25,2))</f>
        <v>#DIV/0!</v>
      </c>
      <c r="S25" s="24" t="e">
        <f>ROUND(P25,2)*Q25</f>
        <v>#DIV/0!</v>
      </c>
      <c r="T25" s="101" t="e">
        <f>Q25*dagenperjaar2</f>
        <v>#DIV/0!</v>
      </c>
      <c r="U25" s="25" t="e">
        <f>T25*ROUND(P25,2)</f>
        <v>#DIV/0!</v>
      </c>
    </row>
    <row r="26" spans="1:21" x14ac:dyDescent="0.2">
      <c r="A26" s="98" t="s">
        <v>417</v>
      </c>
      <c r="B26" s="99" t="s">
        <v>50</v>
      </c>
      <c r="C26" s="99" t="s">
        <v>345</v>
      </c>
      <c r="D26" s="99" t="s">
        <v>385</v>
      </c>
      <c r="E26" s="100" t="s">
        <v>427</v>
      </c>
      <c r="F26" s="99" t="s">
        <v>348</v>
      </c>
      <c r="G26" s="99" t="s">
        <v>301</v>
      </c>
      <c r="H26" s="99" t="s">
        <v>31</v>
      </c>
      <c r="I26" s="99" t="s">
        <v>246</v>
      </c>
      <c r="J26" s="99"/>
      <c r="K26" s="101">
        <v>9</v>
      </c>
      <c r="L26" s="101">
        <f>K26*VLOOKUP(H26,dagsoorttabel2,2,FALSE)</f>
        <v>33.75</v>
      </c>
      <c r="M26" s="102">
        <f>prodnorm90</f>
        <v>0</v>
      </c>
      <c r="N26" s="37">
        <f>dagwerk90</f>
        <v>0</v>
      </c>
      <c r="O26" s="99" t="s">
        <v>108</v>
      </c>
      <c r="P26" s="24">
        <f>uurtarief90</f>
        <v>0</v>
      </c>
      <c r="Q26" s="101" t="e">
        <f>IF(ISBLANK(M26),0,L26/ROUND(M26,4))</f>
        <v>#DIV/0!</v>
      </c>
      <c r="R26" s="101" t="e">
        <f>IF(ISBLANK(M26),0,Q26*ROUND(N26,2))</f>
        <v>#DIV/0!</v>
      </c>
      <c r="S26" s="24" t="e">
        <f>ROUND(P26,2)*Q26</f>
        <v>#DIV/0!</v>
      </c>
      <c r="T26" s="101" t="e">
        <f>Q26*dagenperjaar2</f>
        <v>#DIV/0!</v>
      </c>
      <c r="U26" s="25" t="e">
        <f>T26*ROUND(P26,2)</f>
        <v>#DIV/0!</v>
      </c>
    </row>
    <row r="27" spans="1:21" x14ac:dyDescent="0.2">
      <c r="A27" s="98" t="s">
        <v>417</v>
      </c>
      <c r="B27" s="99" t="s">
        <v>50</v>
      </c>
      <c r="C27" s="99" t="s">
        <v>345</v>
      </c>
      <c r="D27" s="99" t="s">
        <v>386</v>
      </c>
      <c r="E27" s="100" t="s">
        <v>426</v>
      </c>
      <c r="F27" s="99" t="s">
        <v>348</v>
      </c>
      <c r="G27" s="99" t="s">
        <v>307</v>
      </c>
      <c r="H27" s="99" t="s">
        <v>31</v>
      </c>
      <c r="I27" s="99" t="s">
        <v>246</v>
      </c>
      <c r="J27" s="99"/>
      <c r="K27" s="101">
        <v>14.5</v>
      </c>
      <c r="L27" s="101">
        <f>K27*VLOOKUP(H27,dagsoorttabel2,2,FALSE)</f>
        <v>54.375</v>
      </c>
      <c r="M27" s="102">
        <f>prodnorm94</f>
        <v>0</v>
      </c>
      <c r="N27" s="37">
        <f>dagwerk94</f>
        <v>0</v>
      </c>
      <c r="O27" s="99" t="s">
        <v>108</v>
      </c>
      <c r="P27" s="24">
        <f>uurtarief94</f>
        <v>0</v>
      </c>
      <c r="Q27" s="101" t="e">
        <f>IF(ISBLANK(M27),0,L27/ROUND(M27,4))</f>
        <v>#DIV/0!</v>
      </c>
      <c r="R27" s="101" t="e">
        <f>IF(ISBLANK(M27),0,Q27*ROUND(N27,2))</f>
        <v>#DIV/0!</v>
      </c>
      <c r="S27" s="24" t="e">
        <f>ROUND(P27,2)*Q27</f>
        <v>#DIV/0!</v>
      </c>
      <c r="T27" s="101" t="e">
        <f>Q27*dagenperjaar2</f>
        <v>#DIV/0!</v>
      </c>
      <c r="U27" s="25" t="e">
        <f>T27*ROUND(P27,2)</f>
        <v>#DIV/0!</v>
      </c>
    </row>
    <row r="28" spans="1:21" x14ac:dyDescent="0.2">
      <c r="A28" s="98" t="s">
        <v>417</v>
      </c>
      <c r="B28" s="99" t="s">
        <v>50</v>
      </c>
      <c r="C28" s="99" t="s">
        <v>345</v>
      </c>
      <c r="D28" s="99" t="s">
        <v>387</v>
      </c>
      <c r="E28" s="100" t="s">
        <v>427</v>
      </c>
      <c r="F28" s="99" t="s">
        <v>348</v>
      </c>
      <c r="G28" s="99" t="s">
        <v>301</v>
      </c>
      <c r="H28" s="99" t="s">
        <v>31</v>
      </c>
      <c r="I28" s="99" t="s">
        <v>246</v>
      </c>
      <c r="J28" s="99"/>
      <c r="K28" s="101">
        <v>9</v>
      </c>
      <c r="L28" s="101">
        <f>K28*VLOOKUP(H28,dagsoorttabel2,2,FALSE)</f>
        <v>33.75</v>
      </c>
      <c r="M28" s="102">
        <f>prodnorm90</f>
        <v>0</v>
      </c>
      <c r="N28" s="37">
        <f>dagwerk90</f>
        <v>0</v>
      </c>
      <c r="O28" s="99" t="s">
        <v>108</v>
      </c>
      <c r="P28" s="24">
        <f>uurtarief90</f>
        <v>0</v>
      </c>
      <c r="Q28" s="101" t="e">
        <f>IF(ISBLANK(M28),0,L28/ROUND(M28,4))</f>
        <v>#DIV/0!</v>
      </c>
      <c r="R28" s="101" t="e">
        <f>IF(ISBLANK(M28),0,Q28*ROUND(N28,2))</f>
        <v>#DIV/0!</v>
      </c>
      <c r="S28" s="24" t="e">
        <f>ROUND(P28,2)*Q28</f>
        <v>#DIV/0!</v>
      </c>
      <c r="T28" s="101" t="e">
        <f>Q28*dagenperjaar2</f>
        <v>#DIV/0!</v>
      </c>
      <c r="U28" s="25" t="e">
        <f>T28*ROUND(P28,2)</f>
        <v>#DIV/0!</v>
      </c>
    </row>
    <row r="29" spans="1:21" x14ac:dyDescent="0.2">
      <c r="A29" s="98" t="s">
        <v>417</v>
      </c>
      <c r="B29" s="99" t="s">
        <v>50</v>
      </c>
      <c r="C29" s="99" t="s">
        <v>345</v>
      </c>
      <c r="D29" s="99" t="s">
        <v>388</v>
      </c>
      <c r="E29" s="100" t="s">
        <v>426</v>
      </c>
      <c r="F29" s="99" t="s">
        <v>348</v>
      </c>
      <c r="G29" s="99" t="s">
        <v>307</v>
      </c>
      <c r="H29" s="99" t="s">
        <v>31</v>
      </c>
      <c r="I29" s="99" t="s">
        <v>246</v>
      </c>
      <c r="J29" s="99"/>
      <c r="K29" s="101">
        <v>24.5</v>
      </c>
      <c r="L29" s="101">
        <f>K29*VLOOKUP(H29,dagsoorttabel2,2,FALSE)</f>
        <v>91.875</v>
      </c>
      <c r="M29" s="102">
        <f>prodnorm94</f>
        <v>0</v>
      </c>
      <c r="N29" s="37">
        <f>dagwerk94</f>
        <v>0</v>
      </c>
      <c r="O29" s="99" t="s">
        <v>108</v>
      </c>
      <c r="P29" s="24">
        <f>uurtarief94</f>
        <v>0</v>
      </c>
      <c r="Q29" s="101" t="e">
        <f>IF(ISBLANK(M29),0,L29/ROUND(M29,4))</f>
        <v>#DIV/0!</v>
      </c>
      <c r="R29" s="101" t="e">
        <f>IF(ISBLANK(M29),0,Q29*ROUND(N29,2))</f>
        <v>#DIV/0!</v>
      </c>
      <c r="S29" s="24" t="e">
        <f>ROUND(P29,2)*Q29</f>
        <v>#DIV/0!</v>
      </c>
      <c r="T29" s="101" t="e">
        <f>Q29*dagenperjaar2</f>
        <v>#DIV/0!</v>
      </c>
      <c r="U29" s="25" t="e">
        <f>T29*ROUND(P29,2)</f>
        <v>#DIV/0!</v>
      </c>
    </row>
    <row r="30" spans="1:21" x14ac:dyDescent="0.2">
      <c r="A30" s="98" t="s">
        <v>417</v>
      </c>
      <c r="B30" s="99" t="s">
        <v>50</v>
      </c>
      <c r="C30" s="99" t="s">
        <v>345</v>
      </c>
      <c r="D30" s="99" t="s">
        <v>389</v>
      </c>
      <c r="E30" s="100" t="s">
        <v>427</v>
      </c>
      <c r="F30" s="99" t="s">
        <v>348</v>
      </c>
      <c r="G30" s="99" t="s">
        <v>301</v>
      </c>
      <c r="H30" s="99" t="s">
        <v>31</v>
      </c>
      <c r="I30" s="99" t="s">
        <v>246</v>
      </c>
      <c r="J30" s="99"/>
      <c r="K30" s="101">
        <v>9</v>
      </c>
      <c r="L30" s="101">
        <f>K30*VLOOKUP(H30,dagsoorttabel2,2,FALSE)</f>
        <v>33.75</v>
      </c>
      <c r="M30" s="102">
        <f>prodnorm90</f>
        <v>0</v>
      </c>
      <c r="N30" s="37">
        <f>dagwerk90</f>
        <v>0</v>
      </c>
      <c r="O30" s="99" t="s">
        <v>108</v>
      </c>
      <c r="P30" s="24">
        <f>uurtarief90</f>
        <v>0</v>
      </c>
      <c r="Q30" s="101" t="e">
        <f>IF(ISBLANK(M30),0,L30/ROUND(M30,4))</f>
        <v>#DIV/0!</v>
      </c>
      <c r="R30" s="101" t="e">
        <f>IF(ISBLANK(M30),0,Q30*ROUND(N30,2))</f>
        <v>#DIV/0!</v>
      </c>
      <c r="S30" s="24" t="e">
        <f>ROUND(P30,2)*Q30</f>
        <v>#DIV/0!</v>
      </c>
      <c r="T30" s="101" t="e">
        <f>Q30*dagenperjaar2</f>
        <v>#DIV/0!</v>
      </c>
      <c r="U30" s="25" t="e">
        <f>T30*ROUND(P30,2)</f>
        <v>#DIV/0!</v>
      </c>
    </row>
    <row r="31" spans="1:21" x14ac:dyDescent="0.2">
      <c r="A31" s="98" t="s">
        <v>417</v>
      </c>
      <c r="B31" s="99" t="s">
        <v>50</v>
      </c>
      <c r="C31" s="99" t="s">
        <v>345</v>
      </c>
      <c r="D31" s="99" t="s">
        <v>390</v>
      </c>
      <c r="E31" s="100" t="s">
        <v>426</v>
      </c>
      <c r="F31" s="99" t="s">
        <v>348</v>
      </c>
      <c r="G31" s="99" t="s">
        <v>307</v>
      </c>
      <c r="H31" s="99" t="s">
        <v>31</v>
      </c>
      <c r="I31" s="99" t="s">
        <v>246</v>
      </c>
      <c r="J31" s="99"/>
      <c r="K31" s="101">
        <v>11</v>
      </c>
      <c r="L31" s="101">
        <f>K31*VLOOKUP(H31,dagsoorttabel2,2,FALSE)</f>
        <v>41.25</v>
      </c>
      <c r="M31" s="102">
        <f>prodnorm94</f>
        <v>0</v>
      </c>
      <c r="N31" s="37">
        <f>dagwerk94</f>
        <v>0</v>
      </c>
      <c r="O31" s="99" t="s">
        <v>108</v>
      </c>
      <c r="P31" s="24">
        <f>uurtarief94</f>
        <v>0</v>
      </c>
      <c r="Q31" s="101" t="e">
        <f>IF(ISBLANK(M31),0,L31/ROUND(M31,4))</f>
        <v>#DIV/0!</v>
      </c>
      <c r="R31" s="101" t="e">
        <f>IF(ISBLANK(M31),0,Q31*ROUND(N31,2))</f>
        <v>#DIV/0!</v>
      </c>
      <c r="S31" s="24" t="e">
        <f>ROUND(P31,2)*Q31</f>
        <v>#DIV/0!</v>
      </c>
      <c r="T31" s="101" t="e">
        <f>Q31*dagenperjaar2</f>
        <v>#DIV/0!</v>
      </c>
      <c r="U31" s="25" t="e">
        <f>T31*ROUND(P31,2)</f>
        <v>#DIV/0!</v>
      </c>
    </row>
    <row r="32" spans="1:21" x14ac:dyDescent="0.2">
      <c r="A32" s="98" t="s">
        <v>417</v>
      </c>
      <c r="B32" s="99" t="s">
        <v>50</v>
      </c>
      <c r="C32" s="99" t="s">
        <v>345</v>
      </c>
      <c r="D32" s="99" t="s">
        <v>392</v>
      </c>
      <c r="E32" s="100" t="s">
        <v>427</v>
      </c>
      <c r="F32" s="99" t="s">
        <v>348</v>
      </c>
      <c r="G32" s="99" t="s">
        <v>301</v>
      </c>
      <c r="H32" s="99" t="s">
        <v>31</v>
      </c>
      <c r="I32" s="99" t="s">
        <v>246</v>
      </c>
      <c r="J32" s="99"/>
      <c r="K32" s="101">
        <v>4</v>
      </c>
      <c r="L32" s="101">
        <f>K32*VLOOKUP(H32,dagsoorttabel2,2,FALSE)</f>
        <v>15</v>
      </c>
      <c r="M32" s="102">
        <f>prodnorm90</f>
        <v>0</v>
      </c>
      <c r="N32" s="37">
        <f>dagwerk90</f>
        <v>0</v>
      </c>
      <c r="O32" s="99" t="s">
        <v>108</v>
      </c>
      <c r="P32" s="24">
        <f>uurtarief90</f>
        <v>0</v>
      </c>
      <c r="Q32" s="101" t="e">
        <f>IF(ISBLANK(M32),0,L32/ROUND(M32,4))</f>
        <v>#DIV/0!</v>
      </c>
      <c r="R32" s="101" t="e">
        <f>IF(ISBLANK(M32),0,Q32*ROUND(N32,2))</f>
        <v>#DIV/0!</v>
      </c>
      <c r="S32" s="24" t="e">
        <f>ROUND(P32,2)*Q32</f>
        <v>#DIV/0!</v>
      </c>
      <c r="T32" s="101" t="e">
        <f>Q32*dagenperjaar2</f>
        <v>#DIV/0!</v>
      </c>
      <c r="U32" s="25" t="e">
        <f>T32*ROUND(P32,2)</f>
        <v>#DIV/0!</v>
      </c>
    </row>
    <row r="33" spans="1:21" x14ac:dyDescent="0.2">
      <c r="A33" s="98" t="s">
        <v>417</v>
      </c>
      <c r="B33" s="99" t="s">
        <v>50</v>
      </c>
      <c r="C33" s="99" t="s">
        <v>345</v>
      </c>
      <c r="D33" s="99" t="s">
        <v>395</v>
      </c>
      <c r="E33" s="100" t="s">
        <v>426</v>
      </c>
      <c r="F33" s="99" t="s">
        <v>348</v>
      </c>
      <c r="G33" s="99" t="s">
        <v>307</v>
      </c>
      <c r="H33" s="99" t="s">
        <v>31</v>
      </c>
      <c r="I33" s="99" t="s">
        <v>246</v>
      </c>
      <c r="J33" s="99"/>
      <c r="K33" s="101">
        <v>11</v>
      </c>
      <c r="L33" s="101">
        <f>K33*VLOOKUP(H33,dagsoorttabel2,2,FALSE)</f>
        <v>41.25</v>
      </c>
      <c r="M33" s="102">
        <f>prodnorm94</f>
        <v>0</v>
      </c>
      <c r="N33" s="37">
        <f>dagwerk94</f>
        <v>0</v>
      </c>
      <c r="O33" s="99" t="s">
        <v>108</v>
      </c>
      <c r="P33" s="24">
        <f>uurtarief94</f>
        <v>0</v>
      </c>
      <c r="Q33" s="101" t="e">
        <f>IF(ISBLANK(M33),0,L33/ROUND(M33,4))</f>
        <v>#DIV/0!</v>
      </c>
      <c r="R33" s="101" t="e">
        <f>IF(ISBLANK(M33),0,Q33*ROUND(N33,2))</f>
        <v>#DIV/0!</v>
      </c>
      <c r="S33" s="24" t="e">
        <f>ROUND(P33,2)*Q33</f>
        <v>#DIV/0!</v>
      </c>
      <c r="T33" s="101" t="e">
        <f>Q33*dagenperjaar2</f>
        <v>#DIV/0!</v>
      </c>
      <c r="U33" s="25" t="e">
        <f>T33*ROUND(P33,2)</f>
        <v>#DIV/0!</v>
      </c>
    </row>
    <row r="34" spans="1:21" x14ac:dyDescent="0.2">
      <c r="A34" s="98" t="s">
        <v>417</v>
      </c>
      <c r="B34" s="99" t="s">
        <v>50</v>
      </c>
      <c r="C34" s="99" t="s">
        <v>345</v>
      </c>
      <c r="D34" s="99" t="s">
        <v>398</v>
      </c>
      <c r="E34" s="100" t="s">
        <v>427</v>
      </c>
      <c r="F34" s="99" t="s">
        <v>348</v>
      </c>
      <c r="G34" s="99" t="s">
        <v>301</v>
      </c>
      <c r="H34" s="99" t="s">
        <v>31</v>
      </c>
      <c r="I34" s="99" t="s">
        <v>246</v>
      </c>
      <c r="J34" s="99"/>
      <c r="K34" s="101">
        <v>4</v>
      </c>
      <c r="L34" s="101">
        <f>K34*VLOOKUP(H34,dagsoorttabel2,2,FALSE)</f>
        <v>15</v>
      </c>
      <c r="M34" s="102">
        <f>prodnorm90</f>
        <v>0</v>
      </c>
      <c r="N34" s="37">
        <f>dagwerk90</f>
        <v>0</v>
      </c>
      <c r="O34" s="99" t="s">
        <v>108</v>
      </c>
      <c r="P34" s="24">
        <f>uurtarief90</f>
        <v>0</v>
      </c>
      <c r="Q34" s="101" t="e">
        <f>IF(ISBLANK(M34),0,L34/ROUND(M34,4))</f>
        <v>#DIV/0!</v>
      </c>
      <c r="R34" s="101" t="e">
        <f>IF(ISBLANK(M34),0,Q34*ROUND(N34,2))</f>
        <v>#DIV/0!</v>
      </c>
      <c r="S34" s="24" t="e">
        <f>ROUND(P34,2)*Q34</f>
        <v>#DIV/0!</v>
      </c>
      <c r="T34" s="101" t="e">
        <f>Q34*dagenperjaar2</f>
        <v>#DIV/0!</v>
      </c>
      <c r="U34" s="25" t="e">
        <f>T34*ROUND(P34,2)</f>
        <v>#DIV/0!</v>
      </c>
    </row>
    <row r="35" spans="1:21" x14ac:dyDescent="0.2">
      <c r="A35" s="98" t="s">
        <v>417</v>
      </c>
      <c r="B35" s="99" t="s">
        <v>50</v>
      </c>
      <c r="C35" s="99" t="s">
        <v>345</v>
      </c>
      <c r="D35" s="99" t="s">
        <v>399</v>
      </c>
      <c r="E35" s="100" t="s">
        <v>426</v>
      </c>
      <c r="F35" s="99" t="s">
        <v>348</v>
      </c>
      <c r="G35" s="99" t="s">
        <v>307</v>
      </c>
      <c r="H35" s="99" t="s">
        <v>31</v>
      </c>
      <c r="I35" s="99" t="s">
        <v>246</v>
      </c>
      <c r="J35" s="99"/>
      <c r="K35" s="101">
        <v>14.5</v>
      </c>
      <c r="L35" s="101">
        <f>K35*VLOOKUP(H35,dagsoorttabel2,2,FALSE)</f>
        <v>54.375</v>
      </c>
      <c r="M35" s="102">
        <f>prodnorm94</f>
        <v>0</v>
      </c>
      <c r="N35" s="37">
        <f>dagwerk94</f>
        <v>0</v>
      </c>
      <c r="O35" s="99" t="s">
        <v>108</v>
      </c>
      <c r="P35" s="24">
        <f>uurtarief94</f>
        <v>0</v>
      </c>
      <c r="Q35" s="101" t="e">
        <f>IF(ISBLANK(M35),0,L35/ROUND(M35,4))</f>
        <v>#DIV/0!</v>
      </c>
      <c r="R35" s="101" t="e">
        <f>IF(ISBLANK(M35),0,Q35*ROUND(N35,2))</f>
        <v>#DIV/0!</v>
      </c>
      <c r="S35" s="24" t="e">
        <f>ROUND(P35,2)*Q35</f>
        <v>#DIV/0!</v>
      </c>
      <c r="T35" s="101" t="e">
        <f>Q35*dagenperjaar2</f>
        <v>#DIV/0!</v>
      </c>
      <c r="U35" s="25" t="e">
        <f>T35*ROUND(P35,2)</f>
        <v>#DIV/0!</v>
      </c>
    </row>
    <row r="36" spans="1:21" x14ac:dyDescent="0.2">
      <c r="A36" s="98" t="s">
        <v>417</v>
      </c>
      <c r="B36" s="99" t="s">
        <v>50</v>
      </c>
      <c r="C36" s="99" t="s">
        <v>345</v>
      </c>
      <c r="D36" s="99" t="s">
        <v>400</v>
      </c>
      <c r="E36" s="100" t="s">
        <v>427</v>
      </c>
      <c r="F36" s="99" t="s">
        <v>348</v>
      </c>
      <c r="G36" s="99" t="s">
        <v>301</v>
      </c>
      <c r="H36" s="99" t="s">
        <v>31</v>
      </c>
      <c r="I36" s="99" t="s">
        <v>246</v>
      </c>
      <c r="J36" s="99"/>
      <c r="K36" s="101">
        <v>9</v>
      </c>
      <c r="L36" s="101">
        <f>K36*VLOOKUP(H36,dagsoorttabel2,2,FALSE)</f>
        <v>33.75</v>
      </c>
      <c r="M36" s="102">
        <f>prodnorm90</f>
        <v>0</v>
      </c>
      <c r="N36" s="37">
        <f>dagwerk90</f>
        <v>0</v>
      </c>
      <c r="O36" s="99" t="s">
        <v>108</v>
      </c>
      <c r="P36" s="24">
        <f>uurtarief90</f>
        <v>0</v>
      </c>
      <c r="Q36" s="101" t="e">
        <f>IF(ISBLANK(M36),0,L36/ROUND(M36,4))</f>
        <v>#DIV/0!</v>
      </c>
      <c r="R36" s="101" t="e">
        <f>IF(ISBLANK(M36),0,Q36*ROUND(N36,2))</f>
        <v>#DIV/0!</v>
      </c>
      <c r="S36" s="24" t="e">
        <f>ROUND(P36,2)*Q36</f>
        <v>#DIV/0!</v>
      </c>
      <c r="T36" s="101" t="e">
        <f>Q36*dagenperjaar2</f>
        <v>#DIV/0!</v>
      </c>
      <c r="U36" s="25" t="e">
        <f>T36*ROUND(P36,2)</f>
        <v>#DIV/0!</v>
      </c>
    </row>
    <row r="37" spans="1:21" x14ac:dyDescent="0.2">
      <c r="A37" s="98" t="s">
        <v>417</v>
      </c>
      <c r="B37" s="99" t="s">
        <v>50</v>
      </c>
      <c r="C37" s="99" t="s">
        <v>345</v>
      </c>
      <c r="D37" s="99" t="s">
        <v>401</v>
      </c>
      <c r="E37" s="100" t="s">
        <v>426</v>
      </c>
      <c r="F37" s="99" t="s">
        <v>348</v>
      </c>
      <c r="G37" s="99" t="s">
        <v>307</v>
      </c>
      <c r="H37" s="99" t="s">
        <v>31</v>
      </c>
      <c r="I37" s="99" t="s">
        <v>246</v>
      </c>
      <c r="J37" s="99"/>
      <c r="K37" s="101">
        <v>14.5</v>
      </c>
      <c r="L37" s="101">
        <f>K37*VLOOKUP(H37,dagsoorttabel2,2,FALSE)</f>
        <v>54.375</v>
      </c>
      <c r="M37" s="102">
        <f>prodnorm94</f>
        <v>0</v>
      </c>
      <c r="N37" s="37">
        <f>dagwerk94</f>
        <v>0</v>
      </c>
      <c r="O37" s="99" t="s">
        <v>108</v>
      </c>
      <c r="P37" s="24">
        <f>uurtarief94</f>
        <v>0</v>
      </c>
      <c r="Q37" s="101" t="e">
        <f>IF(ISBLANK(M37),0,L37/ROUND(M37,4))</f>
        <v>#DIV/0!</v>
      </c>
      <c r="R37" s="101" t="e">
        <f>IF(ISBLANK(M37),0,Q37*ROUND(N37,2))</f>
        <v>#DIV/0!</v>
      </c>
      <c r="S37" s="24" t="e">
        <f>ROUND(P37,2)*Q37</f>
        <v>#DIV/0!</v>
      </c>
      <c r="T37" s="101" t="e">
        <f>Q37*dagenperjaar2</f>
        <v>#DIV/0!</v>
      </c>
      <c r="U37" s="25" t="e">
        <f>T37*ROUND(P37,2)</f>
        <v>#DIV/0!</v>
      </c>
    </row>
    <row r="38" spans="1:21" x14ac:dyDescent="0.2">
      <c r="A38" s="98" t="s">
        <v>417</v>
      </c>
      <c r="B38" s="99" t="s">
        <v>50</v>
      </c>
      <c r="C38" s="99" t="s">
        <v>345</v>
      </c>
      <c r="D38" s="99" t="s">
        <v>402</v>
      </c>
      <c r="E38" s="100" t="s">
        <v>427</v>
      </c>
      <c r="F38" s="99" t="s">
        <v>348</v>
      </c>
      <c r="G38" s="99" t="s">
        <v>301</v>
      </c>
      <c r="H38" s="99" t="s">
        <v>31</v>
      </c>
      <c r="I38" s="99" t="s">
        <v>246</v>
      </c>
      <c r="J38" s="99"/>
      <c r="K38" s="101">
        <v>9</v>
      </c>
      <c r="L38" s="101">
        <f>K38*VLOOKUP(H38,dagsoorttabel2,2,FALSE)</f>
        <v>33.75</v>
      </c>
      <c r="M38" s="102">
        <f>prodnorm90</f>
        <v>0</v>
      </c>
      <c r="N38" s="37">
        <f>dagwerk90</f>
        <v>0</v>
      </c>
      <c r="O38" s="99" t="s">
        <v>108</v>
      </c>
      <c r="P38" s="24">
        <f>uurtarief90</f>
        <v>0</v>
      </c>
      <c r="Q38" s="101" t="e">
        <f>IF(ISBLANK(M38),0,L38/ROUND(M38,4))</f>
        <v>#DIV/0!</v>
      </c>
      <c r="R38" s="101" t="e">
        <f>IF(ISBLANK(M38),0,Q38*ROUND(N38,2))</f>
        <v>#DIV/0!</v>
      </c>
      <c r="S38" s="24" t="e">
        <f>ROUND(P38,2)*Q38</f>
        <v>#DIV/0!</v>
      </c>
      <c r="T38" s="101" t="e">
        <f>Q38*dagenperjaar2</f>
        <v>#DIV/0!</v>
      </c>
      <c r="U38" s="25" t="e">
        <f>T38*ROUND(P38,2)</f>
        <v>#DIV/0!</v>
      </c>
    </row>
    <row r="39" spans="1:21" x14ac:dyDescent="0.2">
      <c r="A39" s="98" t="s">
        <v>417</v>
      </c>
      <c r="B39" s="99" t="s">
        <v>50</v>
      </c>
      <c r="C39" s="99" t="s">
        <v>345</v>
      </c>
      <c r="D39" s="99" t="s">
        <v>432</v>
      </c>
      <c r="E39" s="100" t="s">
        <v>426</v>
      </c>
      <c r="F39" s="99" t="s">
        <v>348</v>
      </c>
      <c r="G39" s="99" t="s">
        <v>307</v>
      </c>
      <c r="H39" s="99" t="s">
        <v>31</v>
      </c>
      <c r="I39" s="99" t="s">
        <v>246</v>
      </c>
      <c r="J39" s="99"/>
      <c r="K39" s="101">
        <v>14.5</v>
      </c>
      <c r="L39" s="101">
        <f>K39*VLOOKUP(H39,dagsoorttabel2,2,FALSE)</f>
        <v>54.375</v>
      </c>
      <c r="M39" s="102">
        <f>prodnorm94</f>
        <v>0</v>
      </c>
      <c r="N39" s="37">
        <f>dagwerk94</f>
        <v>0</v>
      </c>
      <c r="O39" s="99" t="s">
        <v>108</v>
      </c>
      <c r="P39" s="24">
        <f>uurtarief94</f>
        <v>0</v>
      </c>
      <c r="Q39" s="101" t="e">
        <f>IF(ISBLANK(M39),0,L39/ROUND(M39,4))</f>
        <v>#DIV/0!</v>
      </c>
      <c r="R39" s="101" t="e">
        <f>IF(ISBLANK(M39),0,Q39*ROUND(N39,2))</f>
        <v>#DIV/0!</v>
      </c>
      <c r="S39" s="24" t="e">
        <f>ROUND(P39,2)*Q39</f>
        <v>#DIV/0!</v>
      </c>
      <c r="T39" s="101" t="e">
        <f>Q39*dagenperjaar2</f>
        <v>#DIV/0!</v>
      </c>
      <c r="U39" s="25" t="e">
        <f>T39*ROUND(P39,2)</f>
        <v>#DIV/0!</v>
      </c>
    </row>
    <row r="40" spans="1:21" x14ac:dyDescent="0.2">
      <c r="A40" s="98" t="s">
        <v>417</v>
      </c>
      <c r="B40" s="99" t="s">
        <v>50</v>
      </c>
      <c r="C40" s="99" t="s">
        <v>345</v>
      </c>
      <c r="D40" s="99" t="s">
        <v>433</v>
      </c>
      <c r="E40" s="100" t="s">
        <v>427</v>
      </c>
      <c r="F40" s="99" t="s">
        <v>348</v>
      </c>
      <c r="G40" s="99" t="s">
        <v>301</v>
      </c>
      <c r="H40" s="99" t="s">
        <v>31</v>
      </c>
      <c r="I40" s="99" t="s">
        <v>246</v>
      </c>
      <c r="J40" s="99"/>
      <c r="K40" s="101">
        <v>9</v>
      </c>
      <c r="L40" s="101">
        <f>K40*VLOOKUP(H40,dagsoorttabel2,2,FALSE)</f>
        <v>33.75</v>
      </c>
      <c r="M40" s="102">
        <f>prodnorm90</f>
        <v>0</v>
      </c>
      <c r="N40" s="37">
        <f>dagwerk90</f>
        <v>0</v>
      </c>
      <c r="O40" s="99" t="s">
        <v>108</v>
      </c>
      <c r="P40" s="24">
        <f>uurtarief90</f>
        <v>0</v>
      </c>
      <c r="Q40" s="101" t="e">
        <f>IF(ISBLANK(M40),0,L40/ROUND(M40,4))</f>
        <v>#DIV/0!</v>
      </c>
      <c r="R40" s="101" t="e">
        <f>IF(ISBLANK(M40),0,Q40*ROUND(N40,2))</f>
        <v>#DIV/0!</v>
      </c>
      <c r="S40" s="24" t="e">
        <f>ROUND(P40,2)*Q40</f>
        <v>#DIV/0!</v>
      </c>
      <c r="T40" s="101" t="e">
        <f>Q40*dagenperjaar2</f>
        <v>#DIV/0!</v>
      </c>
      <c r="U40" s="25" t="e">
        <f>T40*ROUND(P40,2)</f>
        <v>#DIV/0!</v>
      </c>
    </row>
    <row r="41" spans="1:21" x14ac:dyDescent="0.2">
      <c r="A41" s="98" t="s">
        <v>417</v>
      </c>
      <c r="B41" s="99" t="s">
        <v>50</v>
      </c>
      <c r="C41" s="99" t="s">
        <v>345</v>
      </c>
      <c r="D41" s="99" t="s">
        <v>434</v>
      </c>
      <c r="E41" s="100" t="s">
        <v>426</v>
      </c>
      <c r="F41" s="99" t="s">
        <v>348</v>
      </c>
      <c r="G41" s="99" t="s">
        <v>307</v>
      </c>
      <c r="H41" s="99" t="s">
        <v>31</v>
      </c>
      <c r="I41" s="99" t="s">
        <v>246</v>
      </c>
      <c r="J41" s="99"/>
      <c r="K41" s="101">
        <v>14.5</v>
      </c>
      <c r="L41" s="101">
        <f>K41*VLOOKUP(H41,dagsoorttabel2,2,FALSE)</f>
        <v>54.375</v>
      </c>
      <c r="M41" s="102">
        <f>prodnorm94</f>
        <v>0</v>
      </c>
      <c r="N41" s="37">
        <f>dagwerk94</f>
        <v>0</v>
      </c>
      <c r="O41" s="99" t="s">
        <v>108</v>
      </c>
      <c r="P41" s="24">
        <f>uurtarief94</f>
        <v>0</v>
      </c>
      <c r="Q41" s="101" t="e">
        <f>IF(ISBLANK(M41),0,L41/ROUND(M41,4))</f>
        <v>#DIV/0!</v>
      </c>
      <c r="R41" s="101" t="e">
        <f>IF(ISBLANK(M41),0,Q41*ROUND(N41,2))</f>
        <v>#DIV/0!</v>
      </c>
      <c r="S41" s="24" t="e">
        <f>ROUND(P41,2)*Q41</f>
        <v>#DIV/0!</v>
      </c>
      <c r="T41" s="101" t="e">
        <f>Q41*dagenperjaar2</f>
        <v>#DIV/0!</v>
      </c>
      <c r="U41" s="25" t="e">
        <f>T41*ROUND(P41,2)</f>
        <v>#DIV/0!</v>
      </c>
    </row>
    <row r="42" spans="1:21" x14ac:dyDescent="0.2">
      <c r="A42" s="98" t="s">
        <v>417</v>
      </c>
      <c r="B42" s="99" t="s">
        <v>50</v>
      </c>
      <c r="C42" s="99" t="s">
        <v>345</v>
      </c>
      <c r="D42" s="99" t="s">
        <v>435</v>
      </c>
      <c r="E42" s="100" t="s">
        <v>427</v>
      </c>
      <c r="F42" s="99" t="s">
        <v>348</v>
      </c>
      <c r="G42" s="99" t="s">
        <v>301</v>
      </c>
      <c r="H42" s="99" t="s">
        <v>31</v>
      </c>
      <c r="I42" s="99" t="s">
        <v>246</v>
      </c>
      <c r="J42" s="99"/>
      <c r="K42" s="101">
        <v>9</v>
      </c>
      <c r="L42" s="101">
        <f>K42*VLOOKUP(H42,dagsoorttabel2,2,FALSE)</f>
        <v>33.75</v>
      </c>
      <c r="M42" s="102">
        <f>prodnorm90</f>
        <v>0</v>
      </c>
      <c r="N42" s="37">
        <f>dagwerk90</f>
        <v>0</v>
      </c>
      <c r="O42" s="99" t="s">
        <v>108</v>
      </c>
      <c r="P42" s="24">
        <f>uurtarief90</f>
        <v>0</v>
      </c>
      <c r="Q42" s="101" t="e">
        <f>IF(ISBLANK(M42),0,L42/ROUND(M42,4))</f>
        <v>#DIV/0!</v>
      </c>
      <c r="R42" s="101" t="e">
        <f>IF(ISBLANK(M42),0,Q42*ROUND(N42,2))</f>
        <v>#DIV/0!</v>
      </c>
      <c r="S42" s="24" t="e">
        <f>ROUND(P42,2)*Q42</f>
        <v>#DIV/0!</v>
      </c>
      <c r="T42" s="101" t="e">
        <f>Q42*dagenperjaar2</f>
        <v>#DIV/0!</v>
      </c>
      <c r="U42" s="25" t="e">
        <f>T42*ROUND(P42,2)</f>
        <v>#DIV/0!</v>
      </c>
    </row>
    <row r="43" spans="1:21" x14ac:dyDescent="0.2">
      <c r="A43" s="98" t="s">
        <v>417</v>
      </c>
      <c r="B43" s="99" t="s">
        <v>50</v>
      </c>
      <c r="C43" s="99" t="s">
        <v>345</v>
      </c>
      <c r="D43" s="99" t="s">
        <v>436</v>
      </c>
      <c r="E43" s="100" t="s">
        <v>426</v>
      </c>
      <c r="F43" s="99" t="s">
        <v>348</v>
      </c>
      <c r="G43" s="99" t="s">
        <v>307</v>
      </c>
      <c r="H43" s="99" t="s">
        <v>31</v>
      </c>
      <c r="I43" s="99" t="s">
        <v>246</v>
      </c>
      <c r="J43" s="99"/>
      <c r="K43" s="101">
        <v>14.5</v>
      </c>
      <c r="L43" s="101">
        <f>K43*VLOOKUP(H43,dagsoorttabel2,2,FALSE)</f>
        <v>54.375</v>
      </c>
      <c r="M43" s="102">
        <f>prodnorm94</f>
        <v>0</v>
      </c>
      <c r="N43" s="37">
        <f>dagwerk94</f>
        <v>0</v>
      </c>
      <c r="O43" s="99" t="s">
        <v>108</v>
      </c>
      <c r="P43" s="24">
        <f>uurtarief94</f>
        <v>0</v>
      </c>
      <c r="Q43" s="101" t="e">
        <f>IF(ISBLANK(M43),0,L43/ROUND(M43,4))</f>
        <v>#DIV/0!</v>
      </c>
      <c r="R43" s="101" t="e">
        <f>IF(ISBLANK(M43),0,Q43*ROUND(N43,2))</f>
        <v>#DIV/0!</v>
      </c>
      <c r="S43" s="24" t="e">
        <f>ROUND(P43,2)*Q43</f>
        <v>#DIV/0!</v>
      </c>
      <c r="T43" s="101" t="e">
        <f>Q43*dagenperjaar2</f>
        <v>#DIV/0!</v>
      </c>
      <c r="U43" s="25" t="e">
        <f>T43*ROUND(P43,2)</f>
        <v>#DIV/0!</v>
      </c>
    </row>
    <row r="44" spans="1:21" x14ac:dyDescent="0.2">
      <c r="A44" s="98" t="s">
        <v>417</v>
      </c>
      <c r="B44" s="99" t="s">
        <v>50</v>
      </c>
      <c r="C44" s="99" t="s">
        <v>345</v>
      </c>
      <c r="D44" s="99" t="s">
        <v>437</v>
      </c>
      <c r="E44" s="100" t="s">
        <v>427</v>
      </c>
      <c r="F44" s="99" t="s">
        <v>348</v>
      </c>
      <c r="G44" s="99" t="s">
        <v>301</v>
      </c>
      <c r="H44" s="99" t="s">
        <v>31</v>
      </c>
      <c r="I44" s="99" t="s">
        <v>246</v>
      </c>
      <c r="J44" s="99"/>
      <c r="K44" s="101">
        <v>9</v>
      </c>
      <c r="L44" s="101">
        <f>K44*VLOOKUP(H44,dagsoorttabel2,2,FALSE)</f>
        <v>33.75</v>
      </c>
      <c r="M44" s="102">
        <f>prodnorm90</f>
        <v>0</v>
      </c>
      <c r="N44" s="37">
        <f>dagwerk90</f>
        <v>0</v>
      </c>
      <c r="O44" s="99" t="s">
        <v>108</v>
      </c>
      <c r="P44" s="24">
        <f>uurtarief90</f>
        <v>0</v>
      </c>
      <c r="Q44" s="101" t="e">
        <f>IF(ISBLANK(M44),0,L44/ROUND(M44,4))</f>
        <v>#DIV/0!</v>
      </c>
      <c r="R44" s="101" t="e">
        <f>IF(ISBLANK(M44),0,Q44*ROUND(N44,2))</f>
        <v>#DIV/0!</v>
      </c>
      <c r="S44" s="24" t="e">
        <f>ROUND(P44,2)*Q44</f>
        <v>#DIV/0!</v>
      </c>
      <c r="T44" s="101" t="e">
        <f>Q44*dagenperjaar2</f>
        <v>#DIV/0!</v>
      </c>
      <c r="U44" s="25" t="e">
        <f>T44*ROUND(P44,2)</f>
        <v>#DIV/0!</v>
      </c>
    </row>
    <row r="45" spans="1:21" x14ac:dyDescent="0.2">
      <c r="A45" s="98" t="s">
        <v>417</v>
      </c>
      <c r="B45" s="99" t="s">
        <v>50</v>
      </c>
      <c r="C45" s="99" t="s">
        <v>345</v>
      </c>
      <c r="D45" s="99" t="s">
        <v>438</v>
      </c>
      <c r="E45" s="100" t="s">
        <v>426</v>
      </c>
      <c r="F45" s="99" t="s">
        <v>348</v>
      </c>
      <c r="G45" s="99" t="s">
        <v>307</v>
      </c>
      <c r="H45" s="99" t="s">
        <v>31</v>
      </c>
      <c r="I45" s="99" t="s">
        <v>246</v>
      </c>
      <c r="J45" s="99"/>
      <c r="K45" s="101">
        <v>24.5</v>
      </c>
      <c r="L45" s="101">
        <f>K45*VLOOKUP(H45,dagsoorttabel2,2,FALSE)</f>
        <v>91.875</v>
      </c>
      <c r="M45" s="102">
        <f>prodnorm94</f>
        <v>0</v>
      </c>
      <c r="N45" s="37">
        <f>dagwerk94</f>
        <v>0</v>
      </c>
      <c r="O45" s="99" t="s">
        <v>108</v>
      </c>
      <c r="P45" s="24">
        <f>uurtarief94</f>
        <v>0</v>
      </c>
      <c r="Q45" s="101" t="e">
        <f>IF(ISBLANK(M45),0,L45/ROUND(M45,4))</f>
        <v>#DIV/0!</v>
      </c>
      <c r="R45" s="101" t="e">
        <f>IF(ISBLANK(M45),0,Q45*ROUND(N45,2))</f>
        <v>#DIV/0!</v>
      </c>
      <c r="S45" s="24" t="e">
        <f>ROUND(P45,2)*Q45</f>
        <v>#DIV/0!</v>
      </c>
      <c r="T45" s="101" t="e">
        <f>Q45*dagenperjaar2</f>
        <v>#DIV/0!</v>
      </c>
      <c r="U45" s="25" t="e">
        <f>T45*ROUND(P45,2)</f>
        <v>#DIV/0!</v>
      </c>
    </row>
    <row r="46" spans="1:21" x14ac:dyDescent="0.2">
      <c r="A46" s="98" t="s">
        <v>417</v>
      </c>
      <c r="B46" s="99" t="s">
        <v>50</v>
      </c>
      <c r="C46" s="99" t="s">
        <v>345</v>
      </c>
      <c r="D46" s="99" t="s">
        <v>439</v>
      </c>
      <c r="E46" s="100" t="s">
        <v>427</v>
      </c>
      <c r="F46" s="99" t="s">
        <v>348</v>
      </c>
      <c r="G46" s="99" t="s">
        <v>301</v>
      </c>
      <c r="H46" s="99" t="s">
        <v>31</v>
      </c>
      <c r="I46" s="99" t="s">
        <v>246</v>
      </c>
      <c r="J46" s="99"/>
      <c r="K46" s="101">
        <v>9</v>
      </c>
      <c r="L46" s="101">
        <f>K46*VLOOKUP(H46,dagsoorttabel2,2,FALSE)</f>
        <v>33.75</v>
      </c>
      <c r="M46" s="102">
        <f>prodnorm90</f>
        <v>0</v>
      </c>
      <c r="N46" s="37">
        <f>dagwerk90</f>
        <v>0</v>
      </c>
      <c r="O46" s="99" t="s">
        <v>108</v>
      </c>
      <c r="P46" s="24">
        <f>uurtarief90</f>
        <v>0</v>
      </c>
      <c r="Q46" s="101" t="e">
        <f>IF(ISBLANK(M46),0,L46/ROUND(M46,4))</f>
        <v>#DIV/0!</v>
      </c>
      <c r="R46" s="101" t="e">
        <f>IF(ISBLANK(M46),0,Q46*ROUND(N46,2))</f>
        <v>#DIV/0!</v>
      </c>
      <c r="S46" s="24" t="e">
        <f>ROUND(P46,2)*Q46</f>
        <v>#DIV/0!</v>
      </c>
      <c r="T46" s="101" t="e">
        <f>Q46*dagenperjaar2</f>
        <v>#DIV/0!</v>
      </c>
      <c r="U46" s="25" t="e">
        <f>T46*ROUND(P46,2)</f>
        <v>#DIV/0!</v>
      </c>
    </row>
    <row r="47" spans="1:21" x14ac:dyDescent="0.2">
      <c r="A47" s="98" t="s">
        <v>417</v>
      </c>
      <c r="B47" s="99" t="s">
        <v>50</v>
      </c>
      <c r="C47" s="99" t="s">
        <v>345</v>
      </c>
      <c r="D47" s="99" t="s">
        <v>440</v>
      </c>
      <c r="E47" s="100" t="s">
        <v>426</v>
      </c>
      <c r="F47" s="99" t="s">
        <v>348</v>
      </c>
      <c r="G47" s="99" t="s">
        <v>307</v>
      </c>
      <c r="H47" s="99" t="s">
        <v>31</v>
      </c>
      <c r="I47" s="99" t="s">
        <v>246</v>
      </c>
      <c r="J47" s="99"/>
      <c r="K47" s="101">
        <v>24.5</v>
      </c>
      <c r="L47" s="101">
        <f>K47*VLOOKUP(H47,dagsoorttabel2,2,FALSE)</f>
        <v>91.875</v>
      </c>
      <c r="M47" s="102">
        <f>prodnorm94</f>
        <v>0</v>
      </c>
      <c r="N47" s="37">
        <f>dagwerk94</f>
        <v>0</v>
      </c>
      <c r="O47" s="99" t="s">
        <v>108</v>
      </c>
      <c r="P47" s="24">
        <f>uurtarief94</f>
        <v>0</v>
      </c>
      <c r="Q47" s="101" t="e">
        <f>IF(ISBLANK(M47),0,L47/ROUND(M47,4))</f>
        <v>#DIV/0!</v>
      </c>
      <c r="R47" s="101" t="e">
        <f>IF(ISBLANK(M47),0,Q47*ROUND(N47,2))</f>
        <v>#DIV/0!</v>
      </c>
      <c r="S47" s="24" t="e">
        <f>ROUND(P47,2)*Q47</f>
        <v>#DIV/0!</v>
      </c>
      <c r="T47" s="101" t="e">
        <f>Q47*dagenperjaar2</f>
        <v>#DIV/0!</v>
      </c>
      <c r="U47" s="25" t="e">
        <f>T47*ROUND(P47,2)</f>
        <v>#DIV/0!</v>
      </c>
    </row>
    <row r="48" spans="1:21" x14ac:dyDescent="0.2">
      <c r="A48" s="98" t="s">
        <v>417</v>
      </c>
      <c r="B48" s="99" t="s">
        <v>50</v>
      </c>
      <c r="C48" s="99" t="s">
        <v>345</v>
      </c>
      <c r="D48" s="99" t="s">
        <v>441</v>
      </c>
      <c r="E48" s="100" t="s">
        <v>427</v>
      </c>
      <c r="F48" s="99" t="s">
        <v>348</v>
      </c>
      <c r="G48" s="99" t="s">
        <v>301</v>
      </c>
      <c r="H48" s="99" t="s">
        <v>31</v>
      </c>
      <c r="I48" s="99" t="s">
        <v>246</v>
      </c>
      <c r="J48" s="99"/>
      <c r="K48" s="101">
        <v>9</v>
      </c>
      <c r="L48" s="101">
        <f>K48*VLOOKUP(H48,dagsoorttabel2,2,FALSE)</f>
        <v>33.75</v>
      </c>
      <c r="M48" s="102">
        <f>prodnorm90</f>
        <v>0</v>
      </c>
      <c r="N48" s="37">
        <f>dagwerk90</f>
        <v>0</v>
      </c>
      <c r="O48" s="99" t="s">
        <v>108</v>
      </c>
      <c r="P48" s="24">
        <f>uurtarief90</f>
        <v>0</v>
      </c>
      <c r="Q48" s="101" t="e">
        <f>IF(ISBLANK(M48),0,L48/ROUND(M48,4))</f>
        <v>#DIV/0!</v>
      </c>
      <c r="R48" s="101" t="e">
        <f>IF(ISBLANK(M48),0,Q48*ROUND(N48,2))</f>
        <v>#DIV/0!</v>
      </c>
      <c r="S48" s="24" t="e">
        <f>ROUND(P48,2)*Q48</f>
        <v>#DIV/0!</v>
      </c>
      <c r="T48" s="101" t="e">
        <f>Q48*dagenperjaar2</f>
        <v>#DIV/0!</v>
      </c>
      <c r="U48" s="25" t="e">
        <f>T48*ROUND(P48,2)</f>
        <v>#DIV/0!</v>
      </c>
    </row>
    <row r="49" spans="1:21" x14ac:dyDescent="0.2">
      <c r="A49" s="98" t="s">
        <v>417</v>
      </c>
      <c r="B49" s="99" t="s">
        <v>50</v>
      </c>
      <c r="C49" s="99" t="s">
        <v>345</v>
      </c>
      <c r="D49" s="99" t="s">
        <v>442</v>
      </c>
      <c r="E49" s="100" t="s">
        <v>421</v>
      </c>
      <c r="F49" s="99" t="s">
        <v>443</v>
      </c>
      <c r="G49" s="99" t="s">
        <v>314</v>
      </c>
      <c r="H49" s="99" t="s">
        <v>31</v>
      </c>
      <c r="I49" s="99" t="s">
        <v>246</v>
      </c>
      <c r="J49" s="99"/>
      <c r="K49" s="101">
        <v>100</v>
      </c>
      <c r="L49" s="101">
        <f>K49*VLOOKUP(H49,dagsoorttabel2,2,FALSE)</f>
        <v>375</v>
      </c>
      <c r="M49" s="102">
        <f>prodnorm99</f>
        <v>0</v>
      </c>
      <c r="N49" s="37">
        <f>dagwerk99</f>
        <v>0</v>
      </c>
      <c r="O49" s="99" t="s">
        <v>108</v>
      </c>
      <c r="P49" s="24">
        <f>uurtarief99</f>
        <v>0</v>
      </c>
      <c r="Q49" s="101" t="e">
        <f>IF(ISBLANK(M49),0,L49/ROUND(M49,4))</f>
        <v>#DIV/0!</v>
      </c>
      <c r="R49" s="101" t="e">
        <f>IF(ISBLANK(M49),0,Q49*ROUND(N49,2))</f>
        <v>#DIV/0!</v>
      </c>
      <c r="S49" s="24" t="e">
        <f>ROUND(P49,2)*Q49</f>
        <v>#DIV/0!</v>
      </c>
      <c r="T49" s="101" t="e">
        <f>Q49*dagenperjaar2</f>
        <v>#DIV/0!</v>
      </c>
      <c r="U49" s="25" t="e">
        <f>T49*ROUND(P49,2)</f>
        <v>#DIV/0!</v>
      </c>
    </row>
    <row r="50" spans="1:21" x14ac:dyDescent="0.2">
      <c r="A50" s="98" t="s">
        <v>417</v>
      </c>
      <c r="B50" s="99" t="s">
        <v>50</v>
      </c>
      <c r="C50" s="99" t="s">
        <v>345</v>
      </c>
      <c r="D50" s="99" t="s">
        <v>444</v>
      </c>
      <c r="E50" s="100" t="s">
        <v>445</v>
      </c>
      <c r="F50" s="99" t="s">
        <v>446</v>
      </c>
      <c r="G50" s="99" t="s">
        <v>305</v>
      </c>
      <c r="H50" s="99" t="s">
        <v>31</v>
      </c>
      <c r="I50" s="99" t="s">
        <v>246</v>
      </c>
      <c r="J50" s="99"/>
      <c r="K50" s="101">
        <v>3650</v>
      </c>
      <c r="L50" s="101">
        <f>K50*VLOOKUP(H50,dagsoorttabel2,2,FALSE)</f>
        <v>13687.5</v>
      </c>
      <c r="M50" s="102">
        <f>prodnorm93</f>
        <v>0</v>
      </c>
      <c r="N50" s="37">
        <f>dagwerk93</f>
        <v>0</v>
      </c>
      <c r="O50" s="99" t="s">
        <v>108</v>
      </c>
      <c r="P50" s="24">
        <f>uurtarief93</f>
        <v>0</v>
      </c>
      <c r="Q50" s="101" t="e">
        <f>IF(ISBLANK(M50),0,L50/ROUND(M50,4))</f>
        <v>#DIV/0!</v>
      </c>
      <c r="R50" s="101" t="e">
        <f>IF(ISBLANK(M50),0,Q50*ROUND(N50,2))</f>
        <v>#DIV/0!</v>
      </c>
      <c r="S50" s="24" t="e">
        <f>ROUND(P50,2)*Q50</f>
        <v>#DIV/0!</v>
      </c>
      <c r="T50" s="101" t="e">
        <f>Q50*dagenperjaar2</f>
        <v>#DIV/0!</v>
      </c>
      <c r="U50" s="25" t="e">
        <f>T50*ROUND(P50,2)</f>
        <v>#DIV/0!</v>
      </c>
    </row>
    <row r="51" spans="1:21" x14ac:dyDescent="0.2">
      <c r="A51" s="98" t="s">
        <v>417</v>
      </c>
      <c r="B51" s="99" t="s">
        <v>50</v>
      </c>
      <c r="C51" s="99" t="s">
        <v>345</v>
      </c>
      <c r="D51" s="99" t="s">
        <v>447</v>
      </c>
      <c r="E51" s="100" t="s">
        <v>448</v>
      </c>
      <c r="F51" s="99" t="s">
        <v>449</v>
      </c>
      <c r="G51" s="99" t="s">
        <v>305</v>
      </c>
      <c r="H51" s="99" t="s">
        <v>31</v>
      </c>
      <c r="I51" s="99" t="s">
        <v>246</v>
      </c>
      <c r="J51" s="99"/>
      <c r="K51" s="101">
        <v>336</v>
      </c>
      <c r="L51" s="101">
        <f>K51*VLOOKUP(H51,dagsoorttabel2,2,FALSE)</f>
        <v>1260</v>
      </c>
      <c r="M51" s="102">
        <f>prodnorm93</f>
        <v>0</v>
      </c>
      <c r="N51" s="37">
        <f>dagwerk93</f>
        <v>0</v>
      </c>
      <c r="O51" s="99" t="s">
        <v>108</v>
      </c>
      <c r="P51" s="24">
        <f>uurtarief93</f>
        <v>0</v>
      </c>
      <c r="Q51" s="101" t="e">
        <f>IF(ISBLANK(M51),0,L51/ROUND(M51,4))</f>
        <v>#DIV/0!</v>
      </c>
      <c r="R51" s="101" t="e">
        <f>IF(ISBLANK(M51),0,Q51*ROUND(N51,2))</f>
        <v>#DIV/0!</v>
      </c>
      <c r="S51" s="24" t="e">
        <f>ROUND(P51,2)*Q51</f>
        <v>#DIV/0!</v>
      </c>
      <c r="T51" s="101" t="e">
        <f>Q51*dagenperjaar2</f>
        <v>#DIV/0!</v>
      </c>
      <c r="U51" s="25" t="e">
        <f>T51*ROUND(P51,2)</f>
        <v>#DIV/0!</v>
      </c>
    </row>
    <row r="52" spans="1:21" x14ac:dyDescent="0.2">
      <c r="A52" s="98" t="s">
        <v>417</v>
      </c>
      <c r="B52" s="99" t="s">
        <v>50</v>
      </c>
      <c r="C52" s="99" t="s">
        <v>345</v>
      </c>
      <c r="D52" s="99" t="s">
        <v>450</v>
      </c>
      <c r="E52" s="100" t="s">
        <v>451</v>
      </c>
      <c r="F52" s="99" t="s">
        <v>443</v>
      </c>
      <c r="G52" s="99" t="s">
        <v>305</v>
      </c>
      <c r="H52" s="99" t="s">
        <v>31</v>
      </c>
      <c r="I52" s="99" t="s">
        <v>246</v>
      </c>
      <c r="J52" s="99"/>
      <c r="K52" s="101">
        <v>651</v>
      </c>
      <c r="L52" s="101">
        <f>K52*VLOOKUP(H52,dagsoorttabel2,2,FALSE)</f>
        <v>2441.25</v>
      </c>
      <c r="M52" s="102">
        <f>prodnorm93</f>
        <v>0</v>
      </c>
      <c r="N52" s="37">
        <f>dagwerk93</f>
        <v>0</v>
      </c>
      <c r="O52" s="99" t="s">
        <v>108</v>
      </c>
      <c r="P52" s="24">
        <f>uurtarief93</f>
        <v>0</v>
      </c>
      <c r="Q52" s="101" t="e">
        <f>IF(ISBLANK(M52),0,L52/ROUND(M52,4))</f>
        <v>#DIV/0!</v>
      </c>
      <c r="R52" s="101" t="e">
        <f>IF(ISBLANK(M52),0,Q52*ROUND(N52,2))</f>
        <v>#DIV/0!</v>
      </c>
      <c r="S52" s="24" t="e">
        <f>ROUND(P52,2)*Q52</f>
        <v>#DIV/0!</v>
      </c>
      <c r="T52" s="101" t="e">
        <f>Q52*dagenperjaar2</f>
        <v>#DIV/0!</v>
      </c>
      <c r="U52" s="25" t="e">
        <f>T52*ROUND(P52,2)</f>
        <v>#DIV/0!</v>
      </c>
    </row>
    <row r="53" spans="1:21" x14ac:dyDescent="0.2">
      <c r="A53" s="98" t="s">
        <v>417</v>
      </c>
      <c r="B53" s="99" t="s">
        <v>50</v>
      </c>
      <c r="C53" s="99" t="s">
        <v>452</v>
      </c>
      <c r="D53" s="99" t="s">
        <v>453</v>
      </c>
      <c r="E53" s="100" t="s">
        <v>454</v>
      </c>
      <c r="F53" s="99" t="s">
        <v>423</v>
      </c>
      <c r="G53" s="99" t="s">
        <v>299</v>
      </c>
      <c r="H53" s="99" t="s">
        <v>31</v>
      </c>
      <c r="I53" s="99" t="s">
        <v>246</v>
      </c>
      <c r="J53" s="99"/>
      <c r="K53" s="101">
        <v>26.5</v>
      </c>
      <c r="L53" s="101">
        <f>K53*VLOOKUP(H53,dagsoorttabel2,2,FALSE)</f>
        <v>99.375</v>
      </c>
      <c r="M53" s="102">
        <f>prodnorm89</f>
        <v>0</v>
      </c>
      <c r="N53" s="37">
        <f>dagwerk89</f>
        <v>0</v>
      </c>
      <c r="O53" s="99" t="s">
        <v>108</v>
      </c>
      <c r="P53" s="24">
        <f>uurtarief89</f>
        <v>0</v>
      </c>
      <c r="Q53" s="101" t="e">
        <f>IF(ISBLANK(M53),0,L53/ROUND(M53,4))</f>
        <v>#DIV/0!</v>
      </c>
      <c r="R53" s="101" t="e">
        <f>IF(ISBLANK(M53),0,Q53*ROUND(N53,2))</f>
        <v>#DIV/0!</v>
      </c>
      <c r="S53" s="24" t="e">
        <f>ROUND(P53,2)*Q53</f>
        <v>#DIV/0!</v>
      </c>
      <c r="T53" s="101" t="e">
        <f>Q53*dagenperjaar2</f>
        <v>#DIV/0!</v>
      </c>
      <c r="U53" s="25" t="e">
        <f>T53*ROUND(P53,2)</f>
        <v>#DIV/0!</v>
      </c>
    </row>
    <row r="54" spans="1:21" x14ac:dyDescent="0.2">
      <c r="A54" s="98" t="s">
        <v>417</v>
      </c>
      <c r="B54" s="99" t="s">
        <v>50</v>
      </c>
      <c r="C54" s="99" t="s">
        <v>452</v>
      </c>
      <c r="D54" s="99" t="s">
        <v>455</v>
      </c>
      <c r="E54" s="100" t="s">
        <v>429</v>
      </c>
      <c r="F54" s="99" t="s">
        <v>348</v>
      </c>
      <c r="G54" s="99" t="s">
        <v>314</v>
      </c>
      <c r="H54" s="99" t="s">
        <v>31</v>
      </c>
      <c r="I54" s="99" t="s">
        <v>246</v>
      </c>
      <c r="J54" s="99"/>
      <c r="K54" s="101">
        <v>16.5</v>
      </c>
      <c r="L54" s="101">
        <f>K54*VLOOKUP(H54,dagsoorttabel2,2,FALSE)</f>
        <v>61.875</v>
      </c>
      <c r="M54" s="102">
        <f>prodnorm99</f>
        <v>0</v>
      </c>
      <c r="N54" s="37">
        <f>dagwerk99</f>
        <v>0</v>
      </c>
      <c r="O54" s="99" t="s">
        <v>108</v>
      </c>
      <c r="P54" s="24">
        <f>uurtarief99</f>
        <v>0</v>
      </c>
      <c r="Q54" s="101" t="e">
        <f>IF(ISBLANK(M54),0,L54/ROUND(M54,4))</f>
        <v>#DIV/0!</v>
      </c>
      <c r="R54" s="101" t="e">
        <f>IF(ISBLANK(M54),0,Q54*ROUND(N54,2))</f>
        <v>#DIV/0!</v>
      </c>
      <c r="S54" s="24" t="e">
        <f>ROUND(P54,2)*Q54</f>
        <v>#DIV/0!</v>
      </c>
      <c r="T54" s="101" t="e">
        <f>Q54*dagenperjaar2</f>
        <v>#DIV/0!</v>
      </c>
      <c r="U54" s="25" t="e">
        <f>T54*ROUND(P54,2)</f>
        <v>#DIV/0!</v>
      </c>
    </row>
    <row r="55" spans="1:21" x14ac:dyDescent="0.2">
      <c r="A55" s="98" t="s">
        <v>417</v>
      </c>
      <c r="B55" s="99" t="s">
        <v>50</v>
      </c>
      <c r="C55" s="99" t="s">
        <v>452</v>
      </c>
      <c r="D55" s="99" t="s">
        <v>456</v>
      </c>
      <c r="E55" s="100" t="s">
        <v>420</v>
      </c>
      <c r="F55" s="99" t="s">
        <v>348</v>
      </c>
      <c r="G55" s="99" t="s">
        <v>312</v>
      </c>
      <c r="H55" s="99" t="s">
        <v>31</v>
      </c>
      <c r="I55" s="99" t="s">
        <v>246</v>
      </c>
      <c r="J55" s="99"/>
      <c r="K55" s="101">
        <v>16</v>
      </c>
      <c r="L55" s="101">
        <f>K55*VLOOKUP(H55,dagsoorttabel2,2,FALSE)</f>
        <v>60</v>
      </c>
      <c r="M55" s="102">
        <f>prodnorm97</f>
        <v>0</v>
      </c>
      <c r="N55" s="37">
        <f>dagwerk97</f>
        <v>0</v>
      </c>
      <c r="O55" s="99" t="s">
        <v>108</v>
      </c>
      <c r="P55" s="24">
        <f>uurtarief97</f>
        <v>0</v>
      </c>
      <c r="Q55" s="101" t="e">
        <f>IF(ISBLANK(M55),0,L55/ROUND(M55,4))</f>
        <v>#DIV/0!</v>
      </c>
      <c r="R55" s="101" t="e">
        <f>IF(ISBLANK(M55),0,Q55*ROUND(N55,2))</f>
        <v>#DIV/0!</v>
      </c>
      <c r="S55" s="24" t="e">
        <f>ROUND(P55,2)*Q55</f>
        <v>#DIV/0!</v>
      </c>
      <c r="T55" s="101" t="e">
        <f>Q55*dagenperjaar2</f>
        <v>#DIV/0!</v>
      </c>
      <c r="U55" s="25" t="e">
        <f>T55*ROUND(P55,2)</f>
        <v>#DIV/0!</v>
      </c>
    </row>
    <row r="56" spans="1:21" x14ac:dyDescent="0.2">
      <c r="A56" s="98" t="s">
        <v>417</v>
      </c>
      <c r="B56" s="99" t="s">
        <v>50</v>
      </c>
      <c r="C56" s="99" t="s">
        <v>452</v>
      </c>
      <c r="D56" s="99" t="s">
        <v>457</v>
      </c>
      <c r="E56" s="100" t="s">
        <v>420</v>
      </c>
      <c r="F56" s="99" t="s">
        <v>348</v>
      </c>
      <c r="G56" s="99" t="s">
        <v>312</v>
      </c>
      <c r="H56" s="99" t="s">
        <v>31</v>
      </c>
      <c r="I56" s="99" t="s">
        <v>246</v>
      </c>
      <c r="J56" s="99"/>
      <c r="K56" s="101">
        <v>5</v>
      </c>
      <c r="L56" s="101">
        <f>K56*VLOOKUP(H56,dagsoorttabel2,2,FALSE)</f>
        <v>18.75</v>
      </c>
      <c r="M56" s="102">
        <f>prodnorm97</f>
        <v>0</v>
      </c>
      <c r="N56" s="37">
        <f>dagwerk97</f>
        <v>0</v>
      </c>
      <c r="O56" s="99" t="s">
        <v>108</v>
      </c>
      <c r="P56" s="24">
        <f>uurtarief97</f>
        <v>0</v>
      </c>
      <c r="Q56" s="101" t="e">
        <f>IF(ISBLANK(M56),0,L56/ROUND(M56,4))</f>
        <v>#DIV/0!</v>
      </c>
      <c r="R56" s="101" t="e">
        <f>IF(ISBLANK(M56),0,Q56*ROUND(N56,2))</f>
        <v>#DIV/0!</v>
      </c>
      <c r="S56" s="24" t="e">
        <f>ROUND(P56,2)*Q56</f>
        <v>#DIV/0!</v>
      </c>
      <c r="T56" s="101" t="e">
        <f>Q56*dagenperjaar2</f>
        <v>#DIV/0!</v>
      </c>
      <c r="U56" s="25" t="e">
        <f>T56*ROUND(P56,2)</f>
        <v>#DIV/0!</v>
      </c>
    </row>
    <row r="57" spans="1:21" x14ac:dyDescent="0.2">
      <c r="A57" s="98" t="s">
        <v>417</v>
      </c>
      <c r="B57" s="99" t="s">
        <v>50</v>
      </c>
      <c r="C57" s="99" t="s">
        <v>452</v>
      </c>
      <c r="D57" s="99" t="s">
        <v>458</v>
      </c>
      <c r="E57" s="100" t="s">
        <v>421</v>
      </c>
      <c r="F57" s="99" t="s">
        <v>348</v>
      </c>
      <c r="G57" s="99" t="s">
        <v>314</v>
      </c>
      <c r="H57" s="99" t="s">
        <v>31</v>
      </c>
      <c r="I57" s="99" t="s">
        <v>246</v>
      </c>
      <c r="J57" s="99"/>
      <c r="K57" s="101">
        <v>61</v>
      </c>
      <c r="L57" s="101">
        <f>K57*VLOOKUP(H57,dagsoorttabel2,2,FALSE)</f>
        <v>228.75</v>
      </c>
      <c r="M57" s="102">
        <f>prodnorm99</f>
        <v>0</v>
      </c>
      <c r="N57" s="37">
        <f>dagwerk99</f>
        <v>0</v>
      </c>
      <c r="O57" s="99" t="s">
        <v>108</v>
      </c>
      <c r="P57" s="24">
        <f>uurtarief99</f>
        <v>0</v>
      </c>
      <c r="Q57" s="101" t="e">
        <f>IF(ISBLANK(M57),0,L57/ROUND(M57,4))</f>
        <v>#DIV/0!</v>
      </c>
      <c r="R57" s="101" t="e">
        <f>IF(ISBLANK(M57),0,Q57*ROUND(N57,2))</f>
        <v>#DIV/0!</v>
      </c>
      <c r="S57" s="24" t="e">
        <f>ROUND(P57,2)*Q57</f>
        <v>#DIV/0!</v>
      </c>
      <c r="T57" s="101" t="e">
        <f>Q57*dagenperjaar2</f>
        <v>#DIV/0!</v>
      </c>
      <c r="U57" s="25" t="e">
        <f>T57*ROUND(P57,2)</f>
        <v>#DIV/0!</v>
      </c>
    </row>
    <row r="58" spans="1:21" x14ac:dyDescent="0.2">
      <c r="A58" s="98" t="s">
        <v>417</v>
      </c>
      <c r="B58" s="99" t="s">
        <v>50</v>
      </c>
      <c r="C58" s="99" t="s">
        <v>452</v>
      </c>
      <c r="D58" s="99" t="s">
        <v>459</v>
      </c>
      <c r="E58" s="100" t="s">
        <v>460</v>
      </c>
      <c r="F58" s="99" t="s">
        <v>348</v>
      </c>
      <c r="G58" s="99" t="s">
        <v>314</v>
      </c>
      <c r="H58" s="99" t="s">
        <v>31</v>
      </c>
      <c r="I58" s="99" t="s">
        <v>246</v>
      </c>
      <c r="J58" s="99"/>
      <c r="K58" s="101">
        <v>46</v>
      </c>
      <c r="L58" s="101">
        <f>K58*VLOOKUP(H58,dagsoorttabel2,2,FALSE)</f>
        <v>172.5</v>
      </c>
      <c r="M58" s="102">
        <f>prodnorm99</f>
        <v>0</v>
      </c>
      <c r="N58" s="37">
        <f>dagwerk99</f>
        <v>0</v>
      </c>
      <c r="O58" s="99" t="s">
        <v>108</v>
      </c>
      <c r="P58" s="24">
        <f>uurtarief99</f>
        <v>0</v>
      </c>
      <c r="Q58" s="101" t="e">
        <f>IF(ISBLANK(M58),0,L58/ROUND(M58,4))</f>
        <v>#DIV/0!</v>
      </c>
      <c r="R58" s="101" t="e">
        <f>IF(ISBLANK(M58),0,Q58*ROUND(N58,2))</f>
        <v>#DIV/0!</v>
      </c>
      <c r="S58" s="24" t="e">
        <f>ROUND(P58,2)*Q58</f>
        <v>#DIV/0!</v>
      </c>
      <c r="T58" s="101" t="e">
        <f>Q58*dagenperjaar2</f>
        <v>#DIV/0!</v>
      </c>
      <c r="U58" s="25" t="e">
        <f>T58*ROUND(P58,2)</f>
        <v>#DIV/0!</v>
      </c>
    </row>
    <row r="59" spans="1:21" x14ac:dyDescent="0.2">
      <c r="A59" s="98" t="s">
        <v>417</v>
      </c>
      <c r="B59" s="99" t="s">
        <v>50</v>
      </c>
      <c r="C59" s="99" t="s">
        <v>452</v>
      </c>
      <c r="D59" s="99" t="s">
        <v>461</v>
      </c>
      <c r="E59" s="100" t="s">
        <v>421</v>
      </c>
      <c r="F59" s="99" t="s">
        <v>348</v>
      </c>
      <c r="G59" s="99" t="s">
        <v>314</v>
      </c>
      <c r="H59" s="99" t="s">
        <v>31</v>
      </c>
      <c r="I59" s="99" t="s">
        <v>246</v>
      </c>
      <c r="J59" s="99"/>
      <c r="K59" s="101">
        <v>53.5</v>
      </c>
      <c r="L59" s="101">
        <f>K59*VLOOKUP(H59,dagsoorttabel2,2,FALSE)</f>
        <v>200.625</v>
      </c>
      <c r="M59" s="102">
        <f>prodnorm99</f>
        <v>0</v>
      </c>
      <c r="N59" s="37">
        <f>dagwerk99</f>
        <v>0</v>
      </c>
      <c r="O59" s="99" t="s">
        <v>108</v>
      </c>
      <c r="P59" s="24">
        <f>uurtarief99</f>
        <v>0</v>
      </c>
      <c r="Q59" s="101" t="e">
        <f>IF(ISBLANK(M59),0,L59/ROUND(M59,4))</f>
        <v>#DIV/0!</v>
      </c>
      <c r="R59" s="101" t="e">
        <f>IF(ISBLANK(M59),0,Q59*ROUND(N59,2))</f>
        <v>#DIV/0!</v>
      </c>
      <c r="S59" s="24" t="e">
        <f>ROUND(P59,2)*Q59</f>
        <v>#DIV/0!</v>
      </c>
      <c r="T59" s="101" t="e">
        <f>Q59*dagenperjaar2</f>
        <v>#DIV/0!</v>
      </c>
      <c r="U59" s="25" t="e">
        <f>T59*ROUND(P59,2)</f>
        <v>#DIV/0!</v>
      </c>
    </row>
    <row r="60" spans="1:21" x14ac:dyDescent="0.2">
      <c r="A60" s="98" t="s">
        <v>417</v>
      </c>
      <c r="B60" s="99" t="s">
        <v>50</v>
      </c>
      <c r="C60" s="99" t="s">
        <v>452</v>
      </c>
      <c r="D60" s="99" t="s">
        <v>462</v>
      </c>
      <c r="E60" s="100" t="s">
        <v>420</v>
      </c>
      <c r="F60" s="99" t="s">
        <v>348</v>
      </c>
      <c r="G60" s="99" t="s">
        <v>312</v>
      </c>
      <c r="H60" s="99" t="s">
        <v>31</v>
      </c>
      <c r="I60" s="99" t="s">
        <v>246</v>
      </c>
      <c r="J60" s="99"/>
      <c r="K60" s="101">
        <v>14</v>
      </c>
      <c r="L60" s="101">
        <f>K60*VLOOKUP(H60,dagsoorttabel2,2,FALSE)</f>
        <v>52.5</v>
      </c>
      <c r="M60" s="102">
        <f>prodnorm97</f>
        <v>0</v>
      </c>
      <c r="N60" s="37">
        <f>dagwerk97</f>
        <v>0</v>
      </c>
      <c r="O60" s="99" t="s">
        <v>108</v>
      </c>
      <c r="P60" s="24">
        <f>uurtarief97</f>
        <v>0</v>
      </c>
      <c r="Q60" s="101" t="e">
        <f>IF(ISBLANK(M60),0,L60/ROUND(M60,4))</f>
        <v>#DIV/0!</v>
      </c>
      <c r="R60" s="101" t="e">
        <f>IF(ISBLANK(M60),0,Q60*ROUND(N60,2))</f>
        <v>#DIV/0!</v>
      </c>
      <c r="S60" s="24" t="e">
        <f>ROUND(P60,2)*Q60</f>
        <v>#DIV/0!</v>
      </c>
      <c r="T60" s="101" t="e">
        <f>Q60*dagenperjaar2</f>
        <v>#DIV/0!</v>
      </c>
      <c r="U60" s="25" t="e">
        <f>T60*ROUND(P60,2)</f>
        <v>#DIV/0!</v>
      </c>
    </row>
    <row r="61" spans="1:21" x14ac:dyDescent="0.2">
      <c r="A61" s="98" t="s">
        <v>417</v>
      </c>
      <c r="B61" s="99" t="s">
        <v>50</v>
      </c>
      <c r="C61" s="99" t="s">
        <v>452</v>
      </c>
      <c r="D61" s="99" t="s">
        <v>467</v>
      </c>
      <c r="E61" s="100" t="s">
        <v>468</v>
      </c>
      <c r="F61" s="99" t="s">
        <v>423</v>
      </c>
      <c r="G61" s="99" t="s">
        <v>309</v>
      </c>
      <c r="H61" s="99" t="s">
        <v>31</v>
      </c>
      <c r="I61" s="99" t="s">
        <v>246</v>
      </c>
      <c r="J61" s="99"/>
      <c r="K61" s="101">
        <v>61</v>
      </c>
      <c r="L61" s="101">
        <f>K61*VLOOKUP(H61,dagsoorttabel2,2,FALSE)</f>
        <v>228.75</v>
      </c>
      <c r="M61" s="102">
        <f>prodnorm95</f>
        <v>0</v>
      </c>
      <c r="N61" s="37">
        <f>dagwerk95</f>
        <v>0</v>
      </c>
      <c r="O61" s="99" t="s">
        <v>108</v>
      </c>
      <c r="P61" s="24">
        <f>uurtarief95</f>
        <v>0</v>
      </c>
      <c r="Q61" s="101" t="e">
        <f>IF(ISBLANK(M61),0,L61/ROUND(M61,4))</f>
        <v>#DIV/0!</v>
      </c>
      <c r="R61" s="101" t="e">
        <f>IF(ISBLANK(M61),0,Q61*ROUND(N61,2))</f>
        <v>#DIV/0!</v>
      </c>
      <c r="S61" s="24" t="e">
        <f>ROUND(P61,2)*Q61</f>
        <v>#DIV/0!</v>
      </c>
      <c r="T61" s="101" t="e">
        <f>Q61*dagenperjaar2</f>
        <v>#DIV/0!</v>
      </c>
      <c r="U61" s="25" t="e">
        <f>T61*ROUND(P61,2)</f>
        <v>#DIV/0!</v>
      </c>
    </row>
    <row r="62" spans="1:21" x14ac:dyDescent="0.2">
      <c r="A62" s="98" t="s">
        <v>417</v>
      </c>
      <c r="B62" s="99" t="s">
        <v>50</v>
      </c>
      <c r="C62" s="99" t="s">
        <v>452</v>
      </c>
      <c r="D62" s="99" t="s">
        <v>469</v>
      </c>
      <c r="E62" s="100" t="s">
        <v>468</v>
      </c>
      <c r="F62" s="99" t="s">
        <v>423</v>
      </c>
      <c r="G62" s="99" t="s">
        <v>309</v>
      </c>
      <c r="H62" s="99" t="s">
        <v>31</v>
      </c>
      <c r="I62" s="99" t="s">
        <v>246</v>
      </c>
      <c r="J62" s="99"/>
      <c r="K62" s="101">
        <v>60</v>
      </c>
      <c r="L62" s="101">
        <f>K62*VLOOKUP(H62,dagsoorttabel2,2,FALSE)</f>
        <v>225</v>
      </c>
      <c r="M62" s="102">
        <f>prodnorm95</f>
        <v>0</v>
      </c>
      <c r="N62" s="37">
        <f>dagwerk95</f>
        <v>0</v>
      </c>
      <c r="O62" s="99" t="s">
        <v>108</v>
      </c>
      <c r="P62" s="24">
        <f>uurtarief95</f>
        <v>0</v>
      </c>
      <c r="Q62" s="101" t="e">
        <f>IF(ISBLANK(M62),0,L62/ROUND(M62,4))</f>
        <v>#DIV/0!</v>
      </c>
      <c r="R62" s="101" t="e">
        <f>IF(ISBLANK(M62),0,Q62*ROUND(N62,2))</f>
        <v>#DIV/0!</v>
      </c>
      <c r="S62" s="24" t="e">
        <f>ROUND(P62,2)*Q62</f>
        <v>#DIV/0!</v>
      </c>
      <c r="T62" s="101" t="e">
        <f>Q62*dagenperjaar2</f>
        <v>#DIV/0!</v>
      </c>
      <c r="U62" s="25" t="e">
        <f>T62*ROUND(P62,2)</f>
        <v>#DIV/0!</v>
      </c>
    </row>
    <row r="63" spans="1:21" x14ac:dyDescent="0.2">
      <c r="A63" s="98" t="s">
        <v>417</v>
      </c>
      <c r="B63" s="99" t="s">
        <v>50</v>
      </c>
      <c r="C63" s="99" t="s">
        <v>452</v>
      </c>
      <c r="D63" s="99" t="s">
        <v>470</v>
      </c>
      <c r="E63" s="100" t="s">
        <v>421</v>
      </c>
      <c r="F63" s="99" t="s">
        <v>423</v>
      </c>
      <c r="G63" s="99" t="s">
        <v>314</v>
      </c>
      <c r="H63" s="99" t="s">
        <v>31</v>
      </c>
      <c r="I63" s="99" t="s">
        <v>246</v>
      </c>
      <c r="J63" s="99"/>
      <c r="K63" s="101">
        <v>55</v>
      </c>
      <c r="L63" s="101">
        <f>K63*VLOOKUP(H63,dagsoorttabel2,2,FALSE)</f>
        <v>206.25</v>
      </c>
      <c r="M63" s="102">
        <f>prodnorm99</f>
        <v>0</v>
      </c>
      <c r="N63" s="37">
        <f>dagwerk99</f>
        <v>0</v>
      </c>
      <c r="O63" s="99" t="s">
        <v>108</v>
      </c>
      <c r="P63" s="24">
        <f>uurtarief99</f>
        <v>0</v>
      </c>
      <c r="Q63" s="101" t="e">
        <f>IF(ISBLANK(M63),0,L63/ROUND(M63,4))</f>
        <v>#DIV/0!</v>
      </c>
      <c r="R63" s="101" t="e">
        <f>IF(ISBLANK(M63),0,Q63*ROUND(N63,2))</f>
        <v>#DIV/0!</v>
      </c>
      <c r="S63" s="24" t="e">
        <f>ROUND(P63,2)*Q63</f>
        <v>#DIV/0!</v>
      </c>
      <c r="T63" s="101" t="e">
        <f>Q63*dagenperjaar2</f>
        <v>#DIV/0!</v>
      </c>
      <c r="U63" s="25" t="e">
        <f>T63*ROUND(P63,2)</f>
        <v>#DIV/0!</v>
      </c>
    </row>
    <row r="64" spans="1:21" x14ac:dyDescent="0.2">
      <c r="A64" s="98" t="s">
        <v>417</v>
      </c>
      <c r="B64" s="99" t="s">
        <v>471</v>
      </c>
      <c r="C64" s="99" t="s">
        <v>345</v>
      </c>
      <c r="D64" s="99" t="s">
        <v>472</v>
      </c>
      <c r="E64" s="100" t="s">
        <v>430</v>
      </c>
      <c r="F64" s="99" t="s">
        <v>423</v>
      </c>
      <c r="G64" s="99" t="s">
        <v>313</v>
      </c>
      <c r="H64" s="99" t="s">
        <v>31</v>
      </c>
      <c r="I64" s="99" t="s">
        <v>246</v>
      </c>
      <c r="J64" s="99"/>
      <c r="K64" s="101">
        <v>15.84</v>
      </c>
      <c r="L64" s="101">
        <f>K64*VLOOKUP(H64,dagsoorttabel2,2,FALSE)</f>
        <v>59.4</v>
      </c>
      <c r="M64" s="102">
        <f>prodnorm98</f>
        <v>0</v>
      </c>
      <c r="N64" s="37">
        <f>dagwerk98</f>
        <v>0</v>
      </c>
      <c r="O64" s="99" t="s">
        <v>108</v>
      </c>
      <c r="P64" s="24">
        <f>uurtarief98</f>
        <v>0</v>
      </c>
      <c r="Q64" s="101" t="e">
        <f>IF(ISBLANK(M64),0,L64/ROUND(M64,4))</f>
        <v>#DIV/0!</v>
      </c>
      <c r="R64" s="101" t="e">
        <f>IF(ISBLANK(M64),0,Q64*ROUND(N64,2))</f>
        <v>#DIV/0!</v>
      </c>
      <c r="S64" s="24" t="e">
        <f>ROUND(P64,2)*Q64</f>
        <v>#DIV/0!</v>
      </c>
      <c r="T64" s="101" t="e">
        <f>Q64*dagenperjaar2</f>
        <v>#DIV/0!</v>
      </c>
      <c r="U64" s="25" t="e">
        <f>T64*ROUND(P64,2)</f>
        <v>#DIV/0!</v>
      </c>
    </row>
    <row r="65" spans="1:21" x14ac:dyDescent="0.2">
      <c r="A65" s="98" t="s">
        <v>417</v>
      </c>
      <c r="B65" s="99" t="s">
        <v>471</v>
      </c>
      <c r="C65" s="99" t="s">
        <v>345</v>
      </c>
      <c r="D65" s="99" t="s">
        <v>473</v>
      </c>
      <c r="E65" s="100" t="s">
        <v>430</v>
      </c>
      <c r="F65" s="99" t="s">
        <v>423</v>
      </c>
      <c r="G65" s="99" t="s">
        <v>313</v>
      </c>
      <c r="H65" s="99" t="s">
        <v>31</v>
      </c>
      <c r="I65" s="99" t="s">
        <v>246</v>
      </c>
      <c r="J65" s="99"/>
      <c r="K65" s="101">
        <v>15.84</v>
      </c>
      <c r="L65" s="101">
        <f>K65*VLOOKUP(H65,dagsoorttabel2,2,FALSE)</f>
        <v>59.4</v>
      </c>
      <c r="M65" s="102">
        <f>prodnorm98</f>
        <v>0</v>
      </c>
      <c r="N65" s="37">
        <f>dagwerk98</f>
        <v>0</v>
      </c>
      <c r="O65" s="99" t="s">
        <v>108</v>
      </c>
      <c r="P65" s="24">
        <f>uurtarief98</f>
        <v>0</v>
      </c>
      <c r="Q65" s="101" t="e">
        <f>IF(ISBLANK(M65),0,L65/ROUND(M65,4))</f>
        <v>#DIV/0!</v>
      </c>
      <c r="R65" s="101" t="e">
        <f>IF(ISBLANK(M65),0,Q65*ROUND(N65,2))</f>
        <v>#DIV/0!</v>
      </c>
      <c r="S65" s="24" t="e">
        <f>ROUND(P65,2)*Q65</f>
        <v>#DIV/0!</v>
      </c>
      <c r="T65" s="101" t="e">
        <f>Q65*dagenperjaar2</f>
        <v>#DIV/0!</v>
      </c>
      <c r="U65" s="25" t="e">
        <f>T65*ROUND(P65,2)</f>
        <v>#DIV/0!</v>
      </c>
    </row>
    <row r="66" spans="1:21" x14ac:dyDescent="0.2">
      <c r="A66" s="98" t="s">
        <v>417</v>
      </c>
      <c r="B66" s="99" t="s">
        <v>471</v>
      </c>
      <c r="C66" s="99" t="s">
        <v>452</v>
      </c>
      <c r="D66" s="99" t="s">
        <v>474</v>
      </c>
      <c r="E66" s="100" t="s">
        <v>475</v>
      </c>
      <c r="F66" s="99" t="s">
        <v>423</v>
      </c>
      <c r="G66" s="99" t="s">
        <v>299</v>
      </c>
      <c r="H66" s="99" t="s">
        <v>31</v>
      </c>
      <c r="I66" s="99" t="s">
        <v>246</v>
      </c>
      <c r="J66" s="99"/>
      <c r="K66" s="101">
        <v>88</v>
      </c>
      <c r="L66" s="101">
        <f>K66*VLOOKUP(H66,dagsoorttabel2,2,FALSE)</f>
        <v>330</v>
      </c>
      <c r="M66" s="102">
        <f>prodnorm89</f>
        <v>0</v>
      </c>
      <c r="N66" s="37">
        <f>dagwerk89</f>
        <v>0</v>
      </c>
      <c r="O66" s="99" t="s">
        <v>108</v>
      </c>
      <c r="P66" s="24">
        <f>uurtarief89</f>
        <v>0</v>
      </c>
      <c r="Q66" s="101" t="e">
        <f>IF(ISBLANK(M66),0,L66/ROUND(M66,4))</f>
        <v>#DIV/0!</v>
      </c>
      <c r="R66" s="101" t="e">
        <f>IF(ISBLANK(M66),0,Q66*ROUND(N66,2))</f>
        <v>#DIV/0!</v>
      </c>
      <c r="S66" s="24" t="e">
        <f>ROUND(P66,2)*Q66</f>
        <v>#DIV/0!</v>
      </c>
      <c r="T66" s="101" t="e">
        <f>Q66*dagenperjaar2</f>
        <v>#DIV/0!</v>
      </c>
      <c r="U66" s="25" t="e">
        <f>T66*ROUND(P66,2)</f>
        <v>#DIV/0!</v>
      </c>
    </row>
    <row r="67" spans="1:21" x14ac:dyDescent="0.2">
      <c r="A67" s="98" t="s">
        <v>417</v>
      </c>
      <c r="B67" s="99" t="s">
        <v>471</v>
      </c>
      <c r="C67" s="99" t="s">
        <v>452</v>
      </c>
      <c r="D67" s="99" t="s">
        <v>476</v>
      </c>
      <c r="E67" s="100" t="s">
        <v>477</v>
      </c>
      <c r="F67" s="99" t="s">
        <v>423</v>
      </c>
      <c r="G67" s="99" t="s">
        <v>299</v>
      </c>
      <c r="H67" s="99" t="s">
        <v>31</v>
      </c>
      <c r="I67" s="99" t="s">
        <v>246</v>
      </c>
      <c r="J67" s="99"/>
      <c r="K67" s="101">
        <v>170</v>
      </c>
      <c r="L67" s="101">
        <f>K67*VLOOKUP(H67,dagsoorttabel2,2,FALSE)</f>
        <v>637.5</v>
      </c>
      <c r="M67" s="102">
        <f>prodnorm89</f>
        <v>0</v>
      </c>
      <c r="N67" s="37">
        <f>dagwerk89</f>
        <v>0</v>
      </c>
      <c r="O67" s="99" t="s">
        <v>108</v>
      </c>
      <c r="P67" s="24">
        <f>uurtarief89</f>
        <v>0</v>
      </c>
      <c r="Q67" s="101" t="e">
        <f>IF(ISBLANK(M67),0,L67/ROUND(M67,4))</f>
        <v>#DIV/0!</v>
      </c>
      <c r="R67" s="101" t="e">
        <f>IF(ISBLANK(M67),0,Q67*ROUND(N67,2))</f>
        <v>#DIV/0!</v>
      </c>
      <c r="S67" s="24" t="e">
        <f>ROUND(P67,2)*Q67</f>
        <v>#DIV/0!</v>
      </c>
      <c r="T67" s="101" t="e">
        <f>Q67*dagenperjaar2</f>
        <v>#DIV/0!</v>
      </c>
      <c r="U67" s="25" t="e">
        <f>T67*ROUND(P67,2)</f>
        <v>#DIV/0!</v>
      </c>
    </row>
    <row r="68" spans="1:21" x14ac:dyDescent="0.2">
      <c r="A68" s="98" t="s">
        <v>417</v>
      </c>
      <c r="B68" s="99" t="s">
        <v>471</v>
      </c>
      <c r="C68" s="99" t="s">
        <v>452</v>
      </c>
      <c r="D68" s="99" t="s">
        <v>478</v>
      </c>
      <c r="E68" s="100" t="s">
        <v>479</v>
      </c>
      <c r="F68" s="99" t="s">
        <v>423</v>
      </c>
      <c r="G68" s="99" t="s">
        <v>299</v>
      </c>
      <c r="H68" s="99" t="s">
        <v>31</v>
      </c>
      <c r="I68" s="99" t="s">
        <v>246</v>
      </c>
      <c r="J68" s="99"/>
      <c r="K68" s="101">
        <v>28</v>
      </c>
      <c r="L68" s="101">
        <f>K68*VLOOKUP(H68,dagsoorttabel2,2,FALSE)</f>
        <v>105</v>
      </c>
      <c r="M68" s="102">
        <f>prodnorm89</f>
        <v>0</v>
      </c>
      <c r="N68" s="37">
        <f>dagwerk89</f>
        <v>0</v>
      </c>
      <c r="O68" s="99" t="s">
        <v>108</v>
      </c>
      <c r="P68" s="24">
        <f>uurtarief89</f>
        <v>0</v>
      </c>
      <c r="Q68" s="101" t="e">
        <f>IF(ISBLANK(M68),0,L68/ROUND(M68,4))</f>
        <v>#DIV/0!</v>
      </c>
      <c r="R68" s="101" t="e">
        <f>IF(ISBLANK(M68),0,Q68*ROUND(N68,2))</f>
        <v>#DIV/0!</v>
      </c>
      <c r="S68" s="24" t="e">
        <f>ROUND(P68,2)*Q68</f>
        <v>#DIV/0!</v>
      </c>
      <c r="T68" s="101" t="e">
        <f>Q68*dagenperjaar2</f>
        <v>#DIV/0!</v>
      </c>
      <c r="U68" s="25" t="e">
        <f>T68*ROUND(P68,2)</f>
        <v>#DIV/0!</v>
      </c>
    </row>
    <row r="69" spans="1:21" x14ac:dyDescent="0.2">
      <c r="A69" s="98" t="s">
        <v>417</v>
      </c>
      <c r="B69" s="99" t="s">
        <v>471</v>
      </c>
      <c r="C69" s="99" t="s">
        <v>452</v>
      </c>
      <c r="D69" s="99" t="s">
        <v>480</v>
      </c>
      <c r="E69" s="100" t="s">
        <v>479</v>
      </c>
      <c r="F69" s="99" t="s">
        <v>423</v>
      </c>
      <c r="G69" s="99" t="s">
        <v>299</v>
      </c>
      <c r="H69" s="99" t="s">
        <v>31</v>
      </c>
      <c r="I69" s="99" t="s">
        <v>246</v>
      </c>
      <c r="J69" s="99"/>
      <c r="K69" s="101">
        <v>16</v>
      </c>
      <c r="L69" s="101">
        <f>K69*VLOOKUP(H69,dagsoorttabel2,2,FALSE)</f>
        <v>60</v>
      </c>
      <c r="M69" s="102">
        <f>prodnorm89</f>
        <v>0</v>
      </c>
      <c r="N69" s="37">
        <f>dagwerk89</f>
        <v>0</v>
      </c>
      <c r="O69" s="99" t="s">
        <v>108</v>
      </c>
      <c r="P69" s="24">
        <f>uurtarief89</f>
        <v>0</v>
      </c>
      <c r="Q69" s="101" t="e">
        <f>IF(ISBLANK(M69),0,L69/ROUND(M69,4))</f>
        <v>#DIV/0!</v>
      </c>
      <c r="R69" s="101" t="e">
        <f>IF(ISBLANK(M69),0,Q69*ROUND(N69,2))</f>
        <v>#DIV/0!</v>
      </c>
      <c r="S69" s="24" t="e">
        <f>ROUND(P69,2)*Q69</f>
        <v>#DIV/0!</v>
      </c>
      <c r="T69" s="101" t="e">
        <f>Q69*dagenperjaar2</f>
        <v>#DIV/0!</v>
      </c>
      <c r="U69" s="25" t="e">
        <f>T69*ROUND(P69,2)</f>
        <v>#DIV/0!</v>
      </c>
    </row>
    <row r="70" spans="1:21" x14ac:dyDescent="0.2">
      <c r="A70" s="98" t="s">
        <v>417</v>
      </c>
      <c r="B70" s="99" t="s">
        <v>471</v>
      </c>
      <c r="C70" s="99" t="s">
        <v>452</v>
      </c>
      <c r="D70" s="99" t="s">
        <v>481</v>
      </c>
      <c r="E70" s="100" t="s">
        <v>454</v>
      </c>
      <c r="F70" s="99" t="s">
        <v>423</v>
      </c>
      <c r="G70" s="99" t="s">
        <v>299</v>
      </c>
      <c r="H70" s="99" t="s">
        <v>31</v>
      </c>
      <c r="I70" s="99" t="s">
        <v>246</v>
      </c>
      <c r="J70" s="99"/>
      <c r="K70" s="101">
        <v>17.5</v>
      </c>
      <c r="L70" s="101">
        <f>K70*VLOOKUP(H70,dagsoorttabel2,2,FALSE)</f>
        <v>65.625</v>
      </c>
      <c r="M70" s="102">
        <f>prodnorm89</f>
        <v>0</v>
      </c>
      <c r="N70" s="37">
        <f>dagwerk89</f>
        <v>0</v>
      </c>
      <c r="O70" s="99" t="s">
        <v>108</v>
      </c>
      <c r="P70" s="24">
        <f>uurtarief89</f>
        <v>0</v>
      </c>
      <c r="Q70" s="101" t="e">
        <f>IF(ISBLANK(M70),0,L70/ROUND(M70,4))</f>
        <v>#DIV/0!</v>
      </c>
      <c r="R70" s="101" t="e">
        <f>IF(ISBLANK(M70),0,Q70*ROUND(N70,2))</f>
        <v>#DIV/0!</v>
      </c>
      <c r="S70" s="24" t="e">
        <f>ROUND(P70,2)*Q70</f>
        <v>#DIV/0!</v>
      </c>
      <c r="T70" s="101" t="e">
        <f>Q70*dagenperjaar2</f>
        <v>#DIV/0!</v>
      </c>
      <c r="U70" s="25" t="e">
        <f>T70*ROUND(P70,2)</f>
        <v>#DIV/0!</v>
      </c>
    </row>
    <row r="71" spans="1:21" x14ac:dyDescent="0.2">
      <c r="A71" s="98" t="s">
        <v>417</v>
      </c>
      <c r="B71" s="99" t="s">
        <v>471</v>
      </c>
      <c r="C71" s="99" t="s">
        <v>452</v>
      </c>
      <c r="D71" s="99" t="s">
        <v>482</v>
      </c>
      <c r="E71" s="100" t="s">
        <v>421</v>
      </c>
      <c r="F71" s="99" t="s">
        <v>423</v>
      </c>
      <c r="G71" s="99" t="s">
        <v>314</v>
      </c>
      <c r="H71" s="99" t="s">
        <v>31</v>
      </c>
      <c r="I71" s="99" t="s">
        <v>246</v>
      </c>
      <c r="J71" s="99"/>
      <c r="K71" s="101">
        <v>53.260000000000005</v>
      </c>
      <c r="L71" s="101">
        <f>K71*VLOOKUP(H71,dagsoorttabel2,2,FALSE)</f>
        <v>199.72500000000002</v>
      </c>
      <c r="M71" s="102">
        <f>prodnorm99</f>
        <v>0</v>
      </c>
      <c r="N71" s="37">
        <f>dagwerk99</f>
        <v>0</v>
      </c>
      <c r="O71" s="99" t="s">
        <v>108</v>
      </c>
      <c r="P71" s="24">
        <f>uurtarief99</f>
        <v>0</v>
      </c>
      <c r="Q71" s="101" t="e">
        <f>IF(ISBLANK(M71),0,L71/ROUND(M71,4))</f>
        <v>#DIV/0!</v>
      </c>
      <c r="R71" s="101" t="e">
        <f>IF(ISBLANK(M71),0,Q71*ROUND(N71,2))</f>
        <v>#DIV/0!</v>
      </c>
      <c r="S71" s="24" t="e">
        <f>ROUND(P71,2)*Q71</f>
        <v>#DIV/0!</v>
      </c>
      <c r="T71" s="101" t="e">
        <f>Q71*dagenperjaar2</f>
        <v>#DIV/0!</v>
      </c>
      <c r="U71" s="25" t="e">
        <f>T71*ROUND(P71,2)</f>
        <v>#DIV/0!</v>
      </c>
    </row>
    <row r="72" spans="1:21" x14ac:dyDescent="0.2">
      <c r="A72" s="98" t="s">
        <v>417</v>
      </c>
      <c r="B72" s="99" t="s">
        <v>471</v>
      </c>
      <c r="C72" s="99" t="s">
        <v>452</v>
      </c>
      <c r="D72" s="99" t="s">
        <v>483</v>
      </c>
      <c r="E72" s="100" t="s">
        <v>421</v>
      </c>
      <c r="F72" s="99" t="s">
        <v>423</v>
      </c>
      <c r="G72" s="99" t="s">
        <v>314</v>
      </c>
      <c r="H72" s="99" t="s">
        <v>31</v>
      </c>
      <c r="I72" s="99" t="s">
        <v>246</v>
      </c>
      <c r="J72" s="99"/>
      <c r="K72" s="101">
        <v>82</v>
      </c>
      <c r="L72" s="101">
        <f>K72*VLOOKUP(H72,dagsoorttabel2,2,FALSE)</f>
        <v>307.5</v>
      </c>
      <c r="M72" s="102">
        <f>prodnorm99</f>
        <v>0</v>
      </c>
      <c r="N72" s="37">
        <f>dagwerk99</f>
        <v>0</v>
      </c>
      <c r="O72" s="99" t="s">
        <v>108</v>
      </c>
      <c r="P72" s="24">
        <f>uurtarief99</f>
        <v>0</v>
      </c>
      <c r="Q72" s="101" t="e">
        <f>IF(ISBLANK(M72),0,L72/ROUND(M72,4))</f>
        <v>#DIV/0!</v>
      </c>
      <c r="R72" s="101" t="e">
        <f>IF(ISBLANK(M72),0,Q72*ROUND(N72,2))</f>
        <v>#DIV/0!</v>
      </c>
      <c r="S72" s="24" t="e">
        <f>ROUND(P72,2)*Q72</f>
        <v>#DIV/0!</v>
      </c>
      <c r="T72" s="101" t="e">
        <f>Q72*dagenperjaar2</f>
        <v>#DIV/0!</v>
      </c>
      <c r="U72" s="25" t="e">
        <f>T72*ROUND(P72,2)</f>
        <v>#DIV/0!</v>
      </c>
    </row>
    <row r="73" spans="1:21" x14ac:dyDescent="0.2">
      <c r="A73" s="98" t="s">
        <v>417</v>
      </c>
      <c r="B73" s="99" t="s">
        <v>471</v>
      </c>
      <c r="C73" s="99" t="s">
        <v>452</v>
      </c>
      <c r="D73" s="99" t="s">
        <v>484</v>
      </c>
      <c r="E73" s="100" t="s">
        <v>485</v>
      </c>
      <c r="F73" s="99" t="s">
        <v>423</v>
      </c>
      <c r="G73" s="99" t="s">
        <v>309</v>
      </c>
      <c r="H73" s="99" t="s">
        <v>31</v>
      </c>
      <c r="I73" s="99" t="s">
        <v>246</v>
      </c>
      <c r="J73" s="99"/>
      <c r="K73" s="101">
        <v>52.5</v>
      </c>
      <c r="L73" s="101">
        <f>K73*VLOOKUP(H73,dagsoorttabel2,2,FALSE)</f>
        <v>196.875</v>
      </c>
      <c r="M73" s="102">
        <f>prodnorm95</f>
        <v>0</v>
      </c>
      <c r="N73" s="37">
        <f>dagwerk95</f>
        <v>0</v>
      </c>
      <c r="O73" s="99" t="s">
        <v>108</v>
      </c>
      <c r="P73" s="24">
        <f>uurtarief95</f>
        <v>0</v>
      </c>
      <c r="Q73" s="101" t="e">
        <f>IF(ISBLANK(M73),0,L73/ROUND(M73,4))</f>
        <v>#DIV/0!</v>
      </c>
      <c r="R73" s="101" t="e">
        <f>IF(ISBLANK(M73),0,Q73*ROUND(N73,2))</f>
        <v>#DIV/0!</v>
      </c>
      <c r="S73" s="24" t="e">
        <f>ROUND(P73,2)*Q73</f>
        <v>#DIV/0!</v>
      </c>
      <c r="T73" s="101" t="e">
        <f>Q73*dagenperjaar2</f>
        <v>#DIV/0!</v>
      </c>
      <c r="U73" s="25" t="e">
        <f>T73*ROUND(P73,2)</f>
        <v>#DIV/0!</v>
      </c>
    </row>
    <row r="74" spans="1:21" x14ac:dyDescent="0.2">
      <c r="A74" s="98" t="s">
        <v>417</v>
      </c>
      <c r="B74" s="99" t="s">
        <v>471</v>
      </c>
      <c r="C74" s="99" t="s">
        <v>452</v>
      </c>
      <c r="D74" s="99" t="s">
        <v>486</v>
      </c>
      <c r="E74" s="100" t="s">
        <v>485</v>
      </c>
      <c r="F74" s="99" t="s">
        <v>423</v>
      </c>
      <c r="G74" s="99" t="s">
        <v>309</v>
      </c>
      <c r="H74" s="99" t="s">
        <v>31</v>
      </c>
      <c r="I74" s="99" t="s">
        <v>246</v>
      </c>
      <c r="J74" s="99"/>
      <c r="K74" s="101">
        <v>56</v>
      </c>
      <c r="L74" s="101">
        <f>K74*VLOOKUP(H74,dagsoorttabel2,2,FALSE)</f>
        <v>210</v>
      </c>
      <c r="M74" s="102">
        <f>prodnorm95</f>
        <v>0</v>
      </c>
      <c r="N74" s="37">
        <f>dagwerk95</f>
        <v>0</v>
      </c>
      <c r="O74" s="99" t="s">
        <v>108</v>
      </c>
      <c r="P74" s="24">
        <f>uurtarief95</f>
        <v>0</v>
      </c>
      <c r="Q74" s="101" t="e">
        <f>IF(ISBLANK(M74),0,L74/ROUND(M74,4))</f>
        <v>#DIV/0!</v>
      </c>
      <c r="R74" s="101" t="e">
        <f>IF(ISBLANK(M74),0,Q74*ROUND(N74,2))</f>
        <v>#DIV/0!</v>
      </c>
      <c r="S74" s="24" t="e">
        <f>ROUND(P74,2)*Q74</f>
        <v>#DIV/0!</v>
      </c>
      <c r="T74" s="101" t="e">
        <f>Q74*dagenperjaar2</f>
        <v>#DIV/0!</v>
      </c>
      <c r="U74" s="25" t="e">
        <f>T74*ROUND(P74,2)</f>
        <v>#DIV/0!</v>
      </c>
    </row>
    <row r="75" spans="1:21" x14ac:dyDescent="0.2">
      <c r="A75" s="98" t="s">
        <v>417</v>
      </c>
      <c r="B75" s="99" t="s">
        <v>471</v>
      </c>
      <c r="C75" s="99" t="s">
        <v>452</v>
      </c>
      <c r="D75" s="99" t="s">
        <v>487</v>
      </c>
      <c r="E75" s="100" t="s">
        <v>485</v>
      </c>
      <c r="F75" s="99" t="s">
        <v>423</v>
      </c>
      <c r="G75" s="99" t="s">
        <v>309</v>
      </c>
      <c r="H75" s="99" t="s">
        <v>31</v>
      </c>
      <c r="I75" s="99" t="s">
        <v>246</v>
      </c>
      <c r="J75" s="99"/>
      <c r="K75" s="101">
        <v>52.5</v>
      </c>
      <c r="L75" s="101">
        <f>K75*VLOOKUP(H75,dagsoorttabel2,2,FALSE)</f>
        <v>196.875</v>
      </c>
      <c r="M75" s="102">
        <f>prodnorm95</f>
        <v>0</v>
      </c>
      <c r="N75" s="37">
        <f>dagwerk95</f>
        <v>0</v>
      </c>
      <c r="O75" s="99" t="s">
        <v>108</v>
      </c>
      <c r="P75" s="24">
        <f>uurtarief95</f>
        <v>0</v>
      </c>
      <c r="Q75" s="101" t="e">
        <f>IF(ISBLANK(M75),0,L75/ROUND(M75,4))</f>
        <v>#DIV/0!</v>
      </c>
      <c r="R75" s="101" t="e">
        <f>IF(ISBLANK(M75),0,Q75*ROUND(N75,2))</f>
        <v>#DIV/0!</v>
      </c>
      <c r="S75" s="24" t="e">
        <f>ROUND(P75,2)*Q75</f>
        <v>#DIV/0!</v>
      </c>
      <c r="T75" s="101" t="e">
        <f>Q75*dagenperjaar2</f>
        <v>#DIV/0!</v>
      </c>
      <c r="U75" s="25" t="e">
        <f>T75*ROUND(P75,2)</f>
        <v>#DIV/0!</v>
      </c>
    </row>
    <row r="76" spans="1:21" x14ac:dyDescent="0.2">
      <c r="A76" s="98" t="s">
        <v>417</v>
      </c>
      <c r="B76" s="99" t="s">
        <v>471</v>
      </c>
      <c r="C76" s="99" t="s">
        <v>452</v>
      </c>
      <c r="D76" s="99" t="s">
        <v>488</v>
      </c>
      <c r="E76" s="100" t="s">
        <v>489</v>
      </c>
      <c r="F76" s="99" t="s">
        <v>423</v>
      </c>
      <c r="G76" s="99" t="s">
        <v>299</v>
      </c>
      <c r="H76" s="99" t="s">
        <v>31</v>
      </c>
      <c r="I76" s="99" t="s">
        <v>246</v>
      </c>
      <c r="J76" s="99"/>
      <c r="K76" s="101">
        <v>27.3</v>
      </c>
      <c r="L76" s="101">
        <f>K76*VLOOKUP(H76,dagsoorttabel2,2,FALSE)</f>
        <v>102.375</v>
      </c>
      <c r="M76" s="102">
        <f>prodnorm89</f>
        <v>0</v>
      </c>
      <c r="N76" s="37">
        <f>dagwerk89</f>
        <v>0</v>
      </c>
      <c r="O76" s="99" t="s">
        <v>108</v>
      </c>
      <c r="P76" s="24">
        <f>uurtarief89</f>
        <v>0</v>
      </c>
      <c r="Q76" s="101" t="e">
        <f>IF(ISBLANK(M76),0,L76/ROUND(M76,4))</f>
        <v>#DIV/0!</v>
      </c>
      <c r="R76" s="101" t="e">
        <f>IF(ISBLANK(M76),0,Q76*ROUND(N76,2))</f>
        <v>#DIV/0!</v>
      </c>
      <c r="S76" s="24" t="e">
        <f>ROUND(P76,2)*Q76</f>
        <v>#DIV/0!</v>
      </c>
      <c r="T76" s="101" t="e">
        <f>Q76*dagenperjaar2</f>
        <v>#DIV/0!</v>
      </c>
      <c r="U76" s="25" t="e">
        <f>T76*ROUND(P76,2)</f>
        <v>#DIV/0!</v>
      </c>
    </row>
    <row r="77" spans="1:21" x14ac:dyDescent="0.2">
      <c r="A77" s="98" t="s">
        <v>417</v>
      </c>
      <c r="B77" s="99" t="s">
        <v>471</v>
      </c>
      <c r="C77" s="99" t="s">
        <v>452</v>
      </c>
      <c r="D77" s="99" t="s">
        <v>490</v>
      </c>
      <c r="E77" s="100" t="s">
        <v>420</v>
      </c>
      <c r="F77" s="99" t="s">
        <v>348</v>
      </c>
      <c r="G77" s="99" t="s">
        <v>312</v>
      </c>
      <c r="H77" s="99" t="s">
        <v>31</v>
      </c>
      <c r="I77" s="99" t="s">
        <v>246</v>
      </c>
      <c r="J77" s="99"/>
      <c r="K77" s="101">
        <v>12.92</v>
      </c>
      <c r="L77" s="101">
        <f>K77*VLOOKUP(H77,dagsoorttabel2,2,FALSE)</f>
        <v>48.45</v>
      </c>
      <c r="M77" s="102">
        <f>prodnorm97</f>
        <v>0</v>
      </c>
      <c r="N77" s="37">
        <f>dagwerk97</f>
        <v>0</v>
      </c>
      <c r="O77" s="99" t="s">
        <v>108</v>
      </c>
      <c r="P77" s="24">
        <f>uurtarief97</f>
        <v>0</v>
      </c>
      <c r="Q77" s="101" t="e">
        <f>IF(ISBLANK(M77),0,L77/ROUND(M77,4))</f>
        <v>#DIV/0!</v>
      </c>
      <c r="R77" s="101" t="e">
        <f>IF(ISBLANK(M77),0,Q77*ROUND(N77,2))</f>
        <v>#DIV/0!</v>
      </c>
      <c r="S77" s="24" t="e">
        <f>ROUND(P77,2)*Q77</f>
        <v>#DIV/0!</v>
      </c>
      <c r="T77" s="101" t="e">
        <f>Q77*dagenperjaar2</f>
        <v>#DIV/0!</v>
      </c>
      <c r="U77" s="25" t="e">
        <f>T77*ROUND(P77,2)</f>
        <v>#DIV/0!</v>
      </c>
    </row>
    <row r="78" spans="1:21" x14ac:dyDescent="0.2">
      <c r="A78" s="98" t="s">
        <v>417</v>
      </c>
      <c r="B78" s="99" t="s">
        <v>471</v>
      </c>
      <c r="C78" s="99" t="s">
        <v>452</v>
      </c>
      <c r="D78" s="99" t="s">
        <v>491</v>
      </c>
      <c r="E78" s="100" t="s">
        <v>492</v>
      </c>
      <c r="F78" s="99" t="s">
        <v>423</v>
      </c>
      <c r="G78" s="99" t="s">
        <v>304</v>
      </c>
      <c r="H78" s="99" t="s">
        <v>31</v>
      </c>
      <c r="I78" s="99" t="s">
        <v>246</v>
      </c>
      <c r="J78" s="99"/>
      <c r="K78" s="101">
        <v>1.54</v>
      </c>
      <c r="L78" s="101">
        <f>K78*VLOOKUP(H78,dagsoorttabel2,2,FALSE)</f>
        <v>5.7750000000000004</v>
      </c>
      <c r="M78" s="102">
        <f>prodnorm92</f>
        <v>0</v>
      </c>
      <c r="N78" s="37">
        <f>dagwerk92</f>
        <v>0</v>
      </c>
      <c r="O78" s="99" t="s">
        <v>108</v>
      </c>
      <c r="P78" s="24">
        <f>uurtarief92</f>
        <v>0</v>
      </c>
      <c r="Q78" s="101" t="e">
        <f>IF(ISBLANK(M78),0,L78/ROUND(M78,4))</f>
        <v>#DIV/0!</v>
      </c>
      <c r="R78" s="101" t="e">
        <f>IF(ISBLANK(M78),0,Q78*ROUND(N78,2))</f>
        <v>#DIV/0!</v>
      </c>
      <c r="S78" s="24" t="e">
        <f>ROUND(P78,2)*Q78</f>
        <v>#DIV/0!</v>
      </c>
      <c r="T78" s="101" t="e">
        <f>Q78*dagenperjaar2</f>
        <v>#DIV/0!</v>
      </c>
      <c r="U78" s="25" t="e">
        <f>T78*ROUND(P78,2)</f>
        <v>#DIV/0!</v>
      </c>
    </row>
    <row r="79" spans="1:21" x14ac:dyDescent="0.2">
      <c r="A79" s="98" t="s">
        <v>417</v>
      </c>
      <c r="B79" s="99" t="s">
        <v>471</v>
      </c>
      <c r="C79" s="99" t="s">
        <v>452</v>
      </c>
      <c r="D79" s="99" t="s">
        <v>493</v>
      </c>
      <c r="E79" s="100" t="s">
        <v>421</v>
      </c>
      <c r="F79" s="99" t="s">
        <v>423</v>
      </c>
      <c r="G79" s="99" t="s">
        <v>314</v>
      </c>
      <c r="H79" s="99" t="s">
        <v>31</v>
      </c>
      <c r="I79" s="99" t="s">
        <v>246</v>
      </c>
      <c r="J79" s="99"/>
      <c r="K79" s="101">
        <v>53.260000000000005</v>
      </c>
      <c r="L79" s="101">
        <f>K79*VLOOKUP(H79,dagsoorttabel2,2,FALSE)</f>
        <v>199.72500000000002</v>
      </c>
      <c r="M79" s="102">
        <f>prodnorm99</f>
        <v>0</v>
      </c>
      <c r="N79" s="37">
        <f>dagwerk99</f>
        <v>0</v>
      </c>
      <c r="O79" s="99" t="s">
        <v>108</v>
      </c>
      <c r="P79" s="24">
        <f>uurtarief99</f>
        <v>0</v>
      </c>
      <c r="Q79" s="101" t="e">
        <f>IF(ISBLANK(M79),0,L79/ROUND(M79,4))</f>
        <v>#DIV/0!</v>
      </c>
      <c r="R79" s="101" t="e">
        <f>IF(ISBLANK(M79),0,Q79*ROUND(N79,2))</f>
        <v>#DIV/0!</v>
      </c>
      <c r="S79" s="24" t="e">
        <f>ROUND(P79,2)*Q79</f>
        <v>#DIV/0!</v>
      </c>
      <c r="T79" s="101" t="e">
        <f>Q79*dagenperjaar2</f>
        <v>#DIV/0!</v>
      </c>
      <c r="U79" s="25" t="e">
        <f>T79*ROUND(P79,2)</f>
        <v>#DIV/0!</v>
      </c>
    </row>
    <row r="80" spans="1:21" x14ac:dyDescent="0.2">
      <c r="A80" s="98" t="s">
        <v>417</v>
      </c>
      <c r="B80" s="99" t="s">
        <v>471</v>
      </c>
      <c r="C80" s="99" t="s">
        <v>452</v>
      </c>
      <c r="D80" s="99" t="s">
        <v>494</v>
      </c>
      <c r="E80" s="100" t="s">
        <v>430</v>
      </c>
      <c r="F80" s="99" t="s">
        <v>423</v>
      </c>
      <c r="G80" s="99" t="s">
        <v>313</v>
      </c>
      <c r="H80" s="99" t="s">
        <v>31</v>
      </c>
      <c r="I80" s="99" t="s">
        <v>246</v>
      </c>
      <c r="J80" s="99"/>
      <c r="K80" s="101">
        <v>15.84</v>
      </c>
      <c r="L80" s="101">
        <f>K80*VLOOKUP(H80,dagsoorttabel2,2,FALSE)</f>
        <v>59.4</v>
      </c>
      <c r="M80" s="102">
        <f>prodnorm98</f>
        <v>0</v>
      </c>
      <c r="N80" s="37">
        <f>dagwerk98</f>
        <v>0</v>
      </c>
      <c r="O80" s="99" t="s">
        <v>108</v>
      </c>
      <c r="P80" s="24">
        <f>uurtarief98</f>
        <v>0</v>
      </c>
      <c r="Q80" s="101" t="e">
        <f>IF(ISBLANK(M80),0,L80/ROUND(M80,4))</f>
        <v>#DIV/0!</v>
      </c>
      <c r="R80" s="101" t="e">
        <f>IF(ISBLANK(M80),0,Q80*ROUND(N80,2))</f>
        <v>#DIV/0!</v>
      </c>
      <c r="S80" s="24" t="e">
        <f>ROUND(P80,2)*Q80</f>
        <v>#DIV/0!</v>
      </c>
      <c r="T80" s="101" t="e">
        <f>Q80*dagenperjaar2</f>
        <v>#DIV/0!</v>
      </c>
      <c r="U80" s="25" t="e">
        <f>T80*ROUND(P80,2)</f>
        <v>#DIV/0!</v>
      </c>
    </row>
    <row r="81" spans="1:21" x14ac:dyDescent="0.2">
      <c r="A81" s="98" t="s">
        <v>417</v>
      </c>
      <c r="B81" s="99" t="s">
        <v>471</v>
      </c>
      <c r="C81" s="99" t="s">
        <v>452</v>
      </c>
      <c r="D81" s="99" t="s">
        <v>495</v>
      </c>
      <c r="E81" s="100" t="s">
        <v>430</v>
      </c>
      <c r="F81" s="99" t="s">
        <v>423</v>
      </c>
      <c r="G81" s="99" t="s">
        <v>313</v>
      </c>
      <c r="H81" s="99" t="s">
        <v>31</v>
      </c>
      <c r="I81" s="99" t="s">
        <v>246</v>
      </c>
      <c r="J81" s="99"/>
      <c r="K81" s="101">
        <v>15.84</v>
      </c>
      <c r="L81" s="101">
        <f>K81*VLOOKUP(H81,dagsoorttabel2,2,FALSE)</f>
        <v>59.4</v>
      </c>
      <c r="M81" s="102">
        <f>prodnorm98</f>
        <v>0</v>
      </c>
      <c r="N81" s="37">
        <f>dagwerk98</f>
        <v>0</v>
      </c>
      <c r="O81" s="99" t="s">
        <v>108</v>
      </c>
      <c r="P81" s="24">
        <f>uurtarief98</f>
        <v>0</v>
      </c>
      <c r="Q81" s="101" t="e">
        <f>IF(ISBLANK(M81),0,L81/ROUND(M81,4))</f>
        <v>#DIV/0!</v>
      </c>
      <c r="R81" s="101" t="e">
        <f>IF(ISBLANK(M81),0,Q81*ROUND(N81,2))</f>
        <v>#DIV/0!</v>
      </c>
      <c r="S81" s="24" t="e">
        <f>ROUND(P81,2)*Q81</f>
        <v>#DIV/0!</v>
      </c>
      <c r="T81" s="101" t="e">
        <f>Q81*dagenperjaar2</f>
        <v>#DIV/0!</v>
      </c>
      <c r="U81" s="25" t="e">
        <f>T81*ROUND(P81,2)</f>
        <v>#DIV/0!</v>
      </c>
    </row>
    <row r="82" spans="1:21" x14ac:dyDescent="0.2">
      <c r="A82" s="98" t="s">
        <v>417</v>
      </c>
      <c r="B82" s="99" t="s">
        <v>471</v>
      </c>
      <c r="C82" s="99" t="s">
        <v>496</v>
      </c>
      <c r="D82" s="99" t="s">
        <v>497</v>
      </c>
      <c r="E82" s="100" t="s">
        <v>421</v>
      </c>
      <c r="F82" s="99" t="s">
        <v>423</v>
      </c>
      <c r="G82" s="99" t="s">
        <v>314</v>
      </c>
      <c r="H82" s="99" t="s">
        <v>31</v>
      </c>
      <c r="I82" s="99" t="s">
        <v>246</v>
      </c>
      <c r="J82" s="99"/>
      <c r="K82" s="101">
        <v>46.120000000000005</v>
      </c>
      <c r="L82" s="101">
        <f>K82*VLOOKUP(H82,dagsoorttabel2,2,FALSE)</f>
        <v>172.95000000000002</v>
      </c>
      <c r="M82" s="102">
        <f>prodnorm99</f>
        <v>0</v>
      </c>
      <c r="N82" s="37">
        <f>dagwerk99</f>
        <v>0</v>
      </c>
      <c r="O82" s="99" t="s">
        <v>108</v>
      </c>
      <c r="P82" s="24">
        <f>uurtarief99</f>
        <v>0</v>
      </c>
      <c r="Q82" s="101" t="e">
        <f>IF(ISBLANK(M82),0,L82/ROUND(M82,4))</f>
        <v>#DIV/0!</v>
      </c>
      <c r="R82" s="101" t="e">
        <f>IF(ISBLANK(M82),0,Q82*ROUND(N82,2))</f>
        <v>#DIV/0!</v>
      </c>
      <c r="S82" s="24" t="e">
        <f>ROUND(P82,2)*Q82</f>
        <v>#DIV/0!</v>
      </c>
      <c r="T82" s="101" t="e">
        <f>Q82*dagenperjaar2</f>
        <v>#DIV/0!</v>
      </c>
      <c r="U82" s="25" t="e">
        <f>T82*ROUND(P82,2)</f>
        <v>#DIV/0!</v>
      </c>
    </row>
    <row r="83" spans="1:21" x14ac:dyDescent="0.2">
      <c r="A83" s="98" t="s">
        <v>417</v>
      </c>
      <c r="B83" s="99" t="s">
        <v>471</v>
      </c>
      <c r="C83" s="99" t="s">
        <v>496</v>
      </c>
      <c r="D83" s="99" t="s">
        <v>498</v>
      </c>
      <c r="E83" s="100" t="s">
        <v>485</v>
      </c>
      <c r="F83" s="99" t="s">
        <v>423</v>
      </c>
      <c r="G83" s="99" t="s">
        <v>309</v>
      </c>
      <c r="H83" s="99" t="s">
        <v>31</v>
      </c>
      <c r="I83" s="99" t="s">
        <v>246</v>
      </c>
      <c r="J83" s="99"/>
      <c r="K83" s="101">
        <v>52.5</v>
      </c>
      <c r="L83" s="101">
        <f>K83*VLOOKUP(H83,dagsoorttabel2,2,FALSE)</f>
        <v>196.875</v>
      </c>
      <c r="M83" s="102">
        <f>prodnorm95</f>
        <v>0</v>
      </c>
      <c r="N83" s="37">
        <f>dagwerk95</f>
        <v>0</v>
      </c>
      <c r="O83" s="99" t="s">
        <v>108</v>
      </c>
      <c r="P83" s="24">
        <f>uurtarief95</f>
        <v>0</v>
      </c>
      <c r="Q83" s="101" t="e">
        <f>IF(ISBLANK(M83),0,L83/ROUND(M83,4))</f>
        <v>#DIV/0!</v>
      </c>
      <c r="R83" s="101" t="e">
        <f>IF(ISBLANK(M83),0,Q83*ROUND(N83,2))</f>
        <v>#DIV/0!</v>
      </c>
      <c r="S83" s="24" t="e">
        <f>ROUND(P83,2)*Q83</f>
        <v>#DIV/0!</v>
      </c>
      <c r="T83" s="101" t="e">
        <f>Q83*dagenperjaar2</f>
        <v>#DIV/0!</v>
      </c>
      <c r="U83" s="25" t="e">
        <f>T83*ROUND(P83,2)</f>
        <v>#DIV/0!</v>
      </c>
    </row>
    <row r="84" spans="1:21" x14ac:dyDescent="0.2">
      <c r="A84" s="98" t="s">
        <v>417</v>
      </c>
      <c r="B84" s="99" t="s">
        <v>471</v>
      </c>
      <c r="C84" s="99" t="s">
        <v>496</v>
      </c>
      <c r="D84" s="99" t="s">
        <v>499</v>
      </c>
      <c r="E84" s="100" t="s">
        <v>485</v>
      </c>
      <c r="F84" s="99" t="s">
        <v>423</v>
      </c>
      <c r="G84" s="99" t="s">
        <v>309</v>
      </c>
      <c r="H84" s="99" t="s">
        <v>31</v>
      </c>
      <c r="I84" s="99" t="s">
        <v>246</v>
      </c>
      <c r="J84" s="99"/>
      <c r="K84" s="101">
        <v>56</v>
      </c>
      <c r="L84" s="101">
        <f>K84*VLOOKUP(H84,dagsoorttabel2,2,FALSE)</f>
        <v>210</v>
      </c>
      <c r="M84" s="102">
        <f>prodnorm95</f>
        <v>0</v>
      </c>
      <c r="N84" s="37">
        <f>dagwerk95</f>
        <v>0</v>
      </c>
      <c r="O84" s="99" t="s">
        <v>108</v>
      </c>
      <c r="P84" s="24">
        <f>uurtarief95</f>
        <v>0</v>
      </c>
      <c r="Q84" s="101" t="e">
        <f>IF(ISBLANK(M84),0,L84/ROUND(M84,4))</f>
        <v>#DIV/0!</v>
      </c>
      <c r="R84" s="101" t="e">
        <f>IF(ISBLANK(M84),0,Q84*ROUND(N84,2))</f>
        <v>#DIV/0!</v>
      </c>
      <c r="S84" s="24" t="e">
        <f>ROUND(P84,2)*Q84</f>
        <v>#DIV/0!</v>
      </c>
      <c r="T84" s="101" t="e">
        <f>Q84*dagenperjaar2</f>
        <v>#DIV/0!</v>
      </c>
      <c r="U84" s="25" t="e">
        <f>T84*ROUND(P84,2)</f>
        <v>#DIV/0!</v>
      </c>
    </row>
    <row r="85" spans="1:21" x14ac:dyDescent="0.2">
      <c r="A85" s="98" t="s">
        <v>417</v>
      </c>
      <c r="B85" s="99" t="s">
        <v>471</v>
      </c>
      <c r="C85" s="99" t="s">
        <v>496</v>
      </c>
      <c r="D85" s="99" t="s">
        <v>500</v>
      </c>
      <c r="E85" s="100" t="s">
        <v>485</v>
      </c>
      <c r="F85" s="99" t="s">
        <v>423</v>
      </c>
      <c r="G85" s="99" t="s">
        <v>309</v>
      </c>
      <c r="H85" s="99" t="s">
        <v>31</v>
      </c>
      <c r="I85" s="99" t="s">
        <v>246</v>
      </c>
      <c r="J85" s="99"/>
      <c r="K85" s="101">
        <v>52.5</v>
      </c>
      <c r="L85" s="101">
        <f>K85*VLOOKUP(H85,dagsoorttabel2,2,FALSE)</f>
        <v>196.875</v>
      </c>
      <c r="M85" s="102">
        <f>prodnorm95</f>
        <v>0</v>
      </c>
      <c r="N85" s="37">
        <f>dagwerk95</f>
        <v>0</v>
      </c>
      <c r="O85" s="99" t="s">
        <v>108</v>
      </c>
      <c r="P85" s="24">
        <f>uurtarief95</f>
        <v>0</v>
      </c>
      <c r="Q85" s="101" t="e">
        <f>IF(ISBLANK(M85),0,L85/ROUND(M85,4))</f>
        <v>#DIV/0!</v>
      </c>
      <c r="R85" s="101" t="e">
        <f>IF(ISBLANK(M85),0,Q85*ROUND(N85,2))</f>
        <v>#DIV/0!</v>
      </c>
      <c r="S85" s="24" t="e">
        <f>ROUND(P85,2)*Q85</f>
        <v>#DIV/0!</v>
      </c>
      <c r="T85" s="101" t="e">
        <f>Q85*dagenperjaar2</f>
        <v>#DIV/0!</v>
      </c>
      <c r="U85" s="25" t="e">
        <f>T85*ROUND(P85,2)</f>
        <v>#DIV/0!</v>
      </c>
    </row>
    <row r="86" spans="1:21" x14ac:dyDescent="0.2">
      <c r="A86" s="98" t="s">
        <v>417</v>
      </c>
      <c r="B86" s="99" t="s">
        <v>471</v>
      </c>
      <c r="C86" s="99" t="s">
        <v>496</v>
      </c>
      <c r="D86" s="99" t="s">
        <v>501</v>
      </c>
      <c r="E86" s="100" t="s">
        <v>489</v>
      </c>
      <c r="F86" s="99" t="s">
        <v>423</v>
      </c>
      <c r="G86" s="99" t="s">
        <v>299</v>
      </c>
      <c r="H86" s="99" t="s">
        <v>31</v>
      </c>
      <c r="I86" s="99" t="s">
        <v>246</v>
      </c>
      <c r="J86" s="99"/>
      <c r="K86" s="101">
        <v>27.3</v>
      </c>
      <c r="L86" s="101">
        <f>K86*VLOOKUP(H86,dagsoorttabel2,2,FALSE)</f>
        <v>102.375</v>
      </c>
      <c r="M86" s="102">
        <f>prodnorm89</f>
        <v>0</v>
      </c>
      <c r="N86" s="37">
        <f>dagwerk89</f>
        <v>0</v>
      </c>
      <c r="O86" s="99" t="s">
        <v>108</v>
      </c>
      <c r="P86" s="24">
        <f>uurtarief89</f>
        <v>0</v>
      </c>
      <c r="Q86" s="101" t="e">
        <f>IF(ISBLANK(M86),0,L86/ROUND(M86,4))</f>
        <v>#DIV/0!</v>
      </c>
      <c r="R86" s="101" t="e">
        <f>IF(ISBLANK(M86),0,Q86*ROUND(N86,2))</f>
        <v>#DIV/0!</v>
      </c>
      <c r="S86" s="24" t="e">
        <f>ROUND(P86,2)*Q86</f>
        <v>#DIV/0!</v>
      </c>
      <c r="T86" s="101" t="e">
        <f>Q86*dagenperjaar2</f>
        <v>#DIV/0!</v>
      </c>
      <c r="U86" s="25" t="e">
        <f>T86*ROUND(P86,2)</f>
        <v>#DIV/0!</v>
      </c>
    </row>
    <row r="87" spans="1:21" x14ac:dyDescent="0.2">
      <c r="A87" s="98" t="s">
        <v>417</v>
      </c>
      <c r="B87" s="99" t="s">
        <v>471</v>
      </c>
      <c r="C87" s="99" t="s">
        <v>496</v>
      </c>
      <c r="D87" s="99" t="s">
        <v>502</v>
      </c>
      <c r="E87" s="100" t="s">
        <v>420</v>
      </c>
      <c r="F87" s="99" t="s">
        <v>348</v>
      </c>
      <c r="G87" s="99" t="s">
        <v>312</v>
      </c>
      <c r="H87" s="99" t="s">
        <v>31</v>
      </c>
      <c r="I87" s="99" t="s">
        <v>246</v>
      </c>
      <c r="J87" s="99"/>
      <c r="K87" s="101">
        <v>12.92</v>
      </c>
      <c r="L87" s="101">
        <f>K87*VLOOKUP(H87,dagsoorttabel2,2,FALSE)</f>
        <v>48.45</v>
      </c>
      <c r="M87" s="102">
        <f>prodnorm97</f>
        <v>0</v>
      </c>
      <c r="N87" s="37">
        <f>dagwerk97</f>
        <v>0</v>
      </c>
      <c r="O87" s="99" t="s">
        <v>108</v>
      </c>
      <c r="P87" s="24">
        <f>uurtarief97</f>
        <v>0</v>
      </c>
      <c r="Q87" s="101" t="e">
        <f>IF(ISBLANK(M87),0,L87/ROUND(M87,4))</f>
        <v>#DIV/0!</v>
      </c>
      <c r="R87" s="101" t="e">
        <f>IF(ISBLANK(M87),0,Q87*ROUND(N87,2))</f>
        <v>#DIV/0!</v>
      </c>
      <c r="S87" s="24" t="e">
        <f>ROUND(P87,2)*Q87</f>
        <v>#DIV/0!</v>
      </c>
      <c r="T87" s="101" t="e">
        <f>Q87*dagenperjaar2</f>
        <v>#DIV/0!</v>
      </c>
      <c r="U87" s="25" t="e">
        <f>T87*ROUND(P87,2)</f>
        <v>#DIV/0!</v>
      </c>
    </row>
    <row r="88" spans="1:21" x14ac:dyDescent="0.2">
      <c r="A88" s="98" t="s">
        <v>417</v>
      </c>
      <c r="B88" s="99" t="s">
        <v>471</v>
      </c>
      <c r="C88" s="99" t="s">
        <v>496</v>
      </c>
      <c r="D88" s="99" t="s">
        <v>503</v>
      </c>
      <c r="E88" s="100" t="s">
        <v>430</v>
      </c>
      <c r="F88" s="99" t="s">
        <v>423</v>
      </c>
      <c r="G88" s="99" t="s">
        <v>313</v>
      </c>
      <c r="H88" s="99" t="s">
        <v>31</v>
      </c>
      <c r="I88" s="99" t="s">
        <v>246</v>
      </c>
      <c r="J88" s="99"/>
      <c r="K88" s="101">
        <v>15.84</v>
      </c>
      <c r="L88" s="101">
        <f>K88*VLOOKUP(H88,dagsoorttabel2,2,FALSE)</f>
        <v>59.4</v>
      </c>
      <c r="M88" s="102">
        <f>prodnorm98</f>
        <v>0</v>
      </c>
      <c r="N88" s="37">
        <f>dagwerk98</f>
        <v>0</v>
      </c>
      <c r="O88" s="99" t="s">
        <v>108</v>
      </c>
      <c r="P88" s="24">
        <f>uurtarief98</f>
        <v>0</v>
      </c>
      <c r="Q88" s="101" t="e">
        <f>IF(ISBLANK(M88),0,L88/ROUND(M88,4))</f>
        <v>#DIV/0!</v>
      </c>
      <c r="R88" s="101" t="e">
        <f>IF(ISBLANK(M88),0,Q88*ROUND(N88,2))</f>
        <v>#DIV/0!</v>
      </c>
      <c r="S88" s="24" t="e">
        <f>ROUND(P88,2)*Q88</f>
        <v>#DIV/0!</v>
      </c>
      <c r="T88" s="101" t="e">
        <f>Q88*dagenperjaar2</f>
        <v>#DIV/0!</v>
      </c>
      <c r="U88" s="25" t="e">
        <f>T88*ROUND(P88,2)</f>
        <v>#DIV/0!</v>
      </c>
    </row>
    <row r="89" spans="1:21" x14ac:dyDescent="0.2">
      <c r="A89" s="98" t="s">
        <v>417</v>
      </c>
      <c r="B89" s="99" t="s">
        <v>471</v>
      </c>
      <c r="C89" s="99" t="s">
        <v>496</v>
      </c>
      <c r="D89" s="99" t="s">
        <v>504</v>
      </c>
      <c r="E89" s="100" t="s">
        <v>430</v>
      </c>
      <c r="F89" s="99" t="s">
        <v>423</v>
      </c>
      <c r="G89" s="99" t="s">
        <v>313</v>
      </c>
      <c r="H89" s="99" t="s">
        <v>31</v>
      </c>
      <c r="I89" s="99" t="s">
        <v>246</v>
      </c>
      <c r="J89" s="99"/>
      <c r="K89" s="101">
        <v>15.84</v>
      </c>
      <c r="L89" s="101">
        <f>K89*VLOOKUP(H89,dagsoorttabel2,2,FALSE)</f>
        <v>59.4</v>
      </c>
      <c r="M89" s="102">
        <f>prodnorm98</f>
        <v>0</v>
      </c>
      <c r="N89" s="37">
        <f>dagwerk98</f>
        <v>0</v>
      </c>
      <c r="O89" s="99" t="s">
        <v>108</v>
      </c>
      <c r="P89" s="24">
        <f>uurtarief98</f>
        <v>0</v>
      </c>
      <c r="Q89" s="101" t="e">
        <f>IF(ISBLANK(M89),0,L89/ROUND(M89,4))</f>
        <v>#DIV/0!</v>
      </c>
      <c r="R89" s="101" t="e">
        <f>IF(ISBLANK(M89),0,Q89*ROUND(N89,2))</f>
        <v>#DIV/0!</v>
      </c>
      <c r="S89" s="24" t="e">
        <f>ROUND(P89,2)*Q89</f>
        <v>#DIV/0!</v>
      </c>
      <c r="T89" s="101" t="e">
        <f>Q89*dagenperjaar2</f>
        <v>#DIV/0!</v>
      </c>
      <c r="U89" s="25" t="e">
        <f>T89*ROUND(P89,2)</f>
        <v>#DIV/0!</v>
      </c>
    </row>
    <row r="90" spans="1:21" x14ac:dyDescent="0.2">
      <c r="A90" s="98" t="s">
        <v>417</v>
      </c>
      <c r="B90" s="99" t="s">
        <v>471</v>
      </c>
      <c r="C90" s="99" t="s">
        <v>505</v>
      </c>
      <c r="D90" s="99" t="s">
        <v>506</v>
      </c>
      <c r="E90" s="100" t="s">
        <v>454</v>
      </c>
      <c r="F90" s="99" t="s">
        <v>423</v>
      </c>
      <c r="G90" s="99" t="s">
        <v>299</v>
      </c>
      <c r="H90" s="99" t="s">
        <v>31</v>
      </c>
      <c r="I90" s="99" t="s">
        <v>246</v>
      </c>
      <c r="J90" s="99"/>
      <c r="K90" s="101">
        <v>30.8</v>
      </c>
      <c r="L90" s="101">
        <f>K90*VLOOKUP(H90,dagsoorttabel2,2,FALSE)</f>
        <v>115.5</v>
      </c>
      <c r="M90" s="102">
        <f>prodnorm89</f>
        <v>0</v>
      </c>
      <c r="N90" s="37">
        <f>dagwerk89</f>
        <v>0</v>
      </c>
      <c r="O90" s="99" t="s">
        <v>108</v>
      </c>
      <c r="P90" s="24">
        <f>uurtarief89</f>
        <v>0</v>
      </c>
      <c r="Q90" s="101" t="e">
        <f>IF(ISBLANK(M90),0,L90/ROUND(M90,4))</f>
        <v>#DIV/0!</v>
      </c>
      <c r="R90" s="101" t="e">
        <f>IF(ISBLANK(M90),0,Q90*ROUND(N90,2))</f>
        <v>#DIV/0!</v>
      </c>
      <c r="S90" s="24" t="e">
        <f>ROUND(P90,2)*Q90</f>
        <v>#DIV/0!</v>
      </c>
      <c r="T90" s="101" t="e">
        <f>Q90*dagenperjaar2</f>
        <v>#DIV/0!</v>
      </c>
      <c r="U90" s="25" t="e">
        <f>T90*ROUND(P90,2)</f>
        <v>#DIV/0!</v>
      </c>
    </row>
    <row r="91" spans="1:21" x14ac:dyDescent="0.2">
      <c r="A91" s="98" t="s">
        <v>417</v>
      </c>
      <c r="B91" s="99" t="s">
        <v>471</v>
      </c>
      <c r="C91" s="99" t="s">
        <v>505</v>
      </c>
      <c r="D91" s="99" t="s">
        <v>507</v>
      </c>
      <c r="E91" s="100" t="s">
        <v>396</v>
      </c>
      <c r="F91" s="99" t="s">
        <v>423</v>
      </c>
      <c r="G91" s="99" t="s">
        <v>299</v>
      </c>
      <c r="H91" s="99" t="s">
        <v>31</v>
      </c>
      <c r="I91" s="99" t="s">
        <v>246</v>
      </c>
      <c r="J91" s="99"/>
      <c r="K91" s="101">
        <v>18.899999999999999</v>
      </c>
      <c r="L91" s="101">
        <f>K91*VLOOKUP(H91,dagsoorttabel2,2,FALSE)</f>
        <v>70.875</v>
      </c>
      <c r="M91" s="102">
        <f>prodnorm89</f>
        <v>0</v>
      </c>
      <c r="N91" s="37">
        <f>dagwerk89</f>
        <v>0</v>
      </c>
      <c r="O91" s="99" t="s">
        <v>108</v>
      </c>
      <c r="P91" s="24">
        <f>uurtarief89</f>
        <v>0</v>
      </c>
      <c r="Q91" s="101" t="e">
        <f>IF(ISBLANK(M91),0,L91/ROUND(M91,4))</f>
        <v>#DIV/0!</v>
      </c>
      <c r="R91" s="101" t="e">
        <f>IF(ISBLANK(M91),0,Q91*ROUND(N91,2))</f>
        <v>#DIV/0!</v>
      </c>
      <c r="S91" s="24" t="e">
        <f>ROUND(P91,2)*Q91</f>
        <v>#DIV/0!</v>
      </c>
      <c r="T91" s="101" t="e">
        <f>Q91*dagenperjaar2</f>
        <v>#DIV/0!</v>
      </c>
      <c r="U91" s="25" t="e">
        <f>T91*ROUND(P91,2)</f>
        <v>#DIV/0!</v>
      </c>
    </row>
    <row r="92" spans="1:21" x14ac:dyDescent="0.2">
      <c r="A92" s="98" t="s">
        <v>417</v>
      </c>
      <c r="B92" s="99" t="s">
        <v>471</v>
      </c>
      <c r="C92" s="99" t="s">
        <v>505</v>
      </c>
      <c r="D92" s="99" t="s">
        <v>508</v>
      </c>
      <c r="E92" s="100" t="s">
        <v>396</v>
      </c>
      <c r="F92" s="99" t="s">
        <v>423</v>
      </c>
      <c r="G92" s="99" t="s">
        <v>299</v>
      </c>
      <c r="H92" s="99" t="s">
        <v>31</v>
      </c>
      <c r="I92" s="99" t="s">
        <v>246</v>
      </c>
      <c r="J92" s="99"/>
      <c r="K92" s="101">
        <v>18.899999999999999</v>
      </c>
      <c r="L92" s="101">
        <f>K92*VLOOKUP(H92,dagsoorttabel2,2,FALSE)</f>
        <v>70.875</v>
      </c>
      <c r="M92" s="102">
        <f>prodnorm89</f>
        <v>0</v>
      </c>
      <c r="N92" s="37">
        <f>dagwerk89</f>
        <v>0</v>
      </c>
      <c r="O92" s="99" t="s">
        <v>108</v>
      </c>
      <c r="P92" s="24">
        <f>uurtarief89</f>
        <v>0</v>
      </c>
      <c r="Q92" s="101" t="e">
        <f>IF(ISBLANK(M92),0,L92/ROUND(M92,4))</f>
        <v>#DIV/0!</v>
      </c>
      <c r="R92" s="101" t="e">
        <f>IF(ISBLANK(M92),0,Q92*ROUND(N92,2))</f>
        <v>#DIV/0!</v>
      </c>
      <c r="S92" s="24" t="e">
        <f>ROUND(P92,2)*Q92</f>
        <v>#DIV/0!</v>
      </c>
      <c r="T92" s="101" t="e">
        <f>Q92*dagenperjaar2</f>
        <v>#DIV/0!</v>
      </c>
      <c r="U92" s="25" t="e">
        <f>T92*ROUND(P92,2)</f>
        <v>#DIV/0!</v>
      </c>
    </row>
    <row r="93" spans="1:21" x14ac:dyDescent="0.2">
      <c r="A93" s="98" t="s">
        <v>417</v>
      </c>
      <c r="B93" s="99" t="s">
        <v>471</v>
      </c>
      <c r="C93" s="99" t="s">
        <v>505</v>
      </c>
      <c r="D93" s="99" t="s">
        <v>509</v>
      </c>
      <c r="E93" s="100" t="s">
        <v>396</v>
      </c>
      <c r="F93" s="99" t="s">
        <v>423</v>
      </c>
      <c r="G93" s="99" t="s">
        <v>299</v>
      </c>
      <c r="H93" s="99" t="s">
        <v>31</v>
      </c>
      <c r="I93" s="99" t="s">
        <v>246</v>
      </c>
      <c r="J93" s="99"/>
      <c r="K93" s="101">
        <v>18.899999999999999</v>
      </c>
      <c r="L93" s="101">
        <f>K93*VLOOKUP(H93,dagsoorttabel2,2,FALSE)</f>
        <v>70.875</v>
      </c>
      <c r="M93" s="102">
        <f>prodnorm89</f>
        <v>0</v>
      </c>
      <c r="N93" s="37">
        <f>dagwerk89</f>
        <v>0</v>
      </c>
      <c r="O93" s="99" t="s">
        <v>108</v>
      </c>
      <c r="P93" s="24">
        <f>uurtarief89</f>
        <v>0</v>
      </c>
      <c r="Q93" s="101" t="e">
        <f>IF(ISBLANK(M93),0,L93/ROUND(M93,4))</f>
        <v>#DIV/0!</v>
      </c>
      <c r="R93" s="101" t="e">
        <f>IF(ISBLANK(M93),0,Q93*ROUND(N93,2))</f>
        <v>#DIV/0!</v>
      </c>
      <c r="S93" s="24" t="e">
        <f>ROUND(P93,2)*Q93</f>
        <v>#DIV/0!</v>
      </c>
      <c r="T93" s="101" t="e">
        <f>Q93*dagenperjaar2</f>
        <v>#DIV/0!</v>
      </c>
      <c r="U93" s="25" t="e">
        <f>T93*ROUND(P93,2)</f>
        <v>#DIV/0!</v>
      </c>
    </row>
    <row r="94" spans="1:21" x14ac:dyDescent="0.2">
      <c r="A94" s="98" t="s">
        <v>417</v>
      </c>
      <c r="B94" s="99" t="s">
        <v>471</v>
      </c>
      <c r="C94" s="99" t="s">
        <v>505</v>
      </c>
      <c r="D94" s="99" t="s">
        <v>510</v>
      </c>
      <c r="E94" s="100" t="s">
        <v>396</v>
      </c>
      <c r="F94" s="99" t="s">
        <v>423</v>
      </c>
      <c r="G94" s="99" t="s">
        <v>299</v>
      </c>
      <c r="H94" s="99" t="s">
        <v>31</v>
      </c>
      <c r="I94" s="99" t="s">
        <v>246</v>
      </c>
      <c r="J94" s="99"/>
      <c r="K94" s="101">
        <v>38.5</v>
      </c>
      <c r="L94" s="101">
        <f>K94*VLOOKUP(H94,dagsoorttabel2,2,FALSE)</f>
        <v>144.375</v>
      </c>
      <c r="M94" s="102">
        <f>prodnorm89</f>
        <v>0</v>
      </c>
      <c r="N94" s="37">
        <f>dagwerk89</f>
        <v>0</v>
      </c>
      <c r="O94" s="99" t="s">
        <v>108</v>
      </c>
      <c r="P94" s="24">
        <f>uurtarief89</f>
        <v>0</v>
      </c>
      <c r="Q94" s="101" t="e">
        <f>IF(ISBLANK(M94),0,L94/ROUND(M94,4))</f>
        <v>#DIV/0!</v>
      </c>
      <c r="R94" s="101" t="e">
        <f>IF(ISBLANK(M94),0,Q94*ROUND(N94,2))</f>
        <v>#DIV/0!</v>
      </c>
      <c r="S94" s="24" t="e">
        <f>ROUND(P94,2)*Q94</f>
        <v>#DIV/0!</v>
      </c>
      <c r="T94" s="101" t="e">
        <f>Q94*dagenperjaar2</f>
        <v>#DIV/0!</v>
      </c>
      <c r="U94" s="25" t="e">
        <f>T94*ROUND(P94,2)</f>
        <v>#DIV/0!</v>
      </c>
    </row>
    <row r="95" spans="1:21" x14ac:dyDescent="0.2">
      <c r="A95" s="98" t="s">
        <v>417</v>
      </c>
      <c r="B95" s="99" t="s">
        <v>471</v>
      </c>
      <c r="C95" s="99" t="s">
        <v>505</v>
      </c>
      <c r="D95" s="99" t="s">
        <v>511</v>
      </c>
      <c r="E95" s="100" t="s">
        <v>512</v>
      </c>
      <c r="F95" s="99" t="s">
        <v>423</v>
      </c>
      <c r="G95" s="99" t="s">
        <v>299</v>
      </c>
      <c r="H95" s="99" t="s">
        <v>31</v>
      </c>
      <c r="I95" s="99" t="s">
        <v>246</v>
      </c>
      <c r="J95" s="99"/>
      <c r="K95" s="101">
        <v>53.2</v>
      </c>
      <c r="L95" s="101">
        <f>K95*VLOOKUP(H95,dagsoorttabel2,2,FALSE)</f>
        <v>199.5</v>
      </c>
      <c r="M95" s="102">
        <f>prodnorm89</f>
        <v>0</v>
      </c>
      <c r="N95" s="37">
        <f>dagwerk89</f>
        <v>0</v>
      </c>
      <c r="O95" s="99" t="s">
        <v>108</v>
      </c>
      <c r="P95" s="24">
        <f>uurtarief89</f>
        <v>0</v>
      </c>
      <c r="Q95" s="101" t="e">
        <f>IF(ISBLANK(M95),0,L95/ROUND(M95,4))</f>
        <v>#DIV/0!</v>
      </c>
      <c r="R95" s="101" t="e">
        <f>IF(ISBLANK(M95),0,Q95*ROUND(N95,2))</f>
        <v>#DIV/0!</v>
      </c>
      <c r="S95" s="24" t="e">
        <f>ROUND(P95,2)*Q95</f>
        <v>#DIV/0!</v>
      </c>
      <c r="T95" s="101" t="e">
        <f>Q95*dagenperjaar2</f>
        <v>#DIV/0!</v>
      </c>
      <c r="U95" s="25" t="e">
        <f>T95*ROUND(P95,2)</f>
        <v>#DIV/0!</v>
      </c>
    </row>
    <row r="96" spans="1:21" x14ac:dyDescent="0.2">
      <c r="A96" s="98" t="s">
        <v>417</v>
      </c>
      <c r="B96" s="99" t="s">
        <v>471</v>
      </c>
      <c r="C96" s="99" t="s">
        <v>505</v>
      </c>
      <c r="D96" s="99" t="s">
        <v>513</v>
      </c>
      <c r="E96" s="100" t="s">
        <v>420</v>
      </c>
      <c r="F96" s="99" t="s">
        <v>423</v>
      </c>
      <c r="G96" s="99" t="s">
        <v>312</v>
      </c>
      <c r="H96" s="99" t="s">
        <v>31</v>
      </c>
      <c r="I96" s="99" t="s">
        <v>246</v>
      </c>
      <c r="J96" s="99"/>
      <c r="K96" s="101">
        <v>3.5</v>
      </c>
      <c r="L96" s="101">
        <f>K96*VLOOKUP(H96,dagsoorttabel2,2,FALSE)</f>
        <v>13.125</v>
      </c>
      <c r="M96" s="102">
        <f>prodnorm97</f>
        <v>0</v>
      </c>
      <c r="N96" s="37">
        <f>dagwerk97</f>
        <v>0</v>
      </c>
      <c r="O96" s="99" t="s">
        <v>108</v>
      </c>
      <c r="P96" s="24">
        <f>uurtarief97</f>
        <v>0</v>
      </c>
      <c r="Q96" s="101" t="e">
        <f>IF(ISBLANK(M96),0,L96/ROUND(M96,4))</f>
        <v>#DIV/0!</v>
      </c>
      <c r="R96" s="101" t="e">
        <f>IF(ISBLANK(M96),0,Q96*ROUND(N96,2))</f>
        <v>#DIV/0!</v>
      </c>
      <c r="S96" s="24" t="e">
        <f>ROUND(P96,2)*Q96</f>
        <v>#DIV/0!</v>
      </c>
      <c r="T96" s="101" t="e">
        <f>Q96*dagenperjaar2</f>
        <v>#DIV/0!</v>
      </c>
      <c r="U96" s="25" t="e">
        <f>T96*ROUND(P96,2)</f>
        <v>#DIV/0!</v>
      </c>
    </row>
    <row r="97" spans="1:21" x14ac:dyDescent="0.2">
      <c r="A97" s="98" t="s">
        <v>417</v>
      </c>
      <c r="B97" s="99" t="s">
        <v>471</v>
      </c>
      <c r="C97" s="99" t="s">
        <v>505</v>
      </c>
      <c r="D97" s="99" t="s">
        <v>514</v>
      </c>
      <c r="E97" s="100" t="s">
        <v>515</v>
      </c>
      <c r="F97" s="99" t="s">
        <v>423</v>
      </c>
      <c r="G97" s="99" t="s">
        <v>314</v>
      </c>
      <c r="H97" s="99" t="s">
        <v>31</v>
      </c>
      <c r="I97" s="99" t="s">
        <v>246</v>
      </c>
      <c r="J97" s="99"/>
      <c r="K97" s="101">
        <v>5.95</v>
      </c>
      <c r="L97" s="101">
        <f>K97*VLOOKUP(H97,dagsoorttabel2,2,FALSE)</f>
        <v>22.3125</v>
      </c>
      <c r="M97" s="102">
        <f>prodnorm99</f>
        <v>0</v>
      </c>
      <c r="N97" s="37">
        <f>dagwerk99</f>
        <v>0</v>
      </c>
      <c r="O97" s="99" t="s">
        <v>108</v>
      </c>
      <c r="P97" s="24">
        <f>uurtarief99</f>
        <v>0</v>
      </c>
      <c r="Q97" s="101" t="e">
        <f>IF(ISBLANK(M97),0,L97/ROUND(M97,4))</f>
        <v>#DIV/0!</v>
      </c>
      <c r="R97" s="101" t="e">
        <f>IF(ISBLANK(M97),0,Q97*ROUND(N97,2))</f>
        <v>#DIV/0!</v>
      </c>
      <c r="S97" s="24" t="e">
        <f>ROUND(P97,2)*Q97</f>
        <v>#DIV/0!</v>
      </c>
      <c r="T97" s="101" t="e">
        <f>Q97*dagenperjaar2</f>
        <v>#DIV/0!</v>
      </c>
      <c r="U97" s="25" t="e">
        <f>T97*ROUND(P97,2)</f>
        <v>#DIV/0!</v>
      </c>
    </row>
    <row r="98" spans="1:21" x14ac:dyDescent="0.2">
      <c r="A98" s="98" t="s">
        <v>417</v>
      </c>
      <c r="B98" s="99" t="s">
        <v>471</v>
      </c>
      <c r="C98" s="99" t="s">
        <v>505</v>
      </c>
      <c r="D98" s="99" t="s">
        <v>516</v>
      </c>
      <c r="E98" s="100" t="s">
        <v>396</v>
      </c>
      <c r="F98" s="99" t="s">
        <v>423</v>
      </c>
      <c r="G98" s="99" t="s">
        <v>299</v>
      </c>
      <c r="H98" s="99" t="s">
        <v>31</v>
      </c>
      <c r="I98" s="99" t="s">
        <v>246</v>
      </c>
      <c r="J98" s="99"/>
      <c r="K98" s="101">
        <v>18.55</v>
      </c>
      <c r="L98" s="101">
        <f>K98*VLOOKUP(H98,dagsoorttabel2,2,FALSE)</f>
        <v>69.5625</v>
      </c>
      <c r="M98" s="102">
        <f>prodnorm89</f>
        <v>0</v>
      </c>
      <c r="N98" s="37">
        <f>dagwerk89</f>
        <v>0</v>
      </c>
      <c r="O98" s="99" t="s">
        <v>108</v>
      </c>
      <c r="P98" s="24">
        <f>uurtarief89</f>
        <v>0</v>
      </c>
      <c r="Q98" s="101" t="e">
        <f>IF(ISBLANK(M98),0,L98/ROUND(M98,4))</f>
        <v>#DIV/0!</v>
      </c>
      <c r="R98" s="101" t="e">
        <f>IF(ISBLANK(M98),0,Q98*ROUND(N98,2))</f>
        <v>#DIV/0!</v>
      </c>
      <c r="S98" s="24" t="e">
        <f>ROUND(P98,2)*Q98</f>
        <v>#DIV/0!</v>
      </c>
      <c r="T98" s="101" t="e">
        <f>Q98*dagenperjaar2</f>
        <v>#DIV/0!</v>
      </c>
      <c r="U98" s="25" t="e">
        <f>T98*ROUND(P98,2)</f>
        <v>#DIV/0!</v>
      </c>
    </row>
    <row r="99" spans="1:21" x14ac:dyDescent="0.2">
      <c r="A99" s="103" t="s">
        <v>417</v>
      </c>
      <c r="B99" s="104" t="s">
        <v>471</v>
      </c>
      <c r="C99" s="104" t="s">
        <v>505</v>
      </c>
      <c r="D99" s="104" t="s">
        <v>517</v>
      </c>
      <c r="E99" s="105" t="s">
        <v>421</v>
      </c>
      <c r="F99" s="104" t="s">
        <v>423</v>
      </c>
      <c r="G99" s="104" t="s">
        <v>314</v>
      </c>
      <c r="H99" s="104" t="s">
        <v>31</v>
      </c>
      <c r="I99" s="104" t="s">
        <v>246</v>
      </c>
      <c r="J99" s="104"/>
      <c r="K99" s="106">
        <v>74.149999999999991</v>
      </c>
      <c r="L99" s="106">
        <f>K99*VLOOKUP(H99,dagsoorttabel2,2,FALSE)</f>
        <v>278.06249999999994</v>
      </c>
      <c r="M99" s="107">
        <f>prodnorm99</f>
        <v>0</v>
      </c>
      <c r="N99" s="108">
        <f>dagwerk99</f>
        <v>0</v>
      </c>
      <c r="O99" s="104" t="s">
        <v>108</v>
      </c>
      <c r="P99" s="34">
        <f>uurtarief99</f>
        <v>0</v>
      </c>
      <c r="Q99" s="106" t="e">
        <f>IF(ISBLANK(M99),0,L99/ROUND(M99,4))</f>
        <v>#DIV/0!</v>
      </c>
      <c r="R99" s="106" t="e">
        <f>IF(ISBLANK(M99),0,Q99*ROUND(N99,2))</f>
        <v>#DIV/0!</v>
      </c>
      <c r="S99" s="34" t="e">
        <f>ROUND(P99,2)*Q99</f>
        <v>#DIV/0!</v>
      </c>
      <c r="T99" s="106" t="e">
        <f>Q99*dagenperjaar2</f>
        <v>#DIV/0!</v>
      </c>
      <c r="U99" s="35" t="e">
        <f>T99*ROUND(P99,2)</f>
        <v>#DIV/0!</v>
      </c>
    </row>
    <row r="100" spans="1:21" x14ac:dyDescent="0.2">
      <c r="A100" s="78" t="s">
        <v>670</v>
      </c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81" t="e">
        <f>IF(_xlfn.SINGLE(object3_urenjaar2)&gt;0,_xlfn.SINGLE(object3_prijsjaar2)/_xlfn.SINGLE(object3_urenjaar2),0)</f>
        <v>#DIV/0!</v>
      </c>
      <c r="Q100" s="80" t="e">
        <f>SUM(Q5:Q99)</f>
        <v>#DIV/0!</v>
      </c>
      <c r="R100" s="80" t="e">
        <f>SUM(R5:R99)</f>
        <v>#DIV/0!</v>
      </c>
      <c r="S100" s="81" t="e">
        <f>SUM(S5:S99)</f>
        <v>#DIV/0!</v>
      </c>
      <c r="T100" s="80" t="e">
        <f>SUM(T5:T99)</f>
        <v>#DIV/0!</v>
      </c>
      <c r="U100" s="81" t="e">
        <f>SUM(U5:U99)</f>
        <v>#DIV/0!</v>
      </c>
    </row>
  </sheetData>
  <sheetProtection algorithmName="SHA-512" hashValue="rX2ldT9Jc0eCV+ezfUpFc9C2zVNmzR/SGE4ZVDLdNh1ty9EC9LYF7xp9cx2f00jAkpcXO0t/5i9EPDt0E03yuQ==" saltValue="/Bc6tKAkc1y5/u4GG9Z4SQ==" spinCount="100000" sheet="1" objects="1" scenarios="1" autoFilter="0"/>
  <autoFilter ref="A3:U100" xr:uid="{D973CA78-426D-462B-B4B5-61FC529B9924}"/>
  <pageMargins left="0.7" right="0.7" top="0.75" bottom="0.75" header="0.3" footer="0.3"/>
  <pageSetup scale="61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A7211-C9E8-4D25-8AF2-E855926A47BB}">
  <dimension ref="A1:U142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6" x14ac:dyDescent="0.2"/>
  <cols>
    <col min="1" max="1" width="8.6328125" customWidth="1"/>
    <col min="2" max="3" width="7.6328125" customWidth="1"/>
    <col min="4" max="4" width="10.6328125" customWidth="1"/>
    <col min="5" max="5" width="25.6328125" customWidth="1"/>
    <col min="6" max="6" width="11.6328125" customWidth="1"/>
    <col min="7" max="7" width="7.6328125" customWidth="1"/>
    <col min="8" max="8" width="6.6328125" customWidth="1"/>
    <col min="9" max="10" width="8.6328125" customWidth="1"/>
    <col min="11" max="12" width="10.6328125" customWidth="1"/>
    <col min="13" max="14" width="11.6328125" customWidth="1"/>
    <col min="15" max="15" width="9.6328125" customWidth="1"/>
    <col min="16" max="19" width="11.6328125" customWidth="1"/>
    <col min="20" max="20" width="12.6328125" customWidth="1"/>
    <col min="21" max="21" width="14.6328125" customWidth="1"/>
  </cols>
  <sheetData>
    <row r="1" spans="1:21" x14ac:dyDescent="0.2">
      <c r="A1" s="1" t="str">
        <f>CONCATENATE("Bijlage F.2.5: ",tabeltype," ruimten weekenddag")</f>
        <v>Bijlage F.2.5: Invultabel ruimten weekenddag</v>
      </c>
    </row>
    <row r="3" spans="1:21" ht="37.799999999999997" x14ac:dyDescent="0.2">
      <c r="A3" s="86" t="s">
        <v>334</v>
      </c>
      <c r="B3" s="40" t="s">
        <v>335</v>
      </c>
      <c r="C3" s="40" t="s">
        <v>336</v>
      </c>
      <c r="D3" s="40" t="s">
        <v>337</v>
      </c>
      <c r="E3" s="40" t="s">
        <v>338</v>
      </c>
      <c r="F3" s="40" t="s">
        <v>339</v>
      </c>
      <c r="G3" s="40" t="s">
        <v>237</v>
      </c>
      <c r="H3" s="40" t="s">
        <v>7</v>
      </c>
      <c r="I3" s="40" t="s">
        <v>340</v>
      </c>
      <c r="J3" s="40" t="s">
        <v>341</v>
      </c>
      <c r="K3" s="40" t="s">
        <v>239</v>
      </c>
      <c r="L3" s="40" t="s">
        <v>240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241</v>
      </c>
      <c r="R3" s="40" t="s">
        <v>342</v>
      </c>
      <c r="S3" s="40" t="s">
        <v>242</v>
      </c>
      <c r="T3" s="40" t="s">
        <v>243</v>
      </c>
      <c r="U3" s="87" t="s">
        <v>244</v>
      </c>
    </row>
    <row r="4" spans="1:21" x14ac:dyDescent="0.2">
      <c r="A4" s="88" t="s">
        <v>416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77"/>
    </row>
    <row r="5" spans="1:21" x14ac:dyDescent="0.2">
      <c r="A5" s="90" t="s">
        <v>417</v>
      </c>
      <c r="B5" s="91" t="s">
        <v>50</v>
      </c>
      <c r="C5" s="91" t="s">
        <v>345</v>
      </c>
      <c r="D5" s="91" t="s">
        <v>346</v>
      </c>
      <c r="E5" s="92" t="s">
        <v>418</v>
      </c>
      <c r="F5" s="91" t="s">
        <v>348</v>
      </c>
      <c r="G5" s="91" t="s">
        <v>320</v>
      </c>
      <c r="H5" s="91" t="s">
        <v>34</v>
      </c>
      <c r="I5" s="91" t="s">
        <v>246</v>
      </c>
      <c r="J5" s="91"/>
      <c r="K5" s="93">
        <v>34</v>
      </c>
      <c r="L5" s="93">
        <f>K5*VLOOKUP(H5,dagsoorttabel3,2,FALSE)</f>
        <v>26.666666666666668</v>
      </c>
      <c r="M5" s="94">
        <f>prodnorm108</f>
        <v>0</v>
      </c>
      <c r="N5" s="95">
        <f>dagwerk108</f>
        <v>0</v>
      </c>
      <c r="O5" s="91" t="s">
        <v>108</v>
      </c>
      <c r="P5" s="96">
        <f>uurtarief108</f>
        <v>0</v>
      </c>
      <c r="Q5" s="93" t="e">
        <f>IF(ISBLANK(M5),0,L5/ROUND(M5,4))</f>
        <v>#DIV/0!</v>
      </c>
      <c r="R5" s="93" t="e">
        <f>IF(ISBLANK(M5),0,Q5*ROUND(N5,2))</f>
        <v>#DIV/0!</v>
      </c>
      <c r="S5" s="96" t="e">
        <f>ROUND(P5,2)*Q5</f>
        <v>#DIV/0!</v>
      </c>
      <c r="T5" s="93" t="e">
        <f>Q5*dagenperjaar3</f>
        <v>#DIV/0!</v>
      </c>
      <c r="U5" s="97" t="e">
        <f>T5*ROUND(P5,2)</f>
        <v>#DIV/0!</v>
      </c>
    </row>
    <row r="6" spans="1:21" x14ac:dyDescent="0.2">
      <c r="A6" s="98" t="s">
        <v>417</v>
      </c>
      <c r="B6" s="99" t="s">
        <v>50</v>
      </c>
      <c r="C6" s="99" t="s">
        <v>345</v>
      </c>
      <c r="D6" s="99" t="s">
        <v>349</v>
      </c>
      <c r="E6" s="100" t="s">
        <v>419</v>
      </c>
      <c r="F6" s="99" t="s">
        <v>348</v>
      </c>
      <c r="G6" s="99" t="s">
        <v>328</v>
      </c>
      <c r="H6" s="99" t="s">
        <v>34</v>
      </c>
      <c r="I6" s="99" t="s">
        <v>246</v>
      </c>
      <c r="J6" s="99"/>
      <c r="K6" s="101">
        <v>181</v>
      </c>
      <c r="L6" s="101">
        <f>K6*VLOOKUP(H6,dagsoorttabel3,2,FALSE)</f>
        <v>141.9607843137255</v>
      </c>
      <c r="M6" s="102">
        <f>prodnorm122</f>
        <v>0</v>
      </c>
      <c r="N6" s="37">
        <f>dagwerk122</f>
        <v>0</v>
      </c>
      <c r="O6" s="99" t="s">
        <v>108</v>
      </c>
      <c r="P6" s="24">
        <f>uurtarief122</f>
        <v>0</v>
      </c>
      <c r="Q6" s="101" t="e">
        <f>IF(ISBLANK(M6),0,L6/ROUND(M6,4))</f>
        <v>#DIV/0!</v>
      </c>
      <c r="R6" s="101" t="e">
        <f>IF(ISBLANK(M6),0,Q6*ROUND(N6,2))</f>
        <v>#DIV/0!</v>
      </c>
      <c r="S6" s="24" t="e">
        <f>ROUND(P6,2)*Q6</f>
        <v>#DIV/0!</v>
      </c>
      <c r="T6" s="101" t="e">
        <f>Q6*dagenperjaar3</f>
        <v>#DIV/0!</v>
      </c>
      <c r="U6" s="25" t="e">
        <f>T6*ROUND(P6,2)</f>
        <v>#DIV/0!</v>
      </c>
    </row>
    <row r="7" spans="1:21" x14ac:dyDescent="0.2">
      <c r="A7" s="98" t="s">
        <v>417</v>
      </c>
      <c r="B7" s="99" t="s">
        <v>50</v>
      </c>
      <c r="C7" s="99" t="s">
        <v>345</v>
      </c>
      <c r="D7" s="99" t="s">
        <v>351</v>
      </c>
      <c r="E7" s="100" t="s">
        <v>420</v>
      </c>
      <c r="F7" s="99" t="s">
        <v>348</v>
      </c>
      <c r="G7" s="99" t="s">
        <v>326</v>
      </c>
      <c r="H7" s="99" t="s">
        <v>34</v>
      </c>
      <c r="I7" s="99" t="s">
        <v>246</v>
      </c>
      <c r="J7" s="99"/>
      <c r="K7" s="101">
        <v>9</v>
      </c>
      <c r="L7" s="101">
        <f>K7*VLOOKUP(H7,dagsoorttabel3,2,FALSE)</f>
        <v>7.0588235294117645</v>
      </c>
      <c r="M7" s="102">
        <f>prodnorm118</f>
        <v>0</v>
      </c>
      <c r="N7" s="37">
        <f>dagwerk118</f>
        <v>0</v>
      </c>
      <c r="O7" s="99" t="s">
        <v>108</v>
      </c>
      <c r="P7" s="24">
        <f>uurtarief118</f>
        <v>0</v>
      </c>
      <c r="Q7" s="101" t="e">
        <f>IF(ISBLANK(M7),0,L7/ROUND(M7,4))</f>
        <v>#DIV/0!</v>
      </c>
      <c r="R7" s="101" t="e">
        <f>IF(ISBLANK(M7),0,Q7*ROUND(N7,2))</f>
        <v>#DIV/0!</v>
      </c>
      <c r="S7" s="24" t="e">
        <f>ROUND(P7,2)*Q7</f>
        <v>#DIV/0!</v>
      </c>
      <c r="T7" s="101" t="e">
        <f>Q7*dagenperjaar3</f>
        <v>#DIV/0!</v>
      </c>
      <c r="U7" s="25" t="e">
        <f>T7*ROUND(P7,2)</f>
        <v>#DIV/0!</v>
      </c>
    </row>
    <row r="8" spans="1:21" x14ac:dyDescent="0.2">
      <c r="A8" s="98" t="s">
        <v>417</v>
      </c>
      <c r="B8" s="99" t="s">
        <v>50</v>
      </c>
      <c r="C8" s="99" t="s">
        <v>345</v>
      </c>
      <c r="D8" s="99" t="s">
        <v>353</v>
      </c>
      <c r="E8" s="100" t="s">
        <v>420</v>
      </c>
      <c r="F8" s="99" t="s">
        <v>348</v>
      </c>
      <c r="G8" s="99" t="s">
        <v>326</v>
      </c>
      <c r="H8" s="99" t="s">
        <v>34</v>
      </c>
      <c r="I8" s="99" t="s">
        <v>246</v>
      </c>
      <c r="J8" s="99"/>
      <c r="K8" s="101">
        <v>5</v>
      </c>
      <c r="L8" s="101">
        <f>K8*VLOOKUP(H8,dagsoorttabel3,2,FALSE)</f>
        <v>3.9215686274509802</v>
      </c>
      <c r="M8" s="102">
        <f>prodnorm118</f>
        <v>0</v>
      </c>
      <c r="N8" s="37">
        <f>dagwerk118</f>
        <v>0</v>
      </c>
      <c r="O8" s="99" t="s">
        <v>108</v>
      </c>
      <c r="P8" s="24">
        <f>uurtarief118</f>
        <v>0</v>
      </c>
      <c r="Q8" s="101" t="e">
        <f>IF(ISBLANK(M8),0,L8/ROUND(M8,4))</f>
        <v>#DIV/0!</v>
      </c>
      <c r="R8" s="101" t="e">
        <f>IF(ISBLANK(M8),0,Q8*ROUND(N8,2))</f>
        <v>#DIV/0!</v>
      </c>
      <c r="S8" s="24" t="e">
        <f>ROUND(P8,2)*Q8</f>
        <v>#DIV/0!</v>
      </c>
      <c r="T8" s="101" t="e">
        <f>Q8*dagenperjaar3</f>
        <v>#DIV/0!</v>
      </c>
      <c r="U8" s="25" t="e">
        <f>T8*ROUND(P8,2)</f>
        <v>#DIV/0!</v>
      </c>
    </row>
    <row r="9" spans="1:21" x14ac:dyDescent="0.2">
      <c r="A9" s="98" t="s">
        <v>417</v>
      </c>
      <c r="B9" s="99" t="s">
        <v>50</v>
      </c>
      <c r="C9" s="99" t="s">
        <v>345</v>
      </c>
      <c r="D9" s="99" t="s">
        <v>355</v>
      </c>
      <c r="E9" s="100" t="s">
        <v>420</v>
      </c>
      <c r="F9" s="99" t="s">
        <v>348</v>
      </c>
      <c r="G9" s="99" t="s">
        <v>326</v>
      </c>
      <c r="H9" s="99" t="s">
        <v>34</v>
      </c>
      <c r="I9" s="99" t="s">
        <v>246</v>
      </c>
      <c r="J9" s="99"/>
      <c r="K9" s="101">
        <v>11</v>
      </c>
      <c r="L9" s="101">
        <f>K9*VLOOKUP(H9,dagsoorttabel3,2,FALSE)</f>
        <v>8.6274509803921564</v>
      </c>
      <c r="M9" s="102">
        <f>prodnorm118</f>
        <v>0</v>
      </c>
      <c r="N9" s="37">
        <f>dagwerk118</f>
        <v>0</v>
      </c>
      <c r="O9" s="99" t="s">
        <v>108</v>
      </c>
      <c r="P9" s="24">
        <f>uurtarief118</f>
        <v>0</v>
      </c>
      <c r="Q9" s="101" t="e">
        <f>IF(ISBLANK(M9),0,L9/ROUND(M9,4))</f>
        <v>#DIV/0!</v>
      </c>
      <c r="R9" s="101" t="e">
        <f>IF(ISBLANK(M9),0,Q9*ROUND(N9,2))</f>
        <v>#DIV/0!</v>
      </c>
      <c r="S9" s="24" t="e">
        <f>ROUND(P9,2)*Q9</f>
        <v>#DIV/0!</v>
      </c>
      <c r="T9" s="101" t="e">
        <f>Q9*dagenperjaar3</f>
        <v>#DIV/0!</v>
      </c>
      <c r="U9" s="25" t="e">
        <f>T9*ROUND(P9,2)</f>
        <v>#DIV/0!</v>
      </c>
    </row>
    <row r="10" spans="1:21" x14ac:dyDescent="0.2">
      <c r="A10" s="98" t="s">
        <v>417</v>
      </c>
      <c r="B10" s="99" t="s">
        <v>50</v>
      </c>
      <c r="C10" s="99" t="s">
        <v>345</v>
      </c>
      <c r="D10" s="99" t="s">
        <v>357</v>
      </c>
      <c r="E10" s="100" t="s">
        <v>421</v>
      </c>
      <c r="F10" s="99" t="s">
        <v>348</v>
      </c>
      <c r="G10" s="99" t="s">
        <v>328</v>
      </c>
      <c r="H10" s="99" t="s">
        <v>34</v>
      </c>
      <c r="I10" s="99" t="s">
        <v>246</v>
      </c>
      <c r="J10" s="99"/>
      <c r="K10" s="101">
        <v>60</v>
      </c>
      <c r="L10" s="101">
        <f>K10*VLOOKUP(H10,dagsoorttabel3,2,FALSE)</f>
        <v>47.058823529411761</v>
      </c>
      <c r="M10" s="102">
        <f>prodnorm122</f>
        <v>0</v>
      </c>
      <c r="N10" s="37">
        <f>dagwerk122</f>
        <v>0</v>
      </c>
      <c r="O10" s="99" t="s">
        <v>108</v>
      </c>
      <c r="P10" s="24">
        <f>uurtarief122</f>
        <v>0</v>
      </c>
      <c r="Q10" s="101" t="e">
        <f>IF(ISBLANK(M10),0,L10/ROUND(M10,4))</f>
        <v>#DIV/0!</v>
      </c>
      <c r="R10" s="101" t="e">
        <f>IF(ISBLANK(M10),0,Q10*ROUND(N10,2))</f>
        <v>#DIV/0!</v>
      </c>
      <c r="S10" s="24" t="e">
        <f>ROUND(P10,2)*Q10</f>
        <v>#DIV/0!</v>
      </c>
      <c r="T10" s="101" t="e">
        <f>Q10*dagenperjaar3</f>
        <v>#DIV/0!</v>
      </c>
      <c r="U10" s="25" t="e">
        <f>T10*ROUND(P10,2)</f>
        <v>#DIV/0!</v>
      </c>
    </row>
    <row r="11" spans="1:21" x14ac:dyDescent="0.2">
      <c r="A11" s="98" t="s">
        <v>417</v>
      </c>
      <c r="B11" s="99" t="s">
        <v>50</v>
      </c>
      <c r="C11" s="99" t="s">
        <v>345</v>
      </c>
      <c r="D11" s="99" t="s">
        <v>359</v>
      </c>
      <c r="E11" s="100" t="s">
        <v>422</v>
      </c>
      <c r="F11" s="99" t="s">
        <v>423</v>
      </c>
      <c r="G11" s="99" t="s">
        <v>318</v>
      </c>
      <c r="H11" s="99" t="s">
        <v>34</v>
      </c>
      <c r="I11" s="99" t="s">
        <v>246</v>
      </c>
      <c r="J11" s="99"/>
      <c r="K11" s="101">
        <v>14</v>
      </c>
      <c r="L11" s="101">
        <f>K11*VLOOKUP(H11,dagsoorttabel3,2,FALSE)</f>
        <v>10.980392156862745</v>
      </c>
      <c r="M11" s="102">
        <f>prodnorm104</f>
        <v>0</v>
      </c>
      <c r="N11" s="37">
        <f>dagwerk104</f>
        <v>0</v>
      </c>
      <c r="O11" s="99" t="s">
        <v>108</v>
      </c>
      <c r="P11" s="24">
        <f>uurtarief104</f>
        <v>0</v>
      </c>
      <c r="Q11" s="101" t="e">
        <f>IF(ISBLANK(M11),0,L11/ROUND(M11,4))</f>
        <v>#DIV/0!</v>
      </c>
      <c r="R11" s="101" t="e">
        <f>IF(ISBLANK(M11),0,Q11*ROUND(N11,2))</f>
        <v>#DIV/0!</v>
      </c>
      <c r="S11" s="24" t="e">
        <f>ROUND(P11,2)*Q11</f>
        <v>#DIV/0!</v>
      </c>
      <c r="T11" s="101" t="e">
        <f>Q11*dagenperjaar3</f>
        <v>#DIV/0!</v>
      </c>
      <c r="U11" s="25" t="e">
        <f>T11*ROUND(P11,2)</f>
        <v>#DIV/0!</v>
      </c>
    </row>
    <row r="12" spans="1:21" x14ac:dyDescent="0.2">
      <c r="A12" s="98" t="s">
        <v>417</v>
      </c>
      <c r="B12" s="99" t="s">
        <v>50</v>
      </c>
      <c r="C12" s="99" t="s">
        <v>345</v>
      </c>
      <c r="D12" s="99" t="s">
        <v>361</v>
      </c>
      <c r="E12" s="100" t="s">
        <v>424</v>
      </c>
      <c r="F12" s="99" t="s">
        <v>423</v>
      </c>
      <c r="G12" s="99" t="s">
        <v>325</v>
      </c>
      <c r="H12" s="99" t="s">
        <v>34</v>
      </c>
      <c r="I12" s="99" t="s">
        <v>246</v>
      </c>
      <c r="J12" s="99"/>
      <c r="K12" s="101">
        <v>16</v>
      </c>
      <c r="L12" s="101">
        <f>K12*VLOOKUP(H12,dagsoorttabel3,2,FALSE)</f>
        <v>12.549019607843137</v>
      </c>
      <c r="M12" s="102">
        <f>prodnorm116</f>
        <v>0</v>
      </c>
      <c r="N12" s="37">
        <f>dagwerk116</f>
        <v>0</v>
      </c>
      <c r="O12" s="99" t="s">
        <v>108</v>
      </c>
      <c r="P12" s="24">
        <f>uurtarief116</f>
        <v>0</v>
      </c>
      <c r="Q12" s="101" t="e">
        <f>IF(ISBLANK(M12),0,L12/ROUND(M12,4))</f>
        <v>#DIV/0!</v>
      </c>
      <c r="R12" s="101" t="e">
        <f>IF(ISBLANK(M12),0,Q12*ROUND(N12,2))</f>
        <v>#DIV/0!</v>
      </c>
      <c r="S12" s="24" t="e">
        <f>ROUND(P12,2)*Q12</f>
        <v>#DIV/0!</v>
      </c>
      <c r="T12" s="101" t="e">
        <f>Q12*dagenperjaar3</f>
        <v>#DIV/0!</v>
      </c>
      <c r="U12" s="25" t="e">
        <f>T12*ROUND(P12,2)</f>
        <v>#DIV/0!</v>
      </c>
    </row>
    <row r="13" spans="1:21" x14ac:dyDescent="0.2">
      <c r="A13" s="98" t="s">
        <v>417</v>
      </c>
      <c r="B13" s="99" t="s">
        <v>50</v>
      </c>
      <c r="C13" s="99" t="s">
        <v>345</v>
      </c>
      <c r="D13" s="99" t="s">
        <v>363</v>
      </c>
      <c r="E13" s="100" t="s">
        <v>425</v>
      </c>
      <c r="F13" s="99" t="s">
        <v>423</v>
      </c>
      <c r="G13" s="99" t="s">
        <v>328</v>
      </c>
      <c r="H13" s="99" t="s">
        <v>34</v>
      </c>
      <c r="I13" s="99" t="s">
        <v>246</v>
      </c>
      <c r="J13" s="99"/>
      <c r="K13" s="101">
        <v>6.5</v>
      </c>
      <c r="L13" s="101">
        <f>K13*VLOOKUP(H13,dagsoorttabel3,2,FALSE)</f>
        <v>5.0980392156862742</v>
      </c>
      <c r="M13" s="102">
        <f>prodnorm122</f>
        <v>0</v>
      </c>
      <c r="N13" s="37">
        <f>dagwerk122</f>
        <v>0</v>
      </c>
      <c r="O13" s="99" t="s">
        <v>108</v>
      </c>
      <c r="P13" s="24">
        <f>uurtarief122</f>
        <v>0</v>
      </c>
      <c r="Q13" s="101" t="e">
        <f>IF(ISBLANK(M13),0,L13/ROUND(M13,4))</f>
        <v>#DIV/0!</v>
      </c>
      <c r="R13" s="101" t="e">
        <f>IF(ISBLANK(M13),0,Q13*ROUND(N13,2))</f>
        <v>#DIV/0!</v>
      </c>
      <c r="S13" s="24" t="e">
        <f>ROUND(P13,2)*Q13</f>
        <v>#DIV/0!</v>
      </c>
      <c r="T13" s="101" t="e">
        <f>Q13*dagenperjaar3</f>
        <v>#DIV/0!</v>
      </c>
      <c r="U13" s="25" t="e">
        <f>T13*ROUND(P13,2)</f>
        <v>#DIV/0!</v>
      </c>
    </row>
    <row r="14" spans="1:21" x14ac:dyDescent="0.2">
      <c r="A14" s="98" t="s">
        <v>417</v>
      </c>
      <c r="B14" s="99" t="s">
        <v>50</v>
      </c>
      <c r="C14" s="99" t="s">
        <v>345</v>
      </c>
      <c r="D14" s="99" t="s">
        <v>365</v>
      </c>
      <c r="E14" s="100" t="s">
        <v>420</v>
      </c>
      <c r="F14" s="99" t="s">
        <v>348</v>
      </c>
      <c r="G14" s="99" t="s">
        <v>326</v>
      </c>
      <c r="H14" s="99" t="s">
        <v>34</v>
      </c>
      <c r="I14" s="99" t="s">
        <v>246</v>
      </c>
      <c r="J14" s="99"/>
      <c r="K14" s="101">
        <v>1</v>
      </c>
      <c r="L14" s="101">
        <f>K14*VLOOKUP(H14,dagsoorttabel3,2,FALSE)</f>
        <v>0.78431372549019607</v>
      </c>
      <c r="M14" s="102">
        <f>prodnorm118</f>
        <v>0</v>
      </c>
      <c r="N14" s="37">
        <f>dagwerk118</f>
        <v>0</v>
      </c>
      <c r="O14" s="99" t="s">
        <v>108</v>
      </c>
      <c r="P14" s="24">
        <f>uurtarief118</f>
        <v>0</v>
      </c>
      <c r="Q14" s="101" t="e">
        <f>IF(ISBLANK(M14),0,L14/ROUND(M14,4))</f>
        <v>#DIV/0!</v>
      </c>
      <c r="R14" s="101" t="e">
        <f>IF(ISBLANK(M14),0,Q14*ROUND(N14,2))</f>
        <v>#DIV/0!</v>
      </c>
      <c r="S14" s="24" t="e">
        <f>ROUND(P14,2)*Q14</f>
        <v>#DIV/0!</v>
      </c>
      <c r="T14" s="101" t="e">
        <f>Q14*dagenperjaar3</f>
        <v>#DIV/0!</v>
      </c>
      <c r="U14" s="25" t="e">
        <f>T14*ROUND(P14,2)</f>
        <v>#DIV/0!</v>
      </c>
    </row>
    <row r="15" spans="1:21" x14ac:dyDescent="0.2">
      <c r="A15" s="98" t="s">
        <v>417</v>
      </c>
      <c r="B15" s="99" t="s">
        <v>50</v>
      </c>
      <c r="C15" s="99" t="s">
        <v>345</v>
      </c>
      <c r="D15" s="99" t="s">
        <v>367</v>
      </c>
      <c r="E15" s="100" t="s">
        <v>426</v>
      </c>
      <c r="F15" s="99" t="s">
        <v>348</v>
      </c>
      <c r="G15" s="99" t="s">
        <v>323</v>
      </c>
      <c r="H15" s="99" t="s">
        <v>34</v>
      </c>
      <c r="I15" s="99" t="s">
        <v>246</v>
      </c>
      <c r="J15" s="99"/>
      <c r="K15" s="101">
        <v>10</v>
      </c>
      <c r="L15" s="101">
        <f>K15*VLOOKUP(H15,dagsoorttabel3,2,FALSE)</f>
        <v>7.8431372549019605</v>
      </c>
      <c r="M15" s="102">
        <f>prodnorm114</f>
        <v>0</v>
      </c>
      <c r="N15" s="37">
        <f>dagwerk114</f>
        <v>0</v>
      </c>
      <c r="O15" s="99" t="s">
        <v>108</v>
      </c>
      <c r="P15" s="24">
        <f>uurtarief114</f>
        <v>0</v>
      </c>
      <c r="Q15" s="101" t="e">
        <f>IF(ISBLANK(M15),0,L15/ROUND(M15,4))</f>
        <v>#DIV/0!</v>
      </c>
      <c r="R15" s="101" t="e">
        <f>IF(ISBLANK(M15),0,Q15*ROUND(N15,2))</f>
        <v>#DIV/0!</v>
      </c>
      <c r="S15" s="24" t="e">
        <f>ROUND(P15,2)*Q15</f>
        <v>#DIV/0!</v>
      </c>
      <c r="T15" s="101" t="e">
        <f>Q15*dagenperjaar3</f>
        <v>#DIV/0!</v>
      </c>
      <c r="U15" s="25" t="e">
        <f>T15*ROUND(P15,2)</f>
        <v>#DIV/0!</v>
      </c>
    </row>
    <row r="16" spans="1:21" x14ac:dyDescent="0.2">
      <c r="A16" s="98" t="s">
        <v>417</v>
      </c>
      <c r="B16" s="99" t="s">
        <v>50</v>
      </c>
      <c r="C16" s="99" t="s">
        <v>345</v>
      </c>
      <c r="D16" s="99" t="s">
        <v>369</v>
      </c>
      <c r="E16" s="100" t="s">
        <v>427</v>
      </c>
      <c r="F16" s="99" t="s">
        <v>348</v>
      </c>
      <c r="G16" s="99" t="s">
        <v>319</v>
      </c>
      <c r="H16" s="99" t="s">
        <v>34</v>
      </c>
      <c r="I16" s="99" t="s">
        <v>246</v>
      </c>
      <c r="J16" s="99"/>
      <c r="K16" s="101">
        <v>4.5</v>
      </c>
      <c r="L16" s="101">
        <f>K16*VLOOKUP(H16,dagsoorttabel3,2,FALSE)</f>
        <v>3.5294117647058822</v>
      </c>
      <c r="M16" s="102">
        <f>prodnorm106</f>
        <v>0</v>
      </c>
      <c r="N16" s="37">
        <f>dagwerk106</f>
        <v>0</v>
      </c>
      <c r="O16" s="99" t="s">
        <v>108</v>
      </c>
      <c r="P16" s="24">
        <f>uurtarief106</f>
        <v>0</v>
      </c>
      <c r="Q16" s="101" t="e">
        <f>IF(ISBLANK(M16),0,L16/ROUND(M16,4))</f>
        <v>#DIV/0!</v>
      </c>
      <c r="R16" s="101" t="e">
        <f>IF(ISBLANK(M16),0,Q16*ROUND(N16,2))</f>
        <v>#DIV/0!</v>
      </c>
      <c r="S16" s="24" t="e">
        <f>ROUND(P16,2)*Q16</f>
        <v>#DIV/0!</v>
      </c>
      <c r="T16" s="101" t="e">
        <f>Q16*dagenperjaar3</f>
        <v>#DIV/0!</v>
      </c>
      <c r="U16" s="25" t="e">
        <f>T16*ROUND(P16,2)</f>
        <v>#DIV/0!</v>
      </c>
    </row>
    <row r="17" spans="1:21" x14ac:dyDescent="0.2">
      <c r="A17" s="98" t="s">
        <v>417</v>
      </c>
      <c r="B17" s="99" t="s">
        <v>50</v>
      </c>
      <c r="C17" s="99" t="s">
        <v>345</v>
      </c>
      <c r="D17" s="99" t="s">
        <v>371</v>
      </c>
      <c r="E17" s="100" t="s">
        <v>420</v>
      </c>
      <c r="F17" s="99" t="s">
        <v>348</v>
      </c>
      <c r="G17" s="99" t="s">
        <v>326</v>
      </c>
      <c r="H17" s="99" t="s">
        <v>34</v>
      </c>
      <c r="I17" s="99" t="s">
        <v>246</v>
      </c>
      <c r="J17" s="99"/>
      <c r="K17" s="101">
        <v>1</v>
      </c>
      <c r="L17" s="101">
        <f>K17*VLOOKUP(H17,dagsoorttabel3,2,FALSE)</f>
        <v>0.78431372549019607</v>
      </c>
      <c r="M17" s="102">
        <f>prodnorm118</f>
        <v>0</v>
      </c>
      <c r="N17" s="37">
        <f>dagwerk118</f>
        <v>0</v>
      </c>
      <c r="O17" s="99" t="s">
        <v>108</v>
      </c>
      <c r="P17" s="24">
        <f>uurtarief118</f>
        <v>0</v>
      </c>
      <c r="Q17" s="101" t="e">
        <f>IF(ISBLANK(M17),0,L17/ROUND(M17,4))</f>
        <v>#DIV/0!</v>
      </c>
      <c r="R17" s="101" t="e">
        <f>IF(ISBLANK(M17),0,Q17*ROUND(N17,2))</f>
        <v>#DIV/0!</v>
      </c>
      <c r="S17" s="24" t="e">
        <f>ROUND(P17,2)*Q17</f>
        <v>#DIV/0!</v>
      </c>
      <c r="T17" s="101" t="e">
        <f>Q17*dagenperjaar3</f>
        <v>#DIV/0!</v>
      </c>
      <c r="U17" s="25" t="e">
        <f>T17*ROUND(P17,2)</f>
        <v>#DIV/0!</v>
      </c>
    </row>
    <row r="18" spans="1:21" x14ac:dyDescent="0.2">
      <c r="A18" s="98" t="s">
        <v>417</v>
      </c>
      <c r="B18" s="99" t="s">
        <v>50</v>
      </c>
      <c r="C18" s="99" t="s">
        <v>345</v>
      </c>
      <c r="D18" s="99" t="s">
        <v>373</v>
      </c>
      <c r="E18" s="100" t="s">
        <v>420</v>
      </c>
      <c r="F18" s="99" t="s">
        <v>348</v>
      </c>
      <c r="G18" s="99" t="s">
        <v>326</v>
      </c>
      <c r="H18" s="99" t="s">
        <v>34</v>
      </c>
      <c r="I18" s="99" t="s">
        <v>246</v>
      </c>
      <c r="J18" s="99"/>
      <c r="K18" s="101">
        <v>1</v>
      </c>
      <c r="L18" s="101">
        <f>K18*VLOOKUP(H18,dagsoorttabel3,2,FALSE)</f>
        <v>0.78431372549019607</v>
      </c>
      <c r="M18" s="102">
        <f>prodnorm118</f>
        <v>0</v>
      </c>
      <c r="N18" s="37">
        <f>dagwerk118</f>
        <v>0</v>
      </c>
      <c r="O18" s="99" t="s">
        <v>108</v>
      </c>
      <c r="P18" s="24">
        <f>uurtarief118</f>
        <v>0</v>
      </c>
      <c r="Q18" s="101" t="e">
        <f>IF(ISBLANK(M18),0,L18/ROUND(M18,4))</f>
        <v>#DIV/0!</v>
      </c>
      <c r="R18" s="101" t="e">
        <f>IF(ISBLANK(M18),0,Q18*ROUND(N18,2))</f>
        <v>#DIV/0!</v>
      </c>
      <c r="S18" s="24" t="e">
        <f>ROUND(P18,2)*Q18</f>
        <v>#DIV/0!</v>
      </c>
      <c r="T18" s="101" t="e">
        <f>Q18*dagenperjaar3</f>
        <v>#DIV/0!</v>
      </c>
      <c r="U18" s="25" t="e">
        <f>T18*ROUND(P18,2)</f>
        <v>#DIV/0!</v>
      </c>
    </row>
    <row r="19" spans="1:21" x14ac:dyDescent="0.2">
      <c r="A19" s="98" t="s">
        <v>417</v>
      </c>
      <c r="B19" s="99" t="s">
        <v>50</v>
      </c>
      <c r="C19" s="99" t="s">
        <v>345</v>
      </c>
      <c r="D19" s="99" t="s">
        <v>375</v>
      </c>
      <c r="E19" s="100" t="s">
        <v>426</v>
      </c>
      <c r="F19" s="99" t="s">
        <v>348</v>
      </c>
      <c r="G19" s="99" t="s">
        <v>323</v>
      </c>
      <c r="H19" s="99" t="s">
        <v>34</v>
      </c>
      <c r="I19" s="99" t="s">
        <v>246</v>
      </c>
      <c r="J19" s="99"/>
      <c r="K19" s="101">
        <v>10</v>
      </c>
      <c r="L19" s="101">
        <f>K19*VLOOKUP(H19,dagsoorttabel3,2,FALSE)</f>
        <v>7.8431372549019605</v>
      </c>
      <c r="M19" s="102">
        <f>prodnorm114</f>
        <v>0</v>
      </c>
      <c r="N19" s="37">
        <f>dagwerk114</f>
        <v>0</v>
      </c>
      <c r="O19" s="99" t="s">
        <v>108</v>
      </c>
      <c r="P19" s="24">
        <f>uurtarief114</f>
        <v>0</v>
      </c>
      <c r="Q19" s="101" t="e">
        <f>IF(ISBLANK(M19),0,L19/ROUND(M19,4))</f>
        <v>#DIV/0!</v>
      </c>
      <c r="R19" s="101" t="e">
        <f>IF(ISBLANK(M19),0,Q19*ROUND(N19,2))</f>
        <v>#DIV/0!</v>
      </c>
      <c r="S19" s="24" t="e">
        <f>ROUND(P19,2)*Q19</f>
        <v>#DIV/0!</v>
      </c>
      <c r="T19" s="101" t="e">
        <f>Q19*dagenperjaar3</f>
        <v>#DIV/0!</v>
      </c>
      <c r="U19" s="25" t="e">
        <f>T19*ROUND(P19,2)</f>
        <v>#DIV/0!</v>
      </c>
    </row>
    <row r="20" spans="1:21" x14ac:dyDescent="0.2">
      <c r="A20" s="98" t="s">
        <v>417</v>
      </c>
      <c r="B20" s="99" t="s">
        <v>50</v>
      </c>
      <c r="C20" s="99" t="s">
        <v>345</v>
      </c>
      <c r="D20" s="99" t="s">
        <v>377</v>
      </c>
      <c r="E20" s="100" t="s">
        <v>427</v>
      </c>
      <c r="F20" s="99" t="s">
        <v>348</v>
      </c>
      <c r="G20" s="99" t="s">
        <v>319</v>
      </c>
      <c r="H20" s="99" t="s">
        <v>34</v>
      </c>
      <c r="I20" s="99" t="s">
        <v>246</v>
      </c>
      <c r="J20" s="99"/>
      <c r="K20" s="101">
        <v>4.5</v>
      </c>
      <c r="L20" s="101">
        <f>K20*VLOOKUP(H20,dagsoorttabel3,2,FALSE)</f>
        <v>3.5294117647058822</v>
      </c>
      <c r="M20" s="102">
        <f>prodnorm106</f>
        <v>0</v>
      </c>
      <c r="N20" s="37">
        <f>dagwerk106</f>
        <v>0</v>
      </c>
      <c r="O20" s="99" t="s">
        <v>108</v>
      </c>
      <c r="P20" s="24">
        <f>uurtarief106</f>
        <v>0</v>
      </c>
      <c r="Q20" s="101" t="e">
        <f>IF(ISBLANK(M20),0,L20/ROUND(M20,4))</f>
        <v>#DIV/0!</v>
      </c>
      <c r="R20" s="101" t="e">
        <f>IF(ISBLANK(M20),0,Q20*ROUND(N20,2))</f>
        <v>#DIV/0!</v>
      </c>
      <c r="S20" s="24" t="e">
        <f>ROUND(P20,2)*Q20</f>
        <v>#DIV/0!</v>
      </c>
      <c r="T20" s="101" t="e">
        <f>Q20*dagenperjaar3</f>
        <v>#DIV/0!</v>
      </c>
      <c r="U20" s="25" t="e">
        <f>T20*ROUND(P20,2)</f>
        <v>#DIV/0!</v>
      </c>
    </row>
    <row r="21" spans="1:21" x14ac:dyDescent="0.2">
      <c r="A21" s="98" t="s">
        <v>417</v>
      </c>
      <c r="B21" s="99" t="s">
        <v>50</v>
      </c>
      <c r="C21" s="99" t="s">
        <v>345</v>
      </c>
      <c r="D21" s="99" t="s">
        <v>379</v>
      </c>
      <c r="E21" s="100" t="s">
        <v>428</v>
      </c>
      <c r="F21" s="99" t="s">
        <v>348</v>
      </c>
      <c r="G21" s="99" t="s">
        <v>324</v>
      </c>
      <c r="H21" s="99" t="s">
        <v>34</v>
      </c>
      <c r="I21" s="99" t="s">
        <v>246</v>
      </c>
      <c r="J21" s="99"/>
      <c r="K21" s="101">
        <v>56</v>
      </c>
      <c r="L21" s="101">
        <f>K21*VLOOKUP(H21,dagsoorttabel3,2,FALSE)</f>
        <v>43.921568627450981</v>
      </c>
      <c r="M21" s="102">
        <f>prodnorm115</f>
        <v>0</v>
      </c>
      <c r="N21" s="37">
        <f>dagwerk115</f>
        <v>0</v>
      </c>
      <c r="O21" s="99" t="s">
        <v>108</v>
      </c>
      <c r="P21" s="24">
        <f>uurtarief115</f>
        <v>0</v>
      </c>
      <c r="Q21" s="101" t="e">
        <f>IF(ISBLANK(M21),0,L21/ROUND(M21,4))</f>
        <v>#DIV/0!</v>
      </c>
      <c r="R21" s="101" t="e">
        <f>IF(ISBLANK(M21),0,Q21*ROUND(N21,2))</f>
        <v>#DIV/0!</v>
      </c>
      <c r="S21" s="24" t="e">
        <f>ROUND(P21,2)*Q21</f>
        <v>#DIV/0!</v>
      </c>
      <c r="T21" s="101" t="e">
        <f>Q21*dagenperjaar3</f>
        <v>#DIV/0!</v>
      </c>
      <c r="U21" s="25" t="e">
        <f>T21*ROUND(P21,2)</f>
        <v>#DIV/0!</v>
      </c>
    </row>
    <row r="22" spans="1:21" x14ac:dyDescent="0.2">
      <c r="A22" s="98" t="s">
        <v>417</v>
      </c>
      <c r="B22" s="99" t="s">
        <v>50</v>
      </c>
      <c r="C22" s="99" t="s">
        <v>345</v>
      </c>
      <c r="D22" s="99" t="s">
        <v>381</v>
      </c>
      <c r="E22" s="100" t="s">
        <v>428</v>
      </c>
      <c r="F22" s="99" t="s">
        <v>348</v>
      </c>
      <c r="G22" s="99" t="s">
        <v>324</v>
      </c>
      <c r="H22" s="99" t="s">
        <v>34</v>
      </c>
      <c r="I22" s="99" t="s">
        <v>246</v>
      </c>
      <c r="J22" s="99"/>
      <c r="K22" s="101">
        <v>56</v>
      </c>
      <c r="L22" s="101">
        <f>K22*VLOOKUP(H22,dagsoorttabel3,2,FALSE)</f>
        <v>43.921568627450981</v>
      </c>
      <c r="M22" s="102">
        <f>prodnorm115</f>
        <v>0</v>
      </c>
      <c r="N22" s="37">
        <f>dagwerk115</f>
        <v>0</v>
      </c>
      <c r="O22" s="99" t="s">
        <v>108</v>
      </c>
      <c r="P22" s="24">
        <f>uurtarief115</f>
        <v>0</v>
      </c>
      <c r="Q22" s="101" t="e">
        <f>IF(ISBLANK(M22),0,L22/ROUND(M22,4))</f>
        <v>#DIV/0!</v>
      </c>
      <c r="R22" s="101" t="e">
        <f>IF(ISBLANK(M22),0,Q22*ROUND(N22,2))</f>
        <v>#DIV/0!</v>
      </c>
      <c r="S22" s="24" t="e">
        <f>ROUND(P22,2)*Q22</f>
        <v>#DIV/0!</v>
      </c>
      <c r="T22" s="101" t="e">
        <f>Q22*dagenperjaar3</f>
        <v>#DIV/0!</v>
      </c>
      <c r="U22" s="25" t="e">
        <f>T22*ROUND(P22,2)</f>
        <v>#DIV/0!</v>
      </c>
    </row>
    <row r="23" spans="1:21" x14ac:dyDescent="0.2">
      <c r="A23" s="98" t="s">
        <v>417</v>
      </c>
      <c r="B23" s="99" t="s">
        <v>50</v>
      </c>
      <c r="C23" s="99" t="s">
        <v>345</v>
      </c>
      <c r="D23" s="99" t="s">
        <v>382</v>
      </c>
      <c r="E23" s="100" t="s">
        <v>429</v>
      </c>
      <c r="F23" s="99" t="s">
        <v>348</v>
      </c>
      <c r="G23" s="99" t="s">
        <v>328</v>
      </c>
      <c r="H23" s="99" t="s">
        <v>34</v>
      </c>
      <c r="I23" s="99" t="s">
        <v>246</v>
      </c>
      <c r="J23" s="99"/>
      <c r="K23" s="101">
        <v>20</v>
      </c>
      <c r="L23" s="101">
        <f>K23*VLOOKUP(H23,dagsoorttabel3,2,FALSE)</f>
        <v>15.686274509803921</v>
      </c>
      <c r="M23" s="102">
        <f>prodnorm122</f>
        <v>0</v>
      </c>
      <c r="N23" s="37">
        <f>dagwerk122</f>
        <v>0</v>
      </c>
      <c r="O23" s="99" t="s">
        <v>108</v>
      </c>
      <c r="P23" s="24">
        <f>uurtarief122</f>
        <v>0</v>
      </c>
      <c r="Q23" s="101" t="e">
        <f>IF(ISBLANK(M23),0,L23/ROUND(M23,4))</f>
        <v>#DIV/0!</v>
      </c>
      <c r="R23" s="101" t="e">
        <f>IF(ISBLANK(M23),0,Q23*ROUND(N23,2))</f>
        <v>#DIV/0!</v>
      </c>
      <c r="S23" s="24" t="e">
        <f>ROUND(P23,2)*Q23</f>
        <v>#DIV/0!</v>
      </c>
      <c r="T23" s="101" t="e">
        <f>Q23*dagenperjaar3</f>
        <v>#DIV/0!</v>
      </c>
      <c r="U23" s="25" t="e">
        <f>T23*ROUND(P23,2)</f>
        <v>#DIV/0!</v>
      </c>
    </row>
    <row r="24" spans="1:21" x14ac:dyDescent="0.2">
      <c r="A24" s="98" t="s">
        <v>417</v>
      </c>
      <c r="B24" s="99" t="s">
        <v>50</v>
      </c>
      <c r="C24" s="99" t="s">
        <v>345</v>
      </c>
      <c r="D24" s="99" t="s">
        <v>383</v>
      </c>
      <c r="E24" s="100" t="s">
        <v>430</v>
      </c>
      <c r="F24" s="99" t="s">
        <v>431</v>
      </c>
      <c r="G24" s="99" t="s">
        <v>327</v>
      </c>
      <c r="H24" s="99" t="s">
        <v>34</v>
      </c>
      <c r="I24" s="99" t="s">
        <v>246</v>
      </c>
      <c r="J24" s="99"/>
      <c r="K24" s="101">
        <v>17</v>
      </c>
      <c r="L24" s="101">
        <f>K24*VLOOKUP(H24,dagsoorttabel3,2,FALSE)</f>
        <v>13.333333333333334</v>
      </c>
      <c r="M24" s="102">
        <f>prodnorm120</f>
        <v>0</v>
      </c>
      <c r="N24" s="37">
        <f>dagwerk120</f>
        <v>0</v>
      </c>
      <c r="O24" s="99" t="s">
        <v>108</v>
      </c>
      <c r="P24" s="24">
        <f>uurtarief120</f>
        <v>0</v>
      </c>
      <c r="Q24" s="101" t="e">
        <f>IF(ISBLANK(M24),0,L24/ROUND(M24,4))</f>
        <v>#DIV/0!</v>
      </c>
      <c r="R24" s="101" t="e">
        <f>IF(ISBLANK(M24),0,Q24*ROUND(N24,2))</f>
        <v>#DIV/0!</v>
      </c>
      <c r="S24" s="24" t="e">
        <f>ROUND(P24,2)*Q24</f>
        <v>#DIV/0!</v>
      </c>
      <c r="T24" s="101" t="e">
        <f>Q24*dagenperjaar3</f>
        <v>#DIV/0!</v>
      </c>
      <c r="U24" s="25" t="e">
        <f>T24*ROUND(P24,2)</f>
        <v>#DIV/0!</v>
      </c>
    </row>
    <row r="25" spans="1:21" x14ac:dyDescent="0.2">
      <c r="A25" s="98" t="s">
        <v>417</v>
      </c>
      <c r="B25" s="99" t="s">
        <v>50</v>
      </c>
      <c r="C25" s="99" t="s">
        <v>345</v>
      </c>
      <c r="D25" s="99" t="s">
        <v>384</v>
      </c>
      <c r="E25" s="100" t="s">
        <v>426</v>
      </c>
      <c r="F25" s="99" t="s">
        <v>348</v>
      </c>
      <c r="G25" s="99" t="s">
        <v>323</v>
      </c>
      <c r="H25" s="99" t="s">
        <v>34</v>
      </c>
      <c r="I25" s="99" t="s">
        <v>246</v>
      </c>
      <c r="J25" s="99"/>
      <c r="K25" s="101">
        <v>24.5</v>
      </c>
      <c r="L25" s="101">
        <f>K25*VLOOKUP(H25,dagsoorttabel3,2,FALSE)</f>
        <v>19.215686274509803</v>
      </c>
      <c r="M25" s="102">
        <f>prodnorm114</f>
        <v>0</v>
      </c>
      <c r="N25" s="37">
        <f>dagwerk114</f>
        <v>0</v>
      </c>
      <c r="O25" s="99" t="s">
        <v>108</v>
      </c>
      <c r="P25" s="24">
        <f>uurtarief114</f>
        <v>0</v>
      </c>
      <c r="Q25" s="101" t="e">
        <f>IF(ISBLANK(M25),0,L25/ROUND(M25,4))</f>
        <v>#DIV/0!</v>
      </c>
      <c r="R25" s="101" t="e">
        <f>IF(ISBLANK(M25),0,Q25*ROUND(N25,2))</f>
        <v>#DIV/0!</v>
      </c>
      <c r="S25" s="24" t="e">
        <f>ROUND(P25,2)*Q25</f>
        <v>#DIV/0!</v>
      </c>
      <c r="T25" s="101" t="e">
        <f>Q25*dagenperjaar3</f>
        <v>#DIV/0!</v>
      </c>
      <c r="U25" s="25" t="e">
        <f>T25*ROUND(P25,2)</f>
        <v>#DIV/0!</v>
      </c>
    </row>
    <row r="26" spans="1:21" x14ac:dyDescent="0.2">
      <c r="A26" s="98" t="s">
        <v>417</v>
      </c>
      <c r="B26" s="99" t="s">
        <v>50</v>
      </c>
      <c r="C26" s="99" t="s">
        <v>345</v>
      </c>
      <c r="D26" s="99" t="s">
        <v>385</v>
      </c>
      <c r="E26" s="100" t="s">
        <v>427</v>
      </c>
      <c r="F26" s="99" t="s">
        <v>348</v>
      </c>
      <c r="G26" s="99" t="s">
        <v>319</v>
      </c>
      <c r="H26" s="99" t="s">
        <v>34</v>
      </c>
      <c r="I26" s="99" t="s">
        <v>246</v>
      </c>
      <c r="J26" s="99"/>
      <c r="K26" s="101">
        <v>9</v>
      </c>
      <c r="L26" s="101">
        <f>K26*VLOOKUP(H26,dagsoorttabel3,2,FALSE)</f>
        <v>7.0588235294117645</v>
      </c>
      <c r="M26" s="102">
        <f>prodnorm106</f>
        <v>0</v>
      </c>
      <c r="N26" s="37">
        <f>dagwerk106</f>
        <v>0</v>
      </c>
      <c r="O26" s="99" t="s">
        <v>108</v>
      </c>
      <c r="P26" s="24">
        <f>uurtarief106</f>
        <v>0</v>
      </c>
      <c r="Q26" s="101" t="e">
        <f>IF(ISBLANK(M26),0,L26/ROUND(M26,4))</f>
        <v>#DIV/0!</v>
      </c>
      <c r="R26" s="101" t="e">
        <f>IF(ISBLANK(M26),0,Q26*ROUND(N26,2))</f>
        <v>#DIV/0!</v>
      </c>
      <c r="S26" s="24" t="e">
        <f>ROUND(P26,2)*Q26</f>
        <v>#DIV/0!</v>
      </c>
      <c r="T26" s="101" t="e">
        <f>Q26*dagenperjaar3</f>
        <v>#DIV/0!</v>
      </c>
      <c r="U26" s="25" t="e">
        <f>T26*ROUND(P26,2)</f>
        <v>#DIV/0!</v>
      </c>
    </row>
    <row r="27" spans="1:21" x14ac:dyDescent="0.2">
      <c r="A27" s="98" t="s">
        <v>417</v>
      </c>
      <c r="B27" s="99" t="s">
        <v>50</v>
      </c>
      <c r="C27" s="99" t="s">
        <v>345</v>
      </c>
      <c r="D27" s="99" t="s">
        <v>386</v>
      </c>
      <c r="E27" s="100" t="s">
        <v>426</v>
      </c>
      <c r="F27" s="99" t="s">
        <v>348</v>
      </c>
      <c r="G27" s="99" t="s">
        <v>323</v>
      </c>
      <c r="H27" s="99" t="s">
        <v>34</v>
      </c>
      <c r="I27" s="99" t="s">
        <v>246</v>
      </c>
      <c r="J27" s="99"/>
      <c r="K27" s="101">
        <v>14.5</v>
      </c>
      <c r="L27" s="101">
        <f>K27*VLOOKUP(H27,dagsoorttabel3,2,FALSE)</f>
        <v>11.372549019607844</v>
      </c>
      <c r="M27" s="102">
        <f>prodnorm114</f>
        <v>0</v>
      </c>
      <c r="N27" s="37">
        <f>dagwerk114</f>
        <v>0</v>
      </c>
      <c r="O27" s="99" t="s">
        <v>108</v>
      </c>
      <c r="P27" s="24">
        <f>uurtarief114</f>
        <v>0</v>
      </c>
      <c r="Q27" s="101" t="e">
        <f>IF(ISBLANK(M27),0,L27/ROUND(M27,4))</f>
        <v>#DIV/0!</v>
      </c>
      <c r="R27" s="101" t="e">
        <f>IF(ISBLANK(M27),0,Q27*ROUND(N27,2))</f>
        <v>#DIV/0!</v>
      </c>
      <c r="S27" s="24" t="e">
        <f>ROUND(P27,2)*Q27</f>
        <v>#DIV/0!</v>
      </c>
      <c r="T27" s="101" t="e">
        <f>Q27*dagenperjaar3</f>
        <v>#DIV/0!</v>
      </c>
      <c r="U27" s="25" t="e">
        <f>T27*ROUND(P27,2)</f>
        <v>#DIV/0!</v>
      </c>
    </row>
    <row r="28" spans="1:21" x14ac:dyDescent="0.2">
      <c r="A28" s="98" t="s">
        <v>417</v>
      </c>
      <c r="B28" s="99" t="s">
        <v>50</v>
      </c>
      <c r="C28" s="99" t="s">
        <v>345</v>
      </c>
      <c r="D28" s="99" t="s">
        <v>387</v>
      </c>
      <c r="E28" s="100" t="s">
        <v>427</v>
      </c>
      <c r="F28" s="99" t="s">
        <v>348</v>
      </c>
      <c r="G28" s="99" t="s">
        <v>319</v>
      </c>
      <c r="H28" s="99" t="s">
        <v>34</v>
      </c>
      <c r="I28" s="99" t="s">
        <v>246</v>
      </c>
      <c r="J28" s="99"/>
      <c r="K28" s="101">
        <v>9</v>
      </c>
      <c r="L28" s="101">
        <f>K28*VLOOKUP(H28,dagsoorttabel3,2,FALSE)</f>
        <v>7.0588235294117645</v>
      </c>
      <c r="M28" s="102">
        <f>prodnorm106</f>
        <v>0</v>
      </c>
      <c r="N28" s="37">
        <f>dagwerk106</f>
        <v>0</v>
      </c>
      <c r="O28" s="99" t="s">
        <v>108</v>
      </c>
      <c r="P28" s="24">
        <f>uurtarief106</f>
        <v>0</v>
      </c>
      <c r="Q28" s="101" t="e">
        <f>IF(ISBLANK(M28),0,L28/ROUND(M28,4))</f>
        <v>#DIV/0!</v>
      </c>
      <c r="R28" s="101" t="e">
        <f>IF(ISBLANK(M28),0,Q28*ROUND(N28,2))</f>
        <v>#DIV/0!</v>
      </c>
      <c r="S28" s="24" t="e">
        <f>ROUND(P28,2)*Q28</f>
        <v>#DIV/0!</v>
      </c>
      <c r="T28" s="101" t="e">
        <f>Q28*dagenperjaar3</f>
        <v>#DIV/0!</v>
      </c>
      <c r="U28" s="25" t="e">
        <f>T28*ROUND(P28,2)</f>
        <v>#DIV/0!</v>
      </c>
    </row>
    <row r="29" spans="1:21" x14ac:dyDescent="0.2">
      <c r="A29" s="98" t="s">
        <v>417</v>
      </c>
      <c r="B29" s="99" t="s">
        <v>50</v>
      </c>
      <c r="C29" s="99" t="s">
        <v>345</v>
      </c>
      <c r="D29" s="99" t="s">
        <v>388</v>
      </c>
      <c r="E29" s="100" t="s">
        <v>426</v>
      </c>
      <c r="F29" s="99" t="s">
        <v>348</v>
      </c>
      <c r="G29" s="99" t="s">
        <v>323</v>
      </c>
      <c r="H29" s="99" t="s">
        <v>34</v>
      </c>
      <c r="I29" s="99" t="s">
        <v>246</v>
      </c>
      <c r="J29" s="99"/>
      <c r="K29" s="101">
        <v>24.5</v>
      </c>
      <c r="L29" s="101">
        <f>K29*VLOOKUP(H29,dagsoorttabel3,2,FALSE)</f>
        <v>19.215686274509803</v>
      </c>
      <c r="M29" s="102">
        <f>prodnorm114</f>
        <v>0</v>
      </c>
      <c r="N29" s="37">
        <f>dagwerk114</f>
        <v>0</v>
      </c>
      <c r="O29" s="99" t="s">
        <v>108</v>
      </c>
      <c r="P29" s="24">
        <f>uurtarief114</f>
        <v>0</v>
      </c>
      <c r="Q29" s="101" t="e">
        <f>IF(ISBLANK(M29),0,L29/ROUND(M29,4))</f>
        <v>#DIV/0!</v>
      </c>
      <c r="R29" s="101" t="e">
        <f>IF(ISBLANK(M29),0,Q29*ROUND(N29,2))</f>
        <v>#DIV/0!</v>
      </c>
      <c r="S29" s="24" t="e">
        <f>ROUND(P29,2)*Q29</f>
        <v>#DIV/0!</v>
      </c>
      <c r="T29" s="101" t="e">
        <f>Q29*dagenperjaar3</f>
        <v>#DIV/0!</v>
      </c>
      <c r="U29" s="25" t="e">
        <f>T29*ROUND(P29,2)</f>
        <v>#DIV/0!</v>
      </c>
    </row>
    <row r="30" spans="1:21" x14ac:dyDescent="0.2">
      <c r="A30" s="98" t="s">
        <v>417</v>
      </c>
      <c r="B30" s="99" t="s">
        <v>50</v>
      </c>
      <c r="C30" s="99" t="s">
        <v>345</v>
      </c>
      <c r="D30" s="99" t="s">
        <v>389</v>
      </c>
      <c r="E30" s="100" t="s">
        <v>427</v>
      </c>
      <c r="F30" s="99" t="s">
        <v>348</v>
      </c>
      <c r="G30" s="99" t="s">
        <v>319</v>
      </c>
      <c r="H30" s="99" t="s">
        <v>34</v>
      </c>
      <c r="I30" s="99" t="s">
        <v>246</v>
      </c>
      <c r="J30" s="99"/>
      <c r="K30" s="101">
        <v>9</v>
      </c>
      <c r="L30" s="101">
        <f>K30*VLOOKUP(H30,dagsoorttabel3,2,FALSE)</f>
        <v>7.0588235294117645</v>
      </c>
      <c r="M30" s="102">
        <f>prodnorm106</f>
        <v>0</v>
      </c>
      <c r="N30" s="37">
        <f>dagwerk106</f>
        <v>0</v>
      </c>
      <c r="O30" s="99" t="s">
        <v>108</v>
      </c>
      <c r="P30" s="24">
        <f>uurtarief106</f>
        <v>0</v>
      </c>
      <c r="Q30" s="101" t="e">
        <f>IF(ISBLANK(M30),0,L30/ROUND(M30,4))</f>
        <v>#DIV/0!</v>
      </c>
      <c r="R30" s="101" t="e">
        <f>IF(ISBLANK(M30),0,Q30*ROUND(N30,2))</f>
        <v>#DIV/0!</v>
      </c>
      <c r="S30" s="24" t="e">
        <f>ROUND(P30,2)*Q30</f>
        <v>#DIV/0!</v>
      </c>
      <c r="T30" s="101" t="e">
        <f>Q30*dagenperjaar3</f>
        <v>#DIV/0!</v>
      </c>
      <c r="U30" s="25" t="e">
        <f>T30*ROUND(P30,2)</f>
        <v>#DIV/0!</v>
      </c>
    </row>
    <row r="31" spans="1:21" x14ac:dyDescent="0.2">
      <c r="A31" s="98" t="s">
        <v>417</v>
      </c>
      <c r="B31" s="99" t="s">
        <v>50</v>
      </c>
      <c r="C31" s="99" t="s">
        <v>345</v>
      </c>
      <c r="D31" s="99" t="s">
        <v>390</v>
      </c>
      <c r="E31" s="100" t="s">
        <v>426</v>
      </c>
      <c r="F31" s="99" t="s">
        <v>348</v>
      </c>
      <c r="G31" s="99" t="s">
        <v>323</v>
      </c>
      <c r="H31" s="99" t="s">
        <v>34</v>
      </c>
      <c r="I31" s="99" t="s">
        <v>246</v>
      </c>
      <c r="J31" s="99"/>
      <c r="K31" s="101">
        <v>11</v>
      </c>
      <c r="L31" s="101">
        <f>K31*VLOOKUP(H31,dagsoorttabel3,2,FALSE)</f>
        <v>8.6274509803921564</v>
      </c>
      <c r="M31" s="102">
        <f>prodnorm114</f>
        <v>0</v>
      </c>
      <c r="N31" s="37">
        <f>dagwerk114</f>
        <v>0</v>
      </c>
      <c r="O31" s="99" t="s">
        <v>108</v>
      </c>
      <c r="P31" s="24">
        <f>uurtarief114</f>
        <v>0</v>
      </c>
      <c r="Q31" s="101" t="e">
        <f>IF(ISBLANK(M31),0,L31/ROUND(M31,4))</f>
        <v>#DIV/0!</v>
      </c>
      <c r="R31" s="101" t="e">
        <f>IF(ISBLANK(M31),0,Q31*ROUND(N31,2))</f>
        <v>#DIV/0!</v>
      </c>
      <c r="S31" s="24" t="e">
        <f>ROUND(P31,2)*Q31</f>
        <v>#DIV/0!</v>
      </c>
      <c r="T31" s="101" t="e">
        <f>Q31*dagenperjaar3</f>
        <v>#DIV/0!</v>
      </c>
      <c r="U31" s="25" t="e">
        <f>T31*ROUND(P31,2)</f>
        <v>#DIV/0!</v>
      </c>
    </row>
    <row r="32" spans="1:21" x14ac:dyDescent="0.2">
      <c r="A32" s="98" t="s">
        <v>417</v>
      </c>
      <c r="B32" s="99" t="s">
        <v>50</v>
      </c>
      <c r="C32" s="99" t="s">
        <v>345</v>
      </c>
      <c r="D32" s="99" t="s">
        <v>392</v>
      </c>
      <c r="E32" s="100" t="s">
        <v>427</v>
      </c>
      <c r="F32" s="99" t="s">
        <v>348</v>
      </c>
      <c r="G32" s="99" t="s">
        <v>319</v>
      </c>
      <c r="H32" s="99" t="s">
        <v>34</v>
      </c>
      <c r="I32" s="99" t="s">
        <v>246</v>
      </c>
      <c r="J32" s="99"/>
      <c r="K32" s="101">
        <v>4</v>
      </c>
      <c r="L32" s="101">
        <f>K32*VLOOKUP(H32,dagsoorttabel3,2,FALSE)</f>
        <v>3.1372549019607843</v>
      </c>
      <c r="M32" s="102">
        <f>prodnorm106</f>
        <v>0</v>
      </c>
      <c r="N32" s="37">
        <f>dagwerk106</f>
        <v>0</v>
      </c>
      <c r="O32" s="99" t="s">
        <v>108</v>
      </c>
      <c r="P32" s="24">
        <f>uurtarief106</f>
        <v>0</v>
      </c>
      <c r="Q32" s="101" t="e">
        <f>IF(ISBLANK(M32),0,L32/ROUND(M32,4))</f>
        <v>#DIV/0!</v>
      </c>
      <c r="R32" s="101" t="e">
        <f>IF(ISBLANK(M32),0,Q32*ROUND(N32,2))</f>
        <v>#DIV/0!</v>
      </c>
      <c r="S32" s="24" t="e">
        <f>ROUND(P32,2)*Q32</f>
        <v>#DIV/0!</v>
      </c>
      <c r="T32" s="101" t="e">
        <f>Q32*dagenperjaar3</f>
        <v>#DIV/0!</v>
      </c>
      <c r="U32" s="25" t="e">
        <f>T32*ROUND(P32,2)</f>
        <v>#DIV/0!</v>
      </c>
    </row>
    <row r="33" spans="1:21" x14ac:dyDescent="0.2">
      <c r="A33" s="98" t="s">
        <v>417</v>
      </c>
      <c r="B33" s="99" t="s">
        <v>50</v>
      </c>
      <c r="C33" s="99" t="s">
        <v>345</v>
      </c>
      <c r="D33" s="99" t="s">
        <v>395</v>
      </c>
      <c r="E33" s="100" t="s">
        <v>426</v>
      </c>
      <c r="F33" s="99" t="s">
        <v>348</v>
      </c>
      <c r="G33" s="99" t="s">
        <v>323</v>
      </c>
      <c r="H33" s="99" t="s">
        <v>34</v>
      </c>
      <c r="I33" s="99" t="s">
        <v>246</v>
      </c>
      <c r="J33" s="99"/>
      <c r="K33" s="101">
        <v>11</v>
      </c>
      <c r="L33" s="101">
        <f>K33*VLOOKUP(H33,dagsoorttabel3,2,FALSE)</f>
        <v>8.6274509803921564</v>
      </c>
      <c r="M33" s="102">
        <f>prodnorm114</f>
        <v>0</v>
      </c>
      <c r="N33" s="37">
        <f>dagwerk114</f>
        <v>0</v>
      </c>
      <c r="O33" s="99" t="s">
        <v>108</v>
      </c>
      <c r="P33" s="24">
        <f>uurtarief114</f>
        <v>0</v>
      </c>
      <c r="Q33" s="101" t="e">
        <f>IF(ISBLANK(M33),0,L33/ROUND(M33,4))</f>
        <v>#DIV/0!</v>
      </c>
      <c r="R33" s="101" t="e">
        <f>IF(ISBLANK(M33),0,Q33*ROUND(N33,2))</f>
        <v>#DIV/0!</v>
      </c>
      <c r="S33" s="24" t="e">
        <f>ROUND(P33,2)*Q33</f>
        <v>#DIV/0!</v>
      </c>
      <c r="T33" s="101" t="e">
        <f>Q33*dagenperjaar3</f>
        <v>#DIV/0!</v>
      </c>
      <c r="U33" s="25" t="e">
        <f>T33*ROUND(P33,2)</f>
        <v>#DIV/0!</v>
      </c>
    </row>
    <row r="34" spans="1:21" x14ac:dyDescent="0.2">
      <c r="A34" s="98" t="s">
        <v>417</v>
      </c>
      <c r="B34" s="99" t="s">
        <v>50</v>
      </c>
      <c r="C34" s="99" t="s">
        <v>345</v>
      </c>
      <c r="D34" s="99" t="s">
        <v>398</v>
      </c>
      <c r="E34" s="100" t="s">
        <v>427</v>
      </c>
      <c r="F34" s="99" t="s">
        <v>348</v>
      </c>
      <c r="G34" s="99" t="s">
        <v>319</v>
      </c>
      <c r="H34" s="99" t="s">
        <v>34</v>
      </c>
      <c r="I34" s="99" t="s">
        <v>246</v>
      </c>
      <c r="J34" s="99"/>
      <c r="K34" s="101">
        <v>4</v>
      </c>
      <c r="L34" s="101">
        <f>K34*VLOOKUP(H34,dagsoorttabel3,2,FALSE)</f>
        <v>3.1372549019607843</v>
      </c>
      <c r="M34" s="102">
        <f>prodnorm106</f>
        <v>0</v>
      </c>
      <c r="N34" s="37">
        <f>dagwerk106</f>
        <v>0</v>
      </c>
      <c r="O34" s="99" t="s">
        <v>108</v>
      </c>
      <c r="P34" s="24">
        <f>uurtarief106</f>
        <v>0</v>
      </c>
      <c r="Q34" s="101" t="e">
        <f>IF(ISBLANK(M34),0,L34/ROUND(M34,4))</f>
        <v>#DIV/0!</v>
      </c>
      <c r="R34" s="101" t="e">
        <f>IF(ISBLANK(M34),0,Q34*ROUND(N34,2))</f>
        <v>#DIV/0!</v>
      </c>
      <c r="S34" s="24" t="e">
        <f>ROUND(P34,2)*Q34</f>
        <v>#DIV/0!</v>
      </c>
      <c r="T34" s="101" t="e">
        <f>Q34*dagenperjaar3</f>
        <v>#DIV/0!</v>
      </c>
      <c r="U34" s="25" t="e">
        <f>T34*ROUND(P34,2)</f>
        <v>#DIV/0!</v>
      </c>
    </row>
    <row r="35" spans="1:21" x14ac:dyDescent="0.2">
      <c r="A35" s="98" t="s">
        <v>417</v>
      </c>
      <c r="B35" s="99" t="s">
        <v>50</v>
      </c>
      <c r="C35" s="99" t="s">
        <v>345</v>
      </c>
      <c r="D35" s="99" t="s">
        <v>399</v>
      </c>
      <c r="E35" s="100" t="s">
        <v>426</v>
      </c>
      <c r="F35" s="99" t="s">
        <v>348</v>
      </c>
      <c r="G35" s="99" t="s">
        <v>323</v>
      </c>
      <c r="H35" s="99" t="s">
        <v>34</v>
      </c>
      <c r="I35" s="99" t="s">
        <v>246</v>
      </c>
      <c r="J35" s="99"/>
      <c r="K35" s="101">
        <v>14.5</v>
      </c>
      <c r="L35" s="101">
        <f>K35*VLOOKUP(H35,dagsoorttabel3,2,FALSE)</f>
        <v>11.372549019607844</v>
      </c>
      <c r="M35" s="102">
        <f>prodnorm114</f>
        <v>0</v>
      </c>
      <c r="N35" s="37">
        <f>dagwerk114</f>
        <v>0</v>
      </c>
      <c r="O35" s="99" t="s">
        <v>108</v>
      </c>
      <c r="P35" s="24">
        <f>uurtarief114</f>
        <v>0</v>
      </c>
      <c r="Q35" s="101" t="e">
        <f>IF(ISBLANK(M35),0,L35/ROUND(M35,4))</f>
        <v>#DIV/0!</v>
      </c>
      <c r="R35" s="101" t="e">
        <f>IF(ISBLANK(M35),0,Q35*ROUND(N35,2))</f>
        <v>#DIV/0!</v>
      </c>
      <c r="S35" s="24" t="e">
        <f>ROUND(P35,2)*Q35</f>
        <v>#DIV/0!</v>
      </c>
      <c r="T35" s="101" t="e">
        <f>Q35*dagenperjaar3</f>
        <v>#DIV/0!</v>
      </c>
      <c r="U35" s="25" t="e">
        <f>T35*ROUND(P35,2)</f>
        <v>#DIV/0!</v>
      </c>
    </row>
    <row r="36" spans="1:21" x14ac:dyDescent="0.2">
      <c r="A36" s="98" t="s">
        <v>417</v>
      </c>
      <c r="B36" s="99" t="s">
        <v>50</v>
      </c>
      <c r="C36" s="99" t="s">
        <v>345</v>
      </c>
      <c r="D36" s="99" t="s">
        <v>400</v>
      </c>
      <c r="E36" s="100" t="s">
        <v>427</v>
      </c>
      <c r="F36" s="99" t="s">
        <v>348</v>
      </c>
      <c r="G36" s="99" t="s">
        <v>319</v>
      </c>
      <c r="H36" s="99" t="s">
        <v>34</v>
      </c>
      <c r="I36" s="99" t="s">
        <v>246</v>
      </c>
      <c r="J36" s="99"/>
      <c r="K36" s="101">
        <v>9</v>
      </c>
      <c r="L36" s="101">
        <f>K36*VLOOKUP(H36,dagsoorttabel3,2,FALSE)</f>
        <v>7.0588235294117645</v>
      </c>
      <c r="M36" s="102">
        <f>prodnorm106</f>
        <v>0</v>
      </c>
      <c r="N36" s="37">
        <f>dagwerk106</f>
        <v>0</v>
      </c>
      <c r="O36" s="99" t="s">
        <v>108</v>
      </c>
      <c r="P36" s="24">
        <f>uurtarief106</f>
        <v>0</v>
      </c>
      <c r="Q36" s="101" t="e">
        <f>IF(ISBLANK(M36),0,L36/ROUND(M36,4))</f>
        <v>#DIV/0!</v>
      </c>
      <c r="R36" s="101" t="e">
        <f>IF(ISBLANK(M36),0,Q36*ROUND(N36,2))</f>
        <v>#DIV/0!</v>
      </c>
      <c r="S36" s="24" t="e">
        <f>ROUND(P36,2)*Q36</f>
        <v>#DIV/0!</v>
      </c>
      <c r="T36" s="101" t="e">
        <f>Q36*dagenperjaar3</f>
        <v>#DIV/0!</v>
      </c>
      <c r="U36" s="25" t="e">
        <f>T36*ROUND(P36,2)</f>
        <v>#DIV/0!</v>
      </c>
    </row>
    <row r="37" spans="1:21" x14ac:dyDescent="0.2">
      <c r="A37" s="98" t="s">
        <v>417</v>
      </c>
      <c r="B37" s="99" t="s">
        <v>50</v>
      </c>
      <c r="C37" s="99" t="s">
        <v>345</v>
      </c>
      <c r="D37" s="99" t="s">
        <v>401</v>
      </c>
      <c r="E37" s="100" t="s">
        <v>426</v>
      </c>
      <c r="F37" s="99" t="s">
        <v>348</v>
      </c>
      <c r="G37" s="99" t="s">
        <v>323</v>
      </c>
      <c r="H37" s="99" t="s">
        <v>34</v>
      </c>
      <c r="I37" s="99" t="s">
        <v>246</v>
      </c>
      <c r="J37" s="99"/>
      <c r="K37" s="101">
        <v>14.5</v>
      </c>
      <c r="L37" s="101">
        <f>K37*VLOOKUP(H37,dagsoorttabel3,2,FALSE)</f>
        <v>11.372549019607844</v>
      </c>
      <c r="M37" s="102">
        <f>prodnorm114</f>
        <v>0</v>
      </c>
      <c r="N37" s="37">
        <f>dagwerk114</f>
        <v>0</v>
      </c>
      <c r="O37" s="99" t="s">
        <v>108</v>
      </c>
      <c r="P37" s="24">
        <f>uurtarief114</f>
        <v>0</v>
      </c>
      <c r="Q37" s="101" t="e">
        <f>IF(ISBLANK(M37),0,L37/ROUND(M37,4))</f>
        <v>#DIV/0!</v>
      </c>
      <c r="R37" s="101" t="e">
        <f>IF(ISBLANK(M37),0,Q37*ROUND(N37,2))</f>
        <v>#DIV/0!</v>
      </c>
      <c r="S37" s="24" t="e">
        <f>ROUND(P37,2)*Q37</f>
        <v>#DIV/0!</v>
      </c>
      <c r="T37" s="101" t="e">
        <f>Q37*dagenperjaar3</f>
        <v>#DIV/0!</v>
      </c>
      <c r="U37" s="25" t="e">
        <f>T37*ROUND(P37,2)</f>
        <v>#DIV/0!</v>
      </c>
    </row>
    <row r="38" spans="1:21" x14ac:dyDescent="0.2">
      <c r="A38" s="98" t="s">
        <v>417</v>
      </c>
      <c r="B38" s="99" t="s">
        <v>50</v>
      </c>
      <c r="C38" s="99" t="s">
        <v>345</v>
      </c>
      <c r="D38" s="99" t="s">
        <v>402</v>
      </c>
      <c r="E38" s="100" t="s">
        <v>427</v>
      </c>
      <c r="F38" s="99" t="s">
        <v>348</v>
      </c>
      <c r="G38" s="99" t="s">
        <v>319</v>
      </c>
      <c r="H38" s="99" t="s">
        <v>34</v>
      </c>
      <c r="I38" s="99" t="s">
        <v>246</v>
      </c>
      <c r="J38" s="99"/>
      <c r="K38" s="101">
        <v>9</v>
      </c>
      <c r="L38" s="101">
        <f>K38*VLOOKUP(H38,dagsoorttabel3,2,FALSE)</f>
        <v>7.0588235294117645</v>
      </c>
      <c r="M38" s="102">
        <f>prodnorm106</f>
        <v>0</v>
      </c>
      <c r="N38" s="37">
        <f>dagwerk106</f>
        <v>0</v>
      </c>
      <c r="O38" s="99" t="s">
        <v>108</v>
      </c>
      <c r="P38" s="24">
        <f>uurtarief106</f>
        <v>0</v>
      </c>
      <c r="Q38" s="101" t="e">
        <f>IF(ISBLANK(M38),0,L38/ROUND(M38,4))</f>
        <v>#DIV/0!</v>
      </c>
      <c r="R38" s="101" t="e">
        <f>IF(ISBLANK(M38),0,Q38*ROUND(N38,2))</f>
        <v>#DIV/0!</v>
      </c>
      <c r="S38" s="24" t="e">
        <f>ROUND(P38,2)*Q38</f>
        <v>#DIV/0!</v>
      </c>
      <c r="T38" s="101" t="e">
        <f>Q38*dagenperjaar3</f>
        <v>#DIV/0!</v>
      </c>
      <c r="U38" s="25" t="e">
        <f>T38*ROUND(P38,2)</f>
        <v>#DIV/0!</v>
      </c>
    </row>
    <row r="39" spans="1:21" x14ac:dyDescent="0.2">
      <c r="A39" s="98" t="s">
        <v>417</v>
      </c>
      <c r="B39" s="99" t="s">
        <v>50</v>
      </c>
      <c r="C39" s="99" t="s">
        <v>345</v>
      </c>
      <c r="D39" s="99" t="s">
        <v>432</v>
      </c>
      <c r="E39" s="100" t="s">
        <v>426</v>
      </c>
      <c r="F39" s="99" t="s">
        <v>348</v>
      </c>
      <c r="G39" s="99" t="s">
        <v>323</v>
      </c>
      <c r="H39" s="99" t="s">
        <v>34</v>
      </c>
      <c r="I39" s="99" t="s">
        <v>246</v>
      </c>
      <c r="J39" s="99"/>
      <c r="K39" s="101">
        <v>14.5</v>
      </c>
      <c r="L39" s="101">
        <f>K39*VLOOKUP(H39,dagsoorttabel3,2,FALSE)</f>
        <v>11.372549019607844</v>
      </c>
      <c r="M39" s="102">
        <f>prodnorm114</f>
        <v>0</v>
      </c>
      <c r="N39" s="37">
        <f>dagwerk114</f>
        <v>0</v>
      </c>
      <c r="O39" s="99" t="s">
        <v>108</v>
      </c>
      <c r="P39" s="24">
        <f>uurtarief114</f>
        <v>0</v>
      </c>
      <c r="Q39" s="101" t="e">
        <f>IF(ISBLANK(M39),0,L39/ROUND(M39,4))</f>
        <v>#DIV/0!</v>
      </c>
      <c r="R39" s="101" t="e">
        <f>IF(ISBLANK(M39),0,Q39*ROUND(N39,2))</f>
        <v>#DIV/0!</v>
      </c>
      <c r="S39" s="24" t="e">
        <f>ROUND(P39,2)*Q39</f>
        <v>#DIV/0!</v>
      </c>
      <c r="T39" s="101" t="e">
        <f>Q39*dagenperjaar3</f>
        <v>#DIV/0!</v>
      </c>
      <c r="U39" s="25" t="e">
        <f>T39*ROUND(P39,2)</f>
        <v>#DIV/0!</v>
      </c>
    </row>
    <row r="40" spans="1:21" x14ac:dyDescent="0.2">
      <c r="A40" s="98" t="s">
        <v>417</v>
      </c>
      <c r="B40" s="99" t="s">
        <v>50</v>
      </c>
      <c r="C40" s="99" t="s">
        <v>345</v>
      </c>
      <c r="D40" s="99" t="s">
        <v>433</v>
      </c>
      <c r="E40" s="100" t="s">
        <v>427</v>
      </c>
      <c r="F40" s="99" t="s">
        <v>348</v>
      </c>
      <c r="G40" s="99" t="s">
        <v>319</v>
      </c>
      <c r="H40" s="99" t="s">
        <v>34</v>
      </c>
      <c r="I40" s="99" t="s">
        <v>246</v>
      </c>
      <c r="J40" s="99"/>
      <c r="K40" s="101">
        <v>9</v>
      </c>
      <c r="L40" s="101">
        <f>K40*VLOOKUP(H40,dagsoorttabel3,2,FALSE)</f>
        <v>7.0588235294117645</v>
      </c>
      <c r="M40" s="102">
        <f>prodnorm106</f>
        <v>0</v>
      </c>
      <c r="N40" s="37">
        <f>dagwerk106</f>
        <v>0</v>
      </c>
      <c r="O40" s="99" t="s">
        <v>108</v>
      </c>
      <c r="P40" s="24">
        <f>uurtarief106</f>
        <v>0</v>
      </c>
      <c r="Q40" s="101" t="e">
        <f>IF(ISBLANK(M40),0,L40/ROUND(M40,4))</f>
        <v>#DIV/0!</v>
      </c>
      <c r="R40" s="101" t="e">
        <f>IF(ISBLANK(M40),0,Q40*ROUND(N40,2))</f>
        <v>#DIV/0!</v>
      </c>
      <c r="S40" s="24" t="e">
        <f>ROUND(P40,2)*Q40</f>
        <v>#DIV/0!</v>
      </c>
      <c r="T40" s="101" t="e">
        <f>Q40*dagenperjaar3</f>
        <v>#DIV/0!</v>
      </c>
      <c r="U40" s="25" t="e">
        <f>T40*ROUND(P40,2)</f>
        <v>#DIV/0!</v>
      </c>
    </row>
    <row r="41" spans="1:21" x14ac:dyDescent="0.2">
      <c r="A41" s="98" t="s">
        <v>417</v>
      </c>
      <c r="B41" s="99" t="s">
        <v>50</v>
      </c>
      <c r="C41" s="99" t="s">
        <v>345</v>
      </c>
      <c r="D41" s="99" t="s">
        <v>434</v>
      </c>
      <c r="E41" s="100" t="s">
        <v>426</v>
      </c>
      <c r="F41" s="99" t="s">
        <v>348</v>
      </c>
      <c r="G41" s="99" t="s">
        <v>323</v>
      </c>
      <c r="H41" s="99" t="s">
        <v>34</v>
      </c>
      <c r="I41" s="99" t="s">
        <v>246</v>
      </c>
      <c r="J41" s="99"/>
      <c r="K41" s="101">
        <v>14.5</v>
      </c>
      <c r="L41" s="101">
        <f>K41*VLOOKUP(H41,dagsoorttabel3,2,FALSE)</f>
        <v>11.372549019607844</v>
      </c>
      <c r="M41" s="102">
        <f>prodnorm114</f>
        <v>0</v>
      </c>
      <c r="N41" s="37">
        <f>dagwerk114</f>
        <v>0</v>
      </c>
      <c r="O41" s="99" t="s">
        <v>108</v>
      </c>
      <c r="P41" s="24">
        <f>uurtarief114</f>
        <v>0</v>
      </c>
      <c r="Q41" s="101" t="e">
        <f>IF(ISBLANK(M41),0,L41/ROUND(M41,4))</f>
        <v>#DIV/0!</v>
      </c>
      <c r="R41" s="101" t="e">
        <f>IF(ISBLANK(M41),0,Q41*ROUND(N41,2))</f>
        <v>#DIV/0!</v>
      </c>
      <c r="S41" s="24" t="e">
        <f>ROUND(P41,2)*Q41</f>
        <v>#DIV/0!</v>
      </c>
      <c r="T41" s="101" t="e">
        <f>Q41*dagenperjaar3</f>
        <v>#DIV/0!</v>
      </c>
      <c r="U41" s="25" t="e">
        <f>T41*ROUND(P41,2)</f>
        <v>#DIV/0!</v>
      </c>
    </row>
    <row r="42" spans="1:21" x14ac:dyDescent="0.2">
      <c r="A42" s="98" t="s">
        <v>417</v>
      </c>
      <c r="B42" s="99" t="s">
        <v>50</v>
      </c>
      <c r="C42" s="99" t="s">
        <v>345</v>
      </c>
      <c r="D42" s="99" t="s">
        <v>435</v>
      </c>
      <c r="E42" s="100" t="s">
        <v>427</v>
      </c>
      <c r="F42" s="99" t="s">
        <v>348</v>
      </c>
      <c r="G42" s="99" t="s">
        <v>319</v>
      </c>
      <c r="H42" s="99" t="s">
        <v>34</v>
      </c>
      <c r="I42" s="99" t="s">
        <v>246</v>
      </c>
      <c r="J42" s="99"/>
      <c r="K42" s="101">
        <v>9</v>
      </c>
      <c r="L42" s="101">
        <f>K42*VLOOKUP(H42,dagsoorttabel3,2,FALSE)</f>
        <v>7.0588235294117645</v>
      </c>
      <c r="M42" s="102">
        <f>prodnorm106</f>
        <v>0</v>
      </c>
      <c r="N42" s="37">
        <f>dagwerk106</f>
        <v>0</v>
      </c>
      <c r="O42" s="99" t="s">
        <v>108</v>
      </c>
      <c r="P42" s="24">
        <f>uurtarief106</f>
        <v>0</v>
      </c>
      <c r="Q42" s="101" t="e">
        <f>IF(ISBLANK(M42),0,L42/ROUND(M42,4))</f>
        <v>#DIV/0!</v>
      </c>
      <c r="R42" s="101" t="e">
        <f>IF(ISBLANK(M42),0,Q42*ROUND(N42,2))</f>
        <v>#DIV/0!</v>
      </c>
      <c r="S42" s="24" t="e">
        <f>ROUND(P42,2)*Q42</f>
        <v>#DIV/0!</v>
      </c>
      <c r="T42" s="101" t="e">
        <f>Q42*dagenperjaar3</f>
        <v>#DIV/0!</v>
      </c>
      <c r="U42" s="25" t="e">
        <f>T42*ROUND(P42,2)</f>
        <v>#DIV/0!</v>
      </c>
    </row>
    <row r="43" spans="1:21" x14ac:dyDescent="0.2">
      <c r="A43" s="98" t="s">
        <v>417</v>
      </c>
      <c r="B43" s="99" t="s">
        <v>50</v>
      </c>
      <c r="C43" s="99" t="s">
        <v>345</v>
      </c>
      <c r="D43" s="99" t="s">
        <v>436</v>
      </c>
      <c r="E43" s="100" t="s">
        <v>426</v>
      </c>
      <c r="F43" s="99" t="s">
        <v>348</v>
      </c>
      <c r="G43" s="99" t="s">
        <v>323</v>
      </c>
      <c r="H43" s="99" t="s">
        <v>34</v>
      </c>
      <c r="I43" s="99" t="s">
        <v>246</v>
      </c>
      <c r="J43" s="99"/>
      <c r="K43" s="101">
        <v>14.5</v>
      </c>
      <c r="L43" s="101">
        <f>K43*VLOOKUP(H43,dagsoorttabel3,2,FALSE)</f>
        <v>11.372549019607844</v>
      </c>
      <c r="M43" s="102">
        <f>prodnorm114</f>
        <v>0</v>
      </c>
      <c r="N43" s="37">
        <f>dagwerk114</f>
        <v>0</v>
      </c>
      <c r="O43" s="99" t="s">
        <v>108</v>
      </c>
      <c r="P43" s="24">
        <f>uurtarief114</f>
        <v>0</v>
      </c>
      <c r="Q43" s="101" t="e">
        <f>IF(ISBLANK(M43),0,L43/ROUND(M43,4))</f>
        <v>#DIV/0!</v>
      </c>
      <c r="R43" s="101" t="e">
        <f>IF(ISBLANK(M43),0,Q43*ROUND(N43,2))</f>
        <v>#DIV/0!</v>
      </c>
      <c r="S43" s="24" t="e">
        <f>ROUND(P43,2)*Q43</f>
        <v>#DIV/0!</v>
      </c>
      <c r="T43" s="101" t="e">
        <f>Q43*dagenperjaar3</f>
        <v>#DIV/0!</v>
      </c>
      <c r="U43" s="25" t="e">
        <f>T43*ROUND(P43,2)</f>
        <v>#DIV/0!</v>
      </c>
    </row>
    <row r="44" spans="1:21" x14ac:dyDescent="0.2">
      <c r="A44" s="98" t="s">
        <v>417</v>
      </c>
      <c r="B44" s="99" t="s">
        <v>50</v>
      </c>
      <c r="C44" s="99" t="s">
        <v>345</v>
      </c>
      <c r="D44" s="99" t="s">
        <v>437</v>
      </c>
      <c r="E44" s="100" t="s">
        <v>427</v>
      </c>
      <c r="F44" s="99" t="s">
        <v>348</v>
      </c>
      <c r="G44" s="99" t="s">
        <v>319</v>
      </c>
      <c r="H44" s="99" t="s">
        <v>34</v>
      </c>
      <c r="I44" s="99" t="s">
        <v>246</v>
      </c>
      <c r="J44" s="99"/>
      <c r="K44" s="101">
        <v>9</v>
      </c>
      <c r="L44" s="101">
        <f>K44*VLOOKUP(H44,dagsoorttabel3,2,FALSE)</f>
        <v>7.0588235294117645</v>
      </c>
      <c r="M44" s="102">
        <f>prodnorm106</f>
        <v>0</v>
      </c>
      <c r="N44" s="37">
        <f>dagwerk106</f>
        <v>0</v>
      </c>
      <c r="O44" s="99" t="s">
        <v>108</v>
      </c>
      <c r="P44" s="24">
        <f>uurtarief106</f>
        <v>0</v>
      </c>
      <c r="Q44" s="101" t="e">
        <f>IF(ISBLANK(M44),0,L44/ROUND(M44,4))</f>
        <v>#DIV/0!</v>
      </c>
      <c r="R44" s="101" t="e">
        <f>IF(ISBLANK(M44),0,Q44*ROUND(N44,2))</f>
        <v>#DIV/0!</v>
      </c>
      <c r="S44" s="24" t="e">
        <f>ROUND(P44,2)*Q44</f>
        <v>#DIV/0!</v>
      </c>
      <c r="T44" s="101" t="e">
        <f>Q44*dagenperjaar3</f>
        <v>#DIV/0!</v>
      </c>
      <c r="U44" s="25" t="e">
        <f>T44*ROUND(P44,2)</f>
        <v>#DIV/0!</v>
      </c>
    </row>
    <row r="45" spans="1:21" x14ac:dyDescent="0.2">
      <c r="A45" s="98" t="s">
        <v>417</v>
      </c>
      <c r="B45" s="99" t="s">
        <v>50</v>
      </c>
      <c r="C45" s="99" t="s">
        <v>345</v>
      </c>
      <c r="D45" s="99" t="s">
        <v>438</v>
      </c>
      <c r="E45" s="100" t="s">
        <v>426</v>
      </c>
      <c r="F45" s="99" t="s">
        <v>348</v>
      </c>
      <c r="G45" s="99" t="s">
        <v>323</v>
      </c>
      <c r="H45" s="99" t="s">
        <v>34</v>
      </c>
      <c r="I45" s="99" t="s">
        <v>246</v>
      </c>
      <c r="J45" s="99"/>
      <c r="K45" s="101">
        <v>24.5</v>
      </c>
      <c r="L45" s="101">
        <f>K45*VLOOKUP(H45,dagsoorttabel3,2,FALSE)</f>
        <v>19.215686274509803</v>
      </c>
      <c r="M45" s="102">
        <f>prodnorm114</f>
        <v>0</v>
      </c>
      <c r="N45" s="37">
        <f>dagwerk114</f>
        <v>0</v>
      </c>
      <c r="O45" s="99" t="s">
        <v>108</v>
      </c>
      <c r="P45" s="24">
        <f>uurtarief114</f>
        <v>0</v>
      </c>
      <c r="Q45" s="101" t="e">
        <f>IF(ISBLANK(M45),0,L45/ROUND(M45,4))</f>
        <v>#DIV/0!</v>
      </c>
      <c r="R45" s="101" t="e">
        <f>IF(ISBLANK(M45),0,Q45*ROUND(N45,2))</f>
        <v>#DIV/0!</v>
      </c>
      <c r="S45" s="24" t="e">
        <f>ROUND(P45,2)*Q45</f>
        <v>#DIV/0!</v>
      </c>
      <c r="T45" s="101" t="e">
        <f>Q45*dagenperjaar3</f>
        <v>#DIV/0!</v>
      </c>
      <c r="U45" s="25" t="e">
        <f>T45*ROUND(P45,2)</f>
        <v>#DIV/0!</v>
      </c>
    </row>
    <row r="46" spans="1:21" x14ac:dyDescent="0.2">
      <c r="A46" s="98" t="s">
        <v>417</v>
      </c>
      <c r="B46" s="99" t="s">
        <v>50</v>
      </c>
      <c r="C46" s="99" t="s">
        <v>345</v>
      </c>
      <c r="D46" s="99" t="s">
        <v>439</v>
      </c>
      <c r="E46" s="100" t="s">
        <v>427</v>
      </c>
      <c r="F46" s="99" t="s">
        <v>348</v>
      </c>
      <c r="G46" s="99" t="s">
        <v>319</v>
      </c>
      <c r="H46" s="99" t="s">
        <v>34</v>
      </c>
      <c r="I46" s="99" t="s">
        <v>246</v>
      </c>
      <c r="J46" s="99"/>
      <c r="K46" s="101">
        <v>9</v>
      </c>
      <c r="L46" s="101">
        <f>K46*VLOOKUP(H46,dagsoorttabel3,2,FALSE)</f>
        <v>7.0588235294117645</v>
      </c>
      <c r="M46" s="102">
        <f>prodnorm106</f>
        <v>0</v>
      </c>
      <c r="N46" s="37">
        <f>dagwerk106</f>
        <v>0</v>
      </c>
      <c r="O46" s="99" t="s">
        <v>108</v>
      </c>
      <c r="P46" s="24">
        <f>uurtarief106</f>
        <v>0</v>
      </c>
      <c r="Q46" s="101" t="e">
        <f>IF(ISBLANK(M46),0,L46/ROUND(M46,4))</f>
        <v>#DIV/0!</v>
      </c>
      <c r="R46" s="101" t="e">
        <f>IF(ISBLANK(M46),0,Q46*ROUND(N46,2))</f>
        <v>#DIV/0!</v>
      </c>
      <c r="S46" s="24" t="e">
        <f>ROUND(P46,2)*Q46</f>
        <v>#DIV/0!</v>
      </c>
      <c r="T46" s="101" t="e">
        <f>Q46*dagenperjaar3</f>
        <v>#DIV/0!</v>
      </c>
      <c r="U46" s="25" t="e">
        <f>T46*ROUND(P46,2)</f>
        <v>#DIV/0!</v>
      </c>
    </row>
    <row r="47" spans="1:21" x14ac:dyDescent="0.2">
      <c r="A47" s="98" t="s">
        <v>417</v>
      </c>
      <c r="B47" s="99" t="s">
        <v>50</v>
      </c>
      <c r="C47" s="99" t="s">
        <v>345</v>
      </c>
      <c r="D47" s="99" t="s">
        <v>440</v>
      </c>
      <c r="E47" s="100" t="s">
        <v>426</v>
      </c>
      <c r="F47" s="99" t="s">
        <v>348</v>
      </c>
      <c r="G47" s="99" t="s">
        <v>323</v>
      </c>
      <c r="H47" s="99" t="s">
        <v>34</v>
      </c>
      <c r="I47" s="99" t="s">
        <v>246</v>
      </c>
      <c r="J47" s="99"/>
      <c r="K47" s="101">
        <v>24.5</v>
      </c>
      <c r="L47" s="101">
        <f>K47*VLOOKUP(H47,dagsoorttabel3,2,FALSE)</f>
        <v>19.215686274509803</v>
      </c>
      <c r="M47" s="102">
        <f>prodnorm114</f>
        <v>0</v>
      </c>
      <c r="N47" s="37">
        <f>dagwerk114</f>
        <v>0</v>
      </c>
      <c r="O47" s="99" t="s">
        <v>108</v>
      </c>
      <c r="P47" s="24">
        <f>uurtarief114</f>
        <v>0</v>
      </c>
      <c r="Q47" s="101" t="e">
        <f>IF(ISBLANK(M47),0,L47/ROUND(M47,4))</f>
        <v>#DIV/0!</v>
      </c>
      <c r="R47" s="101" t="e">
        <f>IF(ISBLANK(M47),0,Q47*ROUND(N47,2))</f>
        <v>#DIV/0!</v>
      </c>
      <c r="S47" s="24" t="e">
        <f>ROUND(P47,2)*Q47</f>
        <v>#DIV/0!</v>
      </c>
      <c r="T47" s="101" t="e">
        <f>Q47*dagenperjaar3</f>
        <v>#DIV/0!</v>
      </c>
      <c r="U47" s="25" t="e">
        <f>T47*ROUND(P47,2)</f>
        <v>#DIV/0!</v>
      </c>
    </row>
    <row r="48" spans="1:21" x14ac:dyDescent="0.2">
      <c r="A48" s="98" t="s">
        <v>417</v>
      </c>
      <c r="B48" s="99" t="s">
        <v>50</v>
      </c>
      <c r="C48" s="99" t="s">
        <v>345</v>
      </c>
      <c r="D48" s="99" t="s">
        <v>441</v>
      </c>
      <c r="E48" s="100" t="s">
        <v>427</v>
      </c>
      <c r="F48" s="99" t="s">
        <v>348</v>
      </c>
      <c r="G48" s="99" t="s">
        <v>319</v>
      </c>
      <c r="H48" s="99" t="s">
        <v>34</v>
      </c>
      <c r="I48" s="99" t="s">
        <v>246</v>
      </c>
      <c r="J48" s="99"/>
      <c r="K48" s="101">
        <v>9</v>
      </c>
      <c r="L48" s="101">
        <f>K48*VLOOKUP(H48,dagsoorttabel3,2,FALSE)</f>
        <v>7.0588235294117645</v>
      </c>
      <c r="M48" s="102">
        <f>prodnorm106</f>
        <v>0</v>
      </c>
      <c r="N48" s="37">
        <f>dagwerk106</f>
        <v>0</v>
      </c>
      <c r="O48" s="99" t="s">
        <v>108</v>
      </c>
      <c r="P48" s="24">
        <f>uurtarief106</f>
        <v>0</v>
      </c>
      <c r="Q48" s="101" t="e">
        <f>IF(ISBLANK(M48),0,L48/ROUND(M48,4))</f>
        <v>#DIV/0!</v>
      </c>
      <c r="R48" s="101" t="e">
        <f>IF(ISBLANK(M48),0,Q48*ROUND(N48,2))</f>
        <v>#DIV/0!</v>
      </c>
      <c r="S48" s="24" t="e">
        <f>ROUND(P48,2)*Q48</f>
        <v>#DIV/0!</v>
      </c>
      <c r="T48" s="101" t="e">
        <f>Q48*dagenperjaar3</f>
        <v>#DIV/0!</v>
      </c>
      <c r="U48" s="25" t="e">
        <f>T48*ROUND(P48,2)</f>
        <v>#DIV/0!</v>
      </c>
    </row>
    <row r="49" spans="1:21" x14ac:dyDescent="0.2">
      <c r="A49" s="98" t="s">
        <v>417</v>
      </c>
      <c r="B49" s="99" t="s">
        <v>50</v>
      </c>
      <c r="C49" s="99" t="s">
        <v>345</v>
      </c>
      <c r="D49" s="99" t="s">
        <v>442</v>
      </c>
      <c r="E49" s="100" t="s">
        <v>421</v>
      </c>
      <c r="F49" s="99" t="s">
        <v>443</v>
      </c>
      <c r="G49" s="99" t="s">
        <v>328</v>
      </c>
      <c r="H49" s="99" t="s">
        <v>34</v>
      </c>
      <c r="I49" s="99" t="s">
        <v>246</v>
      </c>
      <c r="J49" s="99"/>
      <c r="K49" s="101">
        <v>100</v>
      </c>
      <c r="L49" s="101">
        <f>K49*VLOOKUP(H49,dagsoorttabel3,2,FALSE)</f>
        <v>78.431372549019613</v>
      </c>
      <c r="M49" s="102">
        <f>prodnorm122</f>
        <v>0</v>
      </c>
      <c r="N49" s="37">
        <f>dagwerk122</f>
        <v>0</v>
      </c>
      <c r="O49" s="99" t="s">
        <v>108</v>
      </c>
      <c r="P49" s="24">
        <f>uurtarief122</f>
        <v>0</v>
      </c>
      <c r="Q49" s="101" t="e">
        <f>IF(ISBLANK(M49),0,L49/ROUND(M49,4))</f>
        <v>#DIV/0!</v>
      </c>
      <c r="R49" s="101" t="e">
        <f>IF(ISBLANK(M49),0,Q49*ROUND(N49,2))</f>
        <v>#DIV/0!</v>
      </c>
      <c r="S49" s="24" t="e">
        <f>ROUND(P49,2)*Q49</f>
        <v>#DIV/0!</v>
      </c>
      <c r="T49" s="101" t="e">
        <f>Q49*dagenperjaar3</f>
        <v>#DIV/0!</v>
      </c>
      <c r="U49" s="25" t="e">
        <f>T49*ROUND(P49,2)</f>
        <v>#DIV/0!</v>
      </c>
    </row>
    <row r="50" spans="1:21" x14ac:dyDescent="0.2">
      <c r="A50" s="98" t="s">
        <v>417</v>
      </c>
      <c r="B50" s="99" t="s">
        <v>50</v>
      </c>
      <c r="C50" s="99" t="s">
        <v>345</v>
      </c>
      <c r="D50" s="99" t="s">
        <v>444</v>
      </c>
      <c r="E50" s="100" t="s">
        <v>445</v>
      </c>
      <c r="F50" s="99" t="s">
        <v>446</v>
      </c>
      <c r="G50" s="99" t="s">
        <v>322</v>
      </c>
      <c r="H50" s="99" t="s">
        <v>34</v>
      </c>
      <c r="I50" s="99" t="s">
        <v>246</v>
      </c>
      <c r="J50" s="99"/>
      <c r="K50" s="101">
        <v>3650</v>
      </c>
      <c r="L50" s="101">
        <f>K50*VLOOKUP(H50,dagsoorttabel3,2,FALSE)</f>
        <v>2862.7450980392155</v>
      </c>
      <c r="M50" s="102">
        <f>prodnorm112</f>
        <v>0</v>
      </c>
      <c r="N50" s="37">
        <f>dagwerk112</f>
        <v>0</v>
      </c>
      <c r="O50" s="99" t="s">
        <v>108</v>
      </c>
      <c r="P50" s="24">
        <f>uurtarief112</f>
        <v>0</v>
      </c>
      <c r="Q50" s="101" t="e">
        <f>IF(ISBLANK(M50),0,L50/ROUND(M50,4))</f>
        <v>#DIV/0!</v>
      </c>
      <c r="R50" s="101" t="e">
        <f>IF(ISBLANK(M50),0,Q50*ROUND(N50,2))</f>
        <v>#DIV/0!</v>
      </c>
      <c r="S50" s="24" t="e">
        <f>ROUND(P50,2)*Q50</f>
        <v>#DIV/0!</v>
      </c>
      <c r="T50" s="101" t="e">
        <f>Q50*dagenperjaar3</f>
        <v>#DIV/0!</v>
      </c>
      <c r="U50" s="25" t="e">
        <f>T50*ROUND(P50,2)</f>
        <v>#DIV/0!</v>
      </c>
    </row>
    <row r="51" spans="1:21" x14ac:dyDescent="0.2">
      <c r="A51" s="98" t="s">
        <v>417</v>
      </c>
      <c r="B51" s="99" t="s">
        <v>50</v>
      </c>
      <c r="C51" s="99" t="s">
        <v>345</v>
      </c>
      <c r="D51" s="99" t="s">
        <v>447</v>
      </c>
      <c r="E51" s="100" t="s">
        <v>448</v>
      </c>
      <c r="F51" s="99" t="s">
        <v>449</v>
      </c>
      <c r="G51" s="99" t="s">
        <v>322</v>
      </c>
      <c r="H51" s="99" t="s">
        <v>34</v>
      </c>
      <c r="I51" s="99" t="s">
        <v>246</v>
      </c>
      <c r="J51" s="99"/>
      <c r="K51" s="101">
        <v>336</v>
      </c>
      <c r="L51" s="101">
        <f>K51*VLOOKUP(H51,dagsoorttabel3,2,FALSE)</f>
        <v>263.52941176470586</v>
      </c>
      <c r="M51" s="102">
        <f>prodnorm112</f>
        <v>0</v>
      </c>
      <c r="N51" s="37">
        <f>dagwerk112</f>
        <v>0</v>
      </c>
      <c r="O51" s="99" t="s">
        <v>108</v>
      </c>
      <c r="P51" s="24">
        <f>uurtarief112</f>
        <v>0</v>
      </c>
      <c r="Q51" s="101" t="e">
        <f>IF(ISBLANK(M51),0,L51/ROUND(M51,4))</f>
        <v>#DIV/0!</v>
      </c>
      <c r="R51" s="101" t="e">
        <f>IF(ISBLANK(M51),0,Q51*ROUND(N51,2))</f>
        <v>#DIV/0!</v>
      </c>
      <c r="S51" s="24" t="e">
        <f>ROUND(P51,2)*Q51</f>
        <v>#DIV/0!</v>
      </c>
      <c r="T51" s="101" t="e">
        <f>Q51*dagenperjaar3</f>
        <v>#DIV/0!</v>
      </c>
      <c r="U51" s="25" t="e">
        <f>T51*ROUND(P51,2)</f>
        <v>#DIV/0!</v>
      </c>
    </row>
    <row r="52" spans="1:21" x14ac:dyDescent="0.2">
      <c r="A52" s="98" t="s">
        <v>417</v>
      </c>
      <c r="B52" s="99" t="s">
        <v>50</v>
      </c>
      <c r="C52" s="99" t="s">
        <v>345</v>
      </c>
      <c r="D52" s="99" t="s">
        <v>450</v>
      </c>
      <c r="E52" s="100" t="s">
        <v>451</v>
      </c>
      <c r="F52" s="99" t="s">
        <v>443</v>
      </c>
      <c r="G52" s="99" t="s">
        <v>322</v>
      </c>
      <c r="H52" s="99" t="s">
        <v>34</v>
      </c>
      <c r="I52" s="99" t="s">
        <v>246</v>
      </c>
      <c r="J52" s="99"/>
      <c r="K52" s="101">
        <v>651</v>
      </c>
      <c r="L52" s="101">
        <f>K52*VLOOKUP(H52,dagsoorttabel3,2,FALSE)</f>
        <v>510.58823529411762</v>
      </c>
      <c r="M52" s="102">
        <f>prodnorm112</f>
        <v>0</v>
      </c>
      <c r="N52" s="37">
        <f>dagwerk112</f>
        <v>0</v>
      </c>
      <c r="O52" s="99" t="s">
        <v>108</v>
      </c>
      <c r="P52" s="24">
        <f>uurtarief112</f>
        <v>0</v>
      </c>
      <c r="Q52" s="101" t="e">
        <f>IF(ISBLANK(M52),0,L52/ROUND(M52,4))</f>
        <v>#DIV/0!</v>
      </c>
      <c r="R52" s="101" t="e">
        <f>IF(ISBLANK(M52),0,Q52*ROUND(N52,2))</f>
        <v>#DIV/0!</v>
      </c>
      <c r="S52" s="24" t="e">
        <f>ROUND(P52,2)*Q52</f>
        <v>#DIV/0!</v>
      </c>
      <c r="T52" s="101" t="e">
        <f>Q52*dagenperjaar3</f>
        <v>#DIV/0!</v>
      </c>
      <c r="U52" s="25" t="e">
        <f>T52*ROUND(P52,2)</f>
        <v>#DIV/0!</v>
      </c>
    </row>
    <row r="53" spans="1:21" x14ac:dyDescent="0.2">
      <c r="A53" s="98" t="s">
        <v>417</v>
      </c>
      <c r="B53" s="99" t="s">
        <v>50</v>
      </c>
      <c r="C53" s="99" t="s">
        <v>452</v>
      </c>
      <c r="D53" s="99" t="s">
        <v>453</v>
      </c>
      <c r="E53" s="100" t="s">
        <v>454</v>
      </c>
      <c r="F53" s="99" t="s">
        <v>423</v>
      </c>
      <c r="G53" s="99" t="s">
        <v>318</v>
      </c>
      <c r="H53" s="99" t="s">
        <v>34</v>
      </c>
      <c r="I53" s="99" t="s">
        <v>246</v>
      </c>
      <c r="J53" s="99"/>
      <c r="K53" s="101">
        <v>26.5</v>
      </c>
      <c r="L53" s="101">
        <f>K53*VLOOKUP(H53,dagsoorttabel3,2,FALSE)</f>
        <v>20.784313725490197</v>
      </c>
      <c r="M53" s="102">
        <f>prodnorm104</f>
        <v>0</v>
      </c>
      <c r="N53" s="37">
        <f>dagwerk104</f>
        <v>0</v>
      </c>
      <c r="O53" s="99" t="s">
        <v>108</v>
      </c>
      <c r="P53" s="24">
        <f>uurtarief104</f>
        <v>0</v>
      </c>
      <c r="Q53" s="101" t="e">
        <f>IF(ISBLANK(M53),0,L53/ROUND(M53,4))</f>
        <v>#DIV/0!</v>
      </c>
      <c r="R53" s="101" t="e">
        <f>IF(ISBLANK(M53),0,Q53*ROUND(N53,2))</f>
        <v>#DIV/0!</v>
      </c>
      <c r="S53" s="24" t="e">
        <f>ROUND(P53,2)*Q53</f>
        <v>#DIV/0!</v>
      </c>
      <c r="T53" s="101" t="e">
        <f>Q53*dagenperjaar3</f>
        <v>#DIV/0!</v>
      </c>
      <c r="U53" s="25" t="e">
        <f>T53*ROUND(P53,2)</f>
        <v>#DIV/0!</v>
      </c>
    </row>
    <row r="54" spans="1:21" x14ac:dyDescent="0.2">
      <c r="A54" s="98" t="s">
        <v>417</v>
      </c>
      <c r="B54" s="99" t="s">
        <v>50</v>
      </c>
      <c r="C54" s="99" t="s">
        <v>452</v>
      </c>
      <c r="D54" s="99" t="s">
        <v>455</v>
      </c>
      <c r="E54" s="100" t="s">
        <v>429</v>
      </c>
      <c r="F54" s="99" t="s">
        <v>348</v>
      </c>
      <c r="G54" s="99" t="s">
        <v>328</v>
      </c>
      <c r="H54" s="99" t="s">
        <v>34</v>
      </c>
      <c r="I54" s="99" t="s">
        <v>246</v>
      </c>
      <c r="J54" s="99"/>
      <c r="K54" s="101">
        <v>16.5</v>
      </c>
      <c r="L54" s="101">
        <f>K54*VLOOKUP(H54,dagsoorttabel3,2,FALSE)</f>
        <v>12.941176470588236</v>
      </c>
      <c r="M54" s="102">
        <f>prodnorm122</f>
        <v>0</v>
      </c>
      <c r="N54" s="37">
        <f>dagwerk122</f>
        <v>0</v>
      </c>
      <c r="O54" s="99" t="s">
        <v>108</v>
      </c>
      <c r="P54" s="24">
        <f>uurtarief122</f>
        <v>0</v>
      </c>
      <c r="Q54" s="101" t="e">
        <f>IF(ISBLANK(M54),0,L54/ROUND(M54,4))</f>
        <v>#DIV/0!</v>
      </c>
      <c r="R54" s="101" t="e">
        <f>IF(ISBLANK(M54),0,Q54*ROUND(N54,2))</f>
        <v>#DIV/0!</v>
      </c>
      <c r="S54" s="24" t="e">
        <f>ROUND(P54,2)*Q54</f>
        <v>#DIV/0!</v>
      </c>
      <c r="T54" s="101" t="e">
        <f>Q54*dagenperjaar3</f>
        <v>#DIV/0!</v>
      </c>
      <c r="U54" s="25" t="e">
        <f>T54*ROUND(P54,2)</f>
        <v>#DIV/0!</v>
      </c>
    </row>
    <row r="55" spans="1:21" x14ac:dyDescent="0.2">
      <c r="A55" s="98" t="s">
        <v>417</v>
      </c>
      <c r="B55" s="99" t="s">
        <v>50</v>
      </c>
      <c r="C55" s="99" t="s">
        <v>452</v>
      </c>
      <c r="D55" s="99" t="s">
        <v>456</v>
      </c>
      <c r="E55" s="100" t="s">
        <v>420</v>
      </c>
      <c r="F55" s="99" t="s">
        <v>348</v>
      </c>
      <c r="G55" s="99" t="s">
        <v>326</v>
      </c>
      <c r="H55" s="99" t="s">
        <v>34</v>
      </c>
      <c r="I55" s="99" t="s">
        <v>246</v>
      </c>
      <c r="J55" s="99"/>
      <c r="K55" s="101">
        <v>16</v>
      </c>
      <c r="L55" s="101">
        <f>K55*VLOOKUP(H55,dagsoorttabel3,2,FALSE)</f>
        <v>12.549019607843137</v>
      </c>
      <c r="M55" s="102">
        <f>prodnorm118</f>
        <v>0</v>
      </c>
      <c r="N55" s="37">
        <f>dagwerk118</f>
        <v>0</v>
      </c>
      <c r="O55" s="99" t="s">
        <v>108</v>
      </c>
      <c r="P55" s="24">
        <f>uurtarief118</f>
        <v>0</v>
      </c>
      <c r="Q55" s="101" t="e">
        <f>IF(ISBLANK(M55),0,L55/ROUND(M55,4))</f>
        <v>#DIV/0!</v>
      </c>
      <c r="R55" s="101" t="e">
        <f>IF(ISBLANK(M55),0,Q55*ROUND(N55,2))</f>
        <v>#DIV/0!</v>
      </c>
      <c r="S55" s="24" t="e">
        <f>ROUND(P55,2)*Q55</f>
        <v>#DIV/0!</v>
      </c>
      <c r="T55" s="101" t="e">
        <f>Q55*dagenperjaar3</f>
        <v>#DIV/0!</v>
      </c>
      <c r="U55" s="25" t="e">
        <f>T55*ROUND(P55,2)</f>
        <v>#DIV/0!</v>
      </c>
    </row>
    <row r="56" spans="1:21" x14ac:dyDescent="0.2">
      <c r="A56" s="98" t="s">
        <v>417</v>
      </c>
      <c r="B56" s="99" t="s">
        <v>50</v>
      </c>
      <c r="C56" s="99" t="s">
        <v>452</v>
      </c>
      <c r="D56" s="99" t="s">
        <v>457</v>
      </c>
      <c r="E56" s="100" t="s">
        <v>420</v>
      </c>
      <c r="F56" s="99" t="s">
        <v>348</v>
      </c>
      <c r="G56" s="99" t="s">
        <v>326</v>
      </c>
      <c r="H56" s="99" t="s">
        <v>34</v>
      </c>
      <c r="I56" s="99" t="s">
        <v>246</v>
      </c>
      <c r="J56" s="99"/>
      <c r="K56" s="101">
        <v>5</v>
      </c>
      <c r="L56" s="101">
        <f>K56*VLOOKUP(H56,dagsoorttabel3,2,FALSE)</f>
        <v>3.9215686274509802</v>
      </c>
      <c r="M56" s="102">
        <f>prodnorm118</f>
        <v>0</v>
      </c>
      <c r="N56" s="37">
        <f>dagwerk118</f>
        <v>0</v>
      </c>
      <c r="O56" s="99" t="s">
        <v>108</v>
      </c>
      <c r="P56" s="24">
        <f>uurtarief118</f>
        <v>0</v>
      </c>
      <c r="Q56" s="101" t="e">
        <f>IF(ISBLANK(M56),0,L56/ROUND(M56,4))</f>
        <v>#DIV/0!</v>
      </c>
      <c r="R56" s="101" t="e">
        <f>IF(ISBLANK(M56),0,Q56*ROUND(N56,2))</f>
        <v>#DIV/0!</v>
      </c>
      <c r="S56" s="24" t="e">
        <f>ROUND(P56,2)*Q56</f>
        <v>#DIV/0!</v>
      </c>
      <c r="T56" s="101" t="e">
        <f>Q56*dagenperjaar3</f>
        <v>#DIV/0!</v>
      </c>
      <c r="U56" s="25" t="e">
        <f>T56*ROUND(P56,2)</f>
        <v>#DIV/0!</v>
      </c>
    </row>
    <row r="57" spans="1:21" x14ac:dyDescent="0.2">
      <c r="A57" s="98" t="s">
        <v>417</v>
      </c>
      <c r="B57" s="99" t="s">
        <v>50</v>
      </c>
      <c r="C57" s="99" t="s">
        <v>452</v>
      </c>
      <c r="D57" s="99" t="s">
        <v>458</v>
      </c>
      <c r="E57" s="100" t="s">
        <v>421</v>
      </c>
      <c r="F57" s="99" t="s">
        <v>348</v>
      </c>
      <c r="G57" s="99" t="s">
        <v>328</v>
      </c>
      <c r="H57" s="99" t="s">
        <v>34</v>
      </c>
      <c r="I57" s="99" t="s">
        <v>246</v>
      </c>
      <c r="J57" s="99"/>
      <c r="K57" s="101">
        <v>61</v>
      </c>
      <c r="L57" s="101">
        <f>K57*VLOOKUP(H57,dagsoorttabel3,2,FALSE)</f>
        <v>47.843137254901961</v>
      </c>
      <c r="M57" s="102">
        <f>prodnorm122</f>
        <v>0</v>
      </c>
      <c r="N57" s="37">
        <f>dagwerk122</f>
        <v>0</v>
      </c>
      <c r="O57" s="99" t="s">
        <v>108</v>
      </c>
      <c r="P57" s="24">
        <f>uurtarief122</f>
        <v>0</v>
      </c>
      <c r="Q57" s="101" t="e">
        <f>IF(ISBLANK(M57),0,L57/ROUND(M57,4))</f>
        <v>#DIV/0!</v>
      </c>
      <c r="R57" s="101" t="e">
        <f>IF(ISBLANK(M57),0,Q57*ROUND(N57,2))</f>
        <v>#DIV/0!</v>
      </c>
      <c r="S57" s="24" t="e">
        <f>ROUND(P57,2)*Q57</f>
        <v>#DIV/0!</v>
      </c>
      <c r="T57" s="101" t="e">
        <f>Q57*dagenperjaar3</f>
        <v>#DIV/0!</v>
      </c>
      <c r="U57" s="25" t="e">
        <f>T57*ROUND(P57,2)</f>
        <v>#DIV/0!</v>
      </c>
    </row>
    <row r="58" spans="1:21" x14ac:dyDescent="0.2">
      <c r="A58" s="98" t="s">
        <v>417</v>
      </c>
      <c r="B58" s="99" t="s">
        <v>50</v>
      </c>
      <c r="C58" s="99" t="s">
        <v>452</v>
      </c>
      <c r="D58" s="99" t="s">
        <v>459</v>
      </c>
      <c r="E58" s="100" t="s">
        <v>460</v>
      </c>
      <c r="F58" s="99" t="s">
        <v>348</v>
      </c>
      <c r="G58" s="99" t="s">
        <v>328</v>
      </c>
      <c r="H58" s="99" t="s">
        <v>34</v>
      </c>
      <c r="I58" s="99" t="s">
        <v>246</v>
      </c>
      <c r="J58" s="99"/>
      <c r="K58" s="101">
        <v>46</v>
      </c>
      <c r="L58" s="101">
        <f>K58*VLOOKUP(H58,dagsoorttabel3,2,FALSE)</f>
        <v>36.078431372549019</v>
      </c>
      <c r="M58" s="102">
        <f>prodnorm122</f>
        <v>0</v>
      </c>
      <c r="N58" s="37">
        <f>dagwerk122</f>
        <v>0</v>
      </c>
      <c r="O58" s="99" t="s">
        <v>108</v>
      </c>
      <c r="P58" s="24">
        <f>uurtarief122</f>
        <v>0</v>
      </c>
      <c r="Q58" s="101" t="e">
        <f>IF(ISBLANK(M58),0,L58/ROUND(M58,4))</f>
        <v>#DIV/0!</v>
      </c>
      <c r="R58" s="101" t="e">
        <f>IF(ISBLANK(M58),0,Q58*ROUND(N58,2))</f>
        <v>#DIV/0!</v>
      </c>
      <c r="S58" s="24" t="e">
        <f>ROUND(P58,2)*Q58</f>
        <v>#DIV/0!</v>
      </c>
      <c r="T58" s="101" t="e">
        <f>Q58*dagenperjaar3</f>
        <v>#DIV/0!</v>
      </c>
      <c r="U58" s="25" t="e">
        <f>T58*ROUND(P58,2)</f>
        <v>#DIV/0!</v>
      </c>
    </row>
    <row r="59" spans="1:21" x14ac:dyDescent="0.2">
      <c r="A59" s="98" t="s">
        <v>417</v>
      </c>
      <c r="B59" s="99" t="s">
        <v>50</v>
      </c>
      <c r="C59" s="99" t="s">
        <v>452</v>
      </c>
      <c r="D59" s="99" t="s">
        <v>461</v>
      </c>
      <c r="E59" s="100" t="s">
        <v>421</v>
      </c>
      <c r="F59" s="99" t="s">
        <v>348</v>
      </c>
      <c r="G59" s="99" t="s">
        <v>328</v>
      </c>
      <c r="H59" s="99" t="s">
        <v>34</v>
      </c>
      <c r="I59" s="99" t="s">
        <v>246</v>
      </c>
      <c r="J59" s="99"/>
      <c r="K59" s="101">
        <v>53.5</v>
      </c>
      <c r="L59" s="101">
        <f>K59*VLOOKUP(H59,dagsoorttabel3,2,FALSE)</f>
        <v>41.96078431372549</v>
      </c>
      <c r="M59" s="102">
        <f>prodnorm122</f>
        <v>0</v>
      </c>
      <c r="N59" s="37">
        <f>dagwerk122</f>
        <v>0</v>
      </c>
      <c r="O59" s="99" t="s">
        <v>108</v>
      </c>
      <c r="P59" s="24">
        <f>uurtarief122</f>
        <v>0</v>
      </c>
      <c r="Q59" s="101" t="e">
        <f>IF(ISBLANK(M59),0,L59/ROUND(M59,4))</f>
        <v>#DIV/0!</v>
      </c>
      <c r="R59" s="101" t="e">
        <f>IF(ISBLANK(M59),0,Q59*ROUND(N59,2))</f>
        <v>#DIV/0!</v>
      </c>
      <c r="S59" s="24" t="e">
        <f>ROUND(P59,2)*Q59</f>
        <v>#DIV/0!</v>
      </c>
      <c r="T59" s="101" t="e">
        <f>Q59*dagenperjaar3</f>
        <v>#DIV/0!</v>
      </c>
      <c r="U59" s="25" t="e">
        <f>T59*ROUND(P59,2)</f>
        <v>#DIV/0!</v>
      </c>
    </row>
    <row r="60" spans="1:21" x14ac:dyDescent="0.2">
      <c r="A60" s="98" t="s">
        <v>417</v>
      </c>
      <c r="B60" s="99" t="s">
        <v>50</v>
      </c>
      <c r="C60" s="99" t="s">
        <v>452</v>
      </c>
      <c r="D60" s="99" t="s">
        <v>462</v>
      </c>
      <c r="E60" s="100" t="s">
        <v>420</v>
      </c>
      <c r="F60" s="99" t="s">
        <v>348</v>
      </c>
      <c r="G60" s="99" t="s">
        <v>326</v>
      </c>
      <c r="H60" s="99" t="s">
        <v>34</v>
      </c>
      <c r="I60" s="99" t="s">
        <v>246</v>
      </c>
      <c r="J60" s="99"/>
      <c r="K60" s="101">
        <v>14</v>
      </c>
      <c r="L60" s="101">
        <f>K60*VLOOKUP(H60,dagsoorttabel3,2,FALSE)</f>
        <v>10.980392156862745</v>
      </c>
      <c r="M60" s="102">
        <f>prodnorm118</f>
        <v>0</v>
      </c>
      <c r="N60" s="37">
        <f>dagwerk118</f>
        <v>0</v>
      </c>
      <c r="O60" s="99" t="s">
        <v>108</v>
      </c>
      <c r="P60" s="24">
        <f>uurtarief118</f>
        <v>0</v>
      </c>
      <c r="Q60" s="101" t="e">
        <f>IF(ISBLANK(M60),0,L60/ROUND(M60,4))</f>
        <v>#DIV/0!</v>
      </c>
      <c r="R60" s="101" t="e">
        <f>IF(ISBLANK(M60),0,Q60*ROUND(N60,2))</f>
        <v>#DIV/0!</v>
      </c>
      <c r="S60" s="24" t="e">
        <f>ROUND(P60,2)*Q60</f>
        <v>#DIV/0!</v>
      </c>
      <c r="T60" s="101" t="e">
        <f>Q60*dagenperjaar3</f>
        <v>#DIV/0!</v>
      </c>
      <c r="U60" s="25" t="e">
        <f>T60*ROUND(P60,2)</f>
        <v>#DIV/0!</v>
      </c>
    </row>
    <row r="61" spans="1:21" x14ac:dyDescent="0.2">
      <c r="A61" s="98" t="s">
        <v>417</v>
      </c>
      <c r="B61" s="99" t="s">
        <v>50</v>
      </c>
      <c r="C61" s="99" t="s">
        <v>452</v>
      </c>
      <c r="D61" s="99" t="s">
        <v>467</v>
      </c>
      <c r="E61" s="100" t="s">
        <v>468</v>
      </c>
      <c r="F61" s="99" t="s">
        <v>423</v>
      </c>
      <c r="G61" s="99" t="s">
        <v>324</v>
      </c>
      <c r="H61" s="99" t="s">
        <v>34</v>
      </c>
      <c r="I61" s="99" t="s">
        <v>246</v>
      </c>
      <c r="J61" s="99"/>
      <c r="K61" s="101">
        <v>61</v>
      </c>
      <c r="L61" s="101">
        <f>K61*VLOOKUP(H61,dagsoorttabel3,2,FALSE)</f>
        <v>47.843137254901961</v>
      </c>
      <c r="M61" s="102">
        <f>prodnorm115</f>
        <v>0</v>
      </c>
      <c r="N61" s="37">
        <f>dagwerk115</f>
        <v>0</v>
      </c>
      <c r="O61" s="99" t="s">
        <v>108</v>
      </c>
      <c r="P61" s="24">
        <f>uurtarief115</f>
        <v>0</v>
      </c>
      <c r="Q61" s="101" t="e">
        <f>IF(ISBLANK(M61),0,L61/ROUND(M61,4))</f>
        <v>#DIV/0!</v>
      </c>
      <c r="R61" s="101" t="e">
        <f>IF(ISBLANK(M61),0,Q61*ROUND(N61,2))</f>
        <v>#DIV/0!</v>
      </c>
      <c r="S61" s="24" t="e">
        <f>ROUND(P61,2)*Q61</f>
        <v>#DIV/0!</v>
      </c>
      <c r="T61" s="101" t="e">
        <f>Q61*dagenperjaar3</f>
        <v>#DIV/0!</v>
      </c>
      <c r="U61" s="25" t="e">
        <f>T61*ROUND(P61,2)</f>
        <v>#DIV/0!</v>
      </c>
    </row>
    <row r="62" spans="1:21" x14ac:dyDescent="0.2">
      <c r="A62" s="98" t="s">
        <v>417</v>
      </c>
      <c r="B62" s="99" t="s">
        <v>50</v>
      </c>
      <c r="C62" s="99" t="s">
        <v>452</v>
      </c>
      <c r="D62" s="99" t="s">
        <v>469</v>
      </c>
      <c r="E62" s="100" t="s">
        <v>468</v>
      </c>
      <c r="F62" s="99" t="s">
        <v>423</v>
      </c>
      <c r="G62" s="99" t="s">
        <v>324</v>
      </c>
      <c r="H62" s="99" t="s">
        <v>34</v>
      </c>
      <c r="I62" s="99" t="s">
        <v>246</v>
      </c>
      <c r="J62" s="99"/>
      <c r="K62" s="101">
        <v>60</v>
      </c>
      <c r="L62" s="101">
        <f>K62*VLOOKUP(H62,dagsoorttabel3,2,FALSE)</f>
        <v>47.058823529411761</v>
      </c>
      <c r="M62" s="102">
        <f>prodnorm115</f>
        <v>0</v>
      </c>
      <c r="N62" s="37">
        <f>dagwerk115</f>
        <v>0</v>
      </c>
      <c r="O62" s="99" t="s">
        <v>108</v>
      </c>
      <c r="P62" s="24">
        <f>uurtarief115</f>
        <v>0</v>
      </c>
      <c r="Q62" s="101" t="e">
        <f>IF(ISBLANK(M62),0,L62/ROUND(M62,4))</f>
        <v>#DIV/0!</v>
      </c>
      <c r="R62" s="101" t="e">
        <f>IF(ISBLANK(M62),0,Q62*ROUND(N62,2))</f>
        <v>#DIV/0!</v>
      </c>
      <c r="S62" s="24" t="e">
        <f>ROUND(P62,2)*Q62</f>
        <v>#DIV/0!</v>
      </c>
      <c r="T62" s="101" t="e">
        <f>Q62*dagenperjaar3</f>
        <v>#DIV/0!</v>
      </c>
      <c r="U62" s="25" t="e">
        <f>T62*ROUND(P62,2)</f>
        <v>#DIV/0!</v>
      </c>
    </row>
    <row r="63" spans="1:21" x14ac:dyDescent="0.2">
      <c r="A63" s="98" t="s">
        <v>417</v>
      </c>
      <c r="B63" s="99" t="s">
        <v>50</v>
      </c>
      <c r="C63" s="99" t="s">
        <v>452</v>
      </c>
      <c r="D63" s="99" t="s">
        <v>470</v>
      </c>
      <c r="E63" s="100" t="s">
        <v>421</v>
      </c>
      <c r="F63" s="99" t="s">
        <v>423</v>
      </c>
      <c r="G63" s="99" t="s">
        <v>328</v>
      </c>
      <c r="H63" s="99" t="s">
        <v>34</v>
      </c>
      <c r="I63" s="99" t="s">
        <v>246</v>
      </c>
      <c r="J63" s="99"/>
      <c r="K63" s="101">
        <v>55</v>
      </c>
      <c r="L63" s="101">
        <f>K63*VLOOKUP(H63,dagsoorttabel3,2,FALSE)</f>
        <v>43.13725490196078</v>
      </c>
      <c r="M63" s="102">
        <f>prodnorm122</f>
        <v>0</v>
      </c>
      <c r="N63" s="37">
        <f>dagwerk122</f>
        <v>0</v>
      </c>
      <c r="O63" s="99" t="s">
        <v>108</v>
      </c>
      <c r="P63" s="24">
        <f>uurtarief122</f>
        <v>0</v>
      </c>
      <c r="Q63" s="101" t="e">
        <f>IF(ISBLANK(M63),0,L63/ROUND(M63,4))</f>
        <v>#DIV/0!</v>
      </c>
      <c r="R63" s="101" t="e">
        <f>IF(ISBLANK(M63),0,Q63*ROUND(N63,2))</f>
        <v>#DIV/0!</v>
      </c>
      <c r="S63" s="24" t="e">
        <f>ROUND(P63,2)*Q63</f>
        <v>#DIV/0!</v>
      </c>
      <c r="T63" s="101" t="e">
        <f>Q63*dagenperjaar3</f>
        <v>#DIV/0!</v>
      </c>
      <c r="U63" s="25" t="e">
        <f>T63*ROUND(P63,2)</f>
        <v>#DIV/0!</v>
      </c>
    </row>
    <row r="64" spans="1:21" x14ac:dyDescent="0.2">
      <c r="A64" s="98" t="s">
        <v>417</v>
      </c>
      <c r="B64" s="99" t="s">
        <v>471</v>
      </c>
      <c r="C64" s="99" t="s">
        <v>345</v>
      </c>
      <c r="D64" s="99" t="s">
        <v>472</v>
      </c>
      <c r="E64" s="100" t="s">
        <v>430</v>
      </c>
      <c r="F64" s="99" t="s">
        <v>423</v>
      </c>
      <c r="G64" s="99" t="s">
        <v>327</v>
      </c>
      <c r="H64" s="99" t="s">
        <v>34</v>
      </c>
      <c r="I64" s="99" t="s">
        <v>246</v>
      </c>
      <c r="J64" s="99"/>
      <c r="K64" s="101">
        <v>15.84</v>
      </c>
      <c r="L64" s="101">
        <f>K64*VLOOKUP(H64,dagsoorttabel3,2,FALSE)</f>
        <v>12.423529411764706</v>
      </c>
      <c r="M64" s="102">
        <f>prodnorm120</f>
        <v>0</v>
      </c>
      <c r="N64" s="37">
        <f>dagwerk120</f>
        <v>0</v>
      </c>
      <c r="O64" s="99" t="s">
        <v>108</v>
      </c>
      <c r="P64" s="24">
        <f>uurtarief120</f>
        <v>0</v>
      </c>
      <c r="Q64" s="101" t="e">
        <f>IF(ISBLANK(M64),0,L64/ROUND(M64,4))</f>
        <v>#DIV/0!</v>
      </c>
      <c r="R64" s="101" t="e">
        <f>IF(ISBLANK(M64),0,Q64*ROUND(N64,2))</f>
        <v>#DIV/0!</v>
      </c>
      <c r="S64" s="24" t="e">
        <f>ROUND(P64,2)*Q64</f>
        <v>#DIV/0!</v>
      </c>
      <c r="T64" s="101" t="e">
        <f>Q64*dagenperjaar3</f>
        <v>#DIV/0!</v>
      </c>
      <c r="U64" s="25" t="e">
        <f>T64*ROUND(P64,2)</f>
        <v>#DIV/0!</v>
      </c>
    </row>
    <row r="65" spans="1:21" x14ac:dyDescent="0.2">
      <c r="A65" s="98" t="s">
        <v>417</v>
      </c>
      <c r="B65" s="99" t="s">
        <v>471</v>
      </c>
      <c r="C65" s="99" t="s">
        <v>345</v>
      </c>
      <c r="D65" s="99" t="s">
        <v>473</v>
      </c>
      <c r="E65" s="100" t="s">
        <v>430</v>
      </c>
      <c r="F65" s="99" t="s">
        <v>423</v>
      </c>
      <c r="G65" s="99" t="s">
        <v>327</v>
      </c>
      <c r="H65" s="99" t="s">
        <v>34</v>
      </c>
      <c r="I65" s="99" t="s">
        <v>246</v>
      </c>
      <c r="J65" s="99"/>
      <c r="K65" s="101">
        <v>15.84</v>
      </c>
      <c r="L65" s="101">
        <f>K65*VLOOKUP(H65,dagsoorttabel3,2,FALSE)</f>
        <v>12.423529411764706</v>
      </c>
      <c r="M65" s="102">
        <f>prodnorm120</f>
        <v>0</v>
      </c>
      <c r="N65" s="37">
        <f>dagwerk120</f>
        <v>0</v>
      </c>
      <c r="O65" s="99" t="s">
        <v>108</v>
      </c>
      <c r="P65" s="24">
        <f>uurtarief120</f>
        <v>0</v>
      </c>
      <c r="Q65" s="101" t="e">
        <f>IF(ISBLANK(M65),0,L65/ROUND(M65,4))</f>
        <v>#DIV/0!</v>
      </c>
      <c r="R65" s="101" t="e">
        <f>IF(ISBLANK(M65),0,Q65*ROUND(N65,2))</f>
        <v>#DIV/0!</v>
      </c>
      <c r="S65" s="24" t="e">
        <f>ROUND(P65,2)*Q65</f>
        <v>#DIV/0!</v>
      </c>
      <c r="T65" s="101" t="e">
        <f>Q65*dagenperjaar3</f>
        <v>#DIV/0!</v>
      </c>
      <c r="U65" s="25" t="e">
        <f>T65*ROUND(P65,2)</f>
        <v>#DIV/0!</v>
      </c>
    </row>
    <row r="66" spans="1:21" x14ac:dyDescent="0.2">
      <c r="A66" s="98" t="s">
        <v>417</v>
      </c>
      <c r="B66" s="99" t="s">
        <v>471</v>
      </c>
      <c r="C66" s="99" t="s">
        <v>452</v>
      </c>
      <c r="D66" s="99" t="s">
        <v>474</v>
      </c>
      <c r="E66" s="100" t="s">
        <v>475</v>
      </c>
      <c r="F66" s="99" t="s">
        <v>423</v>
      </c>
      <c r="G66" s="99" t="s">
        <v>318</v>
      </c>
      <c r="H66" s="99" t="s">
        <v>34</v>
      </c>
      <c r="I66" s="99" t="s">
        <v>246</v>
      </c>
      <c r="J66" s="99"/>
      <c r="K66" s="101">
        <v>88</v>
      </c>
      <c r="L66" s="101">
        <f>K66*VLOOKUP(H66,dagsoorttabel3,2,FALSE)</f>
        <v>69.019607843137251</v>
      </c>
      <c r="M66" s="102">
        <f>prodnorm104</f>
        <v>0</v>
      </c>
      <c r="N66" s="37">
        <f>dagwerk104</f>
        <v>0</v>
      </c>
      <c r="O66" s="99" t="s">
        <v>108</v>
      </c>
      <c r="P66" s="24">
        <f>uurtarief104</f>
        <v>0</v>
      </c>
      <c r="Q66" s="101" t="e">
        <f>IF(ISBLANK(M66),0,L66/ROUND(M66,4))</f>
        <v>#DIV/0!</v>
      </c>
      <c r="R66" s="101" t="e">
        <f>IF(ISBLANK(M66),0,Q66*ROUND(N66,2))</f>
        <v>#DIV/0!</v>
      </c>
      <c r="S66" s="24" t="e">
        <f>ROUND(P66,2)*Q66</f>
        <v>#DIV/0!</v>
      </c>
      <c r="T66" s="101" t="e">
        <f>Q66*dagenperjaar3</f>
        <v>#DIV/0!</v>
      </c>
      <c r="U66" s="25" t="e">
        <f>T66*ROUND(P66,2)</f>
        <v>#DIV/0!</v>
      </c>
    </row>
    <row r="67" spans="1:21" x14ac:dyDescent="0.2">
      <c r="A67" s="98" t="s">
        <v>417</v>
      </c>
      <c r="B67" s="99" t="s">
        <v>471</v>
      </c>
      <c r="C67" s="99" t="s">
        <v>452</v>
      </c>
      <c r="D67" s="99" t="s">
        <v>476</v>
      </c>
      <c r="E67" s="100" t="s">
        <v>477</v>
      </c>
      <c r="F67" s="99" t="s">
        <v>423</v>
      </c>
      <c r="G67" s="99" t="s">
        <v>318</v>
      </c>
      <c r="H67" s="99" t="s">
        <v>34</v>
      </c>
      <c r="I67" s="99" t="s">
        <v>246</v>
      </c>
      <c r="J67" s="99"/>
      <c r="K67" s="101">
        <v>170</v>
      </c>
      <c r="L67" s="101">
        <f>K67*VLOOKUP(H67,dagsoorttabel3,2,FALSE)</f>
        <v>133.33333333333334</v>
      </c>
      <c r="M67" s="102">
        <f>prodnorm104</f>
        <v>0</v>
      </c>
      <c r="N67" s="37">
        <f>dagwerk104</f>
        <v>0</v>
      </c>
      <c r="O67" s="99" t="s">
        <v>108</v>
      </c>
      <c r="P67" s="24">
        <f>uurtarief104</f>
        <v>0</v>
      </c>
      <c r="Q67" s="101" t="e">
        <f>IF(ISBLANK(M67),0,L67/ROUND(M67,4))</f>
        <v>#DIV/0!</v>
      </c>
      <c r="R67" s="101" t="e">
        <f>IF(ISBLANK(M67),0,Q67*ROUND(N67,2))</f>
        <v>#DIV/0!</v>
      </c>
      <c r="S67" s="24" t="e">
        <f>ROUND(P67,2)*Q67</f>
        <v>#DIV/0!</v>
      </c>
      <c r="T67" s="101" t="e">
        <f>Q67*dagenperjaar3</f>
        <v>#DIV/0!</v>
      </c>
      <c r="U67" s="25" t="e">
        <f>T67*ROUND(P67,2)</f>
        <v>#DIV/0!</v>
      </c>
    </row>
    <row r="68" spans="1:21" x14ac:dyDescent="0.2">
      <c r="A68" s="98" t="s">
        <v>417</v>
      </c>
      <c r="B68" s="99" t="s">
        <v>471</v>
      </c>
      <c r="C68" s="99" t="s">
        <v>452</v>
      </c>
      <c r="D68" s="99" t="s">
        <v>478</v>
      </c>
      <c r="E68" s="100" t="s">
        <v>479</v>
      </c>
      <c r="F68" s="99" t="s">
        <v>423</v>
      </c>
      <c r="G68" s="99" t="s">
        <v>318</v>
      </c>
      <c r="H68" s="99" t="s">
        <v>34</v>
      </c>
      <c r="I68" s="99" t="s">
        <v>246</v>
      </c>
      <c r="J68" s="99"/>
      <c r="K68" s="101">
        <v>28</v>
      </c>
      <c r="L68" s="101">
        <f>K68*VLOOKUP(H68,dagsoorttabel3,2,FALSE)</f>
        <v>21.96078431372549</v>
      </c>
      <c r="M68" s="102">
        <f>prodnorm104</f>
        <v>0</v>
      </c>
      <c r="N68" s="37">
        <f>dagwerk104</f>
        <v>0</v>
      </c>
      <c r="O68" s="99" t="s">
        <v>108</v>
      </c>
      <c r="P68" s="24">
        <f>uurtarief104</f>
        <v>0</v>
      </c>
      <c r="Q68" s="101" t="e">
        <f>IF(ISBLANK(M68),0,L68/ROUND(M68,4))</f>
        <v>#DIV/0!</v>
      </c>
      <c r="R68" s="101" t="e">
        <f>IF(ISBLANK(M68),0,Q68*ROUND(N68,2))</f>
        <v>#DIV/0!</v>
      </c>
      <c r="S68" s="24" t="e">
        <f>ROUND(P68,2)*Q68</f>
        <v>#DIV/0!</v>
      </c>
      <c r="T68" s="101" t="e">
        <f>Q68*dagenperjaar3</f>
        <v>#DIV/0!</v>
      </c>
      <c r="U68" s="25" t="e">
        <f>T68*ROUND(P68,2)</f>
        <v>#DIV/0!</v>
      </c>
    </row>
    <row r="69" spans="1:21" x14ac:dyDescent="0.2">
      <c r="A69" s="98" t="s">
        <v>417</v>
      </c>
      <c r="B69" s="99" t="s">
        <v>471</v>
      </c>
      <c r="C69" s="99" t="s">
        <v>452</v>
      </c>
      <c r="D69" s="99" t="s">
        <v>480</v>
      </c>
      <c r="E69" s="100" t="s">
        <v>479</v>
      </c>
      <c r="F69" s="99" t="s">
        <v>423</v>
      </c>
      <c r="G69" s="99" t="s">
        <v>318</v>
      </c>
      <c r="H69" s="99" t="s">
        <v>34</v>
      </c>
      <c r="I69" s="99" t="s">
        <v>246</v>
      </c>
      <c r="J69" s="99"/>
      <c r="K69" s="101">
        <v>16</v>
      </c>
      <c r="L69" s="101">
        <f>K69*VLOOKUP(H69,dagsoorttabel3,2,FALSE)</f>
        <v>12.549019607843137</v>
      </c>
      <c r="M69" s="102">
        <f>prodnorm104</f>
        <v>0</v>
      </c>
      <c r="N69" s="37">
        <f>dagwerk104</f>
        <v>0</v>
      </c>
      <c r="O69" s="99" t="s">
        <v>108</v>
      </c>
      <c r="P69" s="24">
        <f>uurtarief104</f>
        <v>0</v>
      </c>
      <c r="Q69" s="101" t="e">
        <f>IF(ISBLANK(M69),0,L69/ROUND(M69,4))</f>
        <v>#DIV/0!</v>
      </c>
      <c r="R69" s="101" t="e">
        <f>IF(ISBLANK(M69),0,Q69*ROUND(N69,2))</f>
        <v>#DIV/0!</v>
      </c>
      <c r="S69" s="24" t="e">
        <f>ROUND(P69,2)*Q69</f>
        <v>#DIV/0!</v>
      </c>
      <c r="T69" s="101" t="e">
        <f>Q69*dagenperjaar3</f>
        <v>#DIV/0!</v>
      </c>
      <c r="U69" s="25" t="e">
        <f>T69*ROUND(P69,2)</f>
        <v>#DIV/0!</v>
      </c>
    </row>
    <row r="70" spans="1:21" x14ac:dyDescent="0.2">
      <c r="A70" s="98" t="s">
        <v>417</v>
      </c>
      <c r="B70" s="99" t="s">
        <v>471</v>
      </c>
      <c r="C70" s="99" t="s">
        <v>452</v>
      </c>
      <c r="D70" s="99" t="s">
        <v>481</v>
      </c>
      <c r="E70" s="100" t="s">
        <v>454</v>
      </c>
      <c r="F70" s="99" t="s">
        <v>423</v>
      </c>
      <c r="G70" s="99" t="s">
        <v>318</v>
      </c>
      <c r="H70" s="99" t="s">
        <v>34</v>
      </c>
      <c r="I70" s="99" t="s">
        <v>246</v>
      </c>
      <c r="J70" s="99"/>
      <c r="K70" s="101">
        <v>17.5</v>
      </c>
      <c r="L70" s="101">
        <f>K70*VLOOKUP(H70,dagsoorttabel3,2,FALSE)</f>
        <v>13.725490196078431</v>
      </c>
      <c r="M70" s="102">
        <f>prodnorm104</f>
        <v>0</v>
      </c>
      <c r="N70" s="37">
        <f>dagwerk104</f>
        <v>0</v>
      </c>
      <c r="O70" s="99" t="s">
        <v>108</v>
      </c>
      <c r="P70" s="24">
        <f>uurtarief104</f>
        <v>0</v>
      </c>
      <c r="Q70" s="101" t="e">
        <f>IF(ISBLANK(M70),0,L70/ROUND(M70,4))</f>
        <v>#DIV/0!</v>
      </c>
      <c r="R70" s="101" t="e">
        <f>IF(ISBLANK(M70),0,Q70*ROUND(N70,2))</f>
        <v>#DIV/0!</v>
      </c>
      <c r="S70" s="24" t="e">
        <f>ROUND(P70,2)*Q70</f>
        <v>#DIV/0!</v>
      </c>
      <c r="T70" s="101" t="e">
        <f>Q70*dagenperjaar3</f>
        <v>#DIV/0!</v>
      </c>
      <c r="U70" s="25" t="e">
        <f>T70*ROUND(P70,2)</f>
        <v>#DIV/0!</v>
      </c>
    </row>
    <row r="71" spans="1:21" x14ac:dyDescent="0.2">
      <c r="A71" s="98" t="s">
        <v>417</v>
      </c>
      <c r="B71" s="99" t="s">
        <v>471</v>
      </c>
      <c r="C71" s="99" t="s">
        <v>452</v>
      </c>
      <c r="D71" s="99" t="s">
        <v>482</v>
      </c>
      <c r="E71" s="100" t="s">
        <v>421</v>
      </c>
      <c r="F71" s="99" t="s">
        <v>423</v>
      </c>
      <c r="G71" s="99" t="s">
        <v>328</v>
      </c>
      <c r="H71" s="99" t="s">
        <v>34</v>
      </c>
      <c r="I71" s="99" t="s">
        <v>246</v>
      </c>
      <c r="J71" s="99"/>
      <c r="K71" s="101">
        <v>53.260000000000005</v>
      </c>
      <c r="L71" s="101">
        <f>K71*VLOOKUP(H71,dagsoorttabel3,2,FALSE)</f>
        <v>41.772549019607844</v>
      </c>
      <c r="M71" s="102">
        <f>prodnorm122</f>
        <v>0</v>
      </c>
      <c r="N71" s="37">
        <f>dagwerk122</f>
        <v>0</v>
      </c>
      <c r="O71" s="99" t="s">
        <v>108</v>
      </c>
      <c r="P71" s="24">
        <f>uurtarief122</f>
        <v>0</v>
      </c>
      <c r="Q71" s="101" t="e">
        <f>IF(ISBLANK(M71),0,L71/ROUND(M71,4))</f>
        <v>#DIV/0!</v>
      </c>
      <c r="R71" s="101" t="e">
        <f>IF(ISBLANK(M71),0,Q71*ROUND(N71,2))</f>
        <v>#DIV/0!</v>
      </c>
      <c r="S71" s="24" t="e">
        <f>ROUND(P71,2)*Q71</f>
        <v>#DIV/0!</v>
      </c>
      <c r="T71" s="101" t="e">
        <f>Q71*dagenperjaar3</f>
        <v>#DIV/0!</v>
      </c>
      <c r="U71" s="25" t="e">
        <f>T71*ROUND(P71,2)</f>
        <v>#DIV/0!</v>
      </c>
    </row>
    <row r="72" spans="1:21" x14ac:dyDescent="0.2">
      <c r="A72" s="98" t="s">
        <v>417</v>
      </c>
      <c r="B72" s="99" t="s">
        <v>471</v>
      </c>
      <c r="C72" s="99" t="s">
        <v>452</v>
      </c>
      <c r="D72" s="99" t="s">
        <v>483</v>
      </c>
      <c r="E72" s="100" t="s">
        <v>421</v>
      </c>
      <c r="F72" s="99" t="s">
        <v>423</v>
      </c>
      <c r="G72" s="99" t="s">
        <v>328</v>
      </c>
      <c r="H72" s="99" t="s">
        <v>34</v>
      </c>
      <c r="I72" s="99" t="s">
        <v>246</v>
      </c>
      <c r="J72" s="99"/>
      <c r="K72" s="101">
        <v>82</v>
      </c>
      <c r="L72" s="101">
        <f>K72*VLOOKUP(H72,dagsoorttabel3,2,FALSE)</f>
        <v>64.313725490196077</v>
      </c>
      <c r="M72" s="102">
        <f>prodnorm122</f>
        <v>0</v>
      </c>
      <c r="N72" s="37">
        <f>dagwerk122</f>
        <v>0</v>
      </c>
      <c r="O72" s="99" t="s">
        <v>108</v>
      </c>
      <c r="P72" s="24">
        <f>uurtarief122</f>
        <v>0</v>
      </c>
      <c r="Q72" s="101" t="e">
        <f>IF(ISBLANK(M72),0,L72/ROUND(M72,4))</f>
        <v>#DIV/0!</v>
      </c>
      <c r="R72" s="101" t="e">
        <f>IF(ISBLANK(M72),0,Q72*ROUND(N72,2))</f>
        <v>#DIV/0!</v>
      </c>
      <c r="S72" s="24" t="e">
        <f>ROUND(P72,2)*Q72</f>
        <v>#DIV/0!</v>
      </c>
      <c r="T72" s="101" t="e">
        <f>Q72*dagenperjaar3</f>
        <v>#DIV/0!</v>
      </c>
      <c r="U72" s="25" t="e">
        <f>T72*ROUND(P72,2)</f>
        <v>#DIV/0!</v>
      </c>
    </row>
    <row r="73" spans="1:21" x14ac:dyDescent="0.2">
      <c r="A73" s="98" t="s">
        <v>417</v>
      </c>
      <c r="B73" s="99" t="s">
        <v>471</v>
      </c>
      <c r="C73" s="99" t="s">
        <v>452</v>
      </c>
      <c r="D73" s="99" t="s">
        <v>484</v>
      </c>
      <c r="E73" s="100" t="s">
        <v>485</v>
      </c>
      <c r="F73" s="99" t="s">
        <v>423</v>
      </c>
      <c r="G73" s="99" t="s">
        <v>324</v>
      </c>
      <c r="H73" s="99" t="s">
        <v>34</v>
      </c>
      <c r="I73" s="99" t="s">
        <v>246</v>
      </c>
      <c r="J73" s="99"/>
      <c r="K73" s="101">
        <v>52.5</v>
      </c>
      <c r="L73" s="101">
        <f>K73*VLOOKUP(H73,dagsoorttabel3,2,FALSE)</f>
        <v>41.176470588235297</v>
      </c>
      <c r="M73" s="102">
        <f>prodnorm115</f>
        <v>0</v>
      </c>
      <c r="N73" s="37">
        <f>dagwerk115</f>
        <v>0</v>
      </c>
      <c r="O73" s="99" t="s">
        <v>108</v>
      </c>
      <c r="P73" s="24">
        <f>uurtarief115</f>
        <v>0</v>
      </c>
      <c r="Q73" s="101" t="e">
        <f>IF(ISBLANK(M73),0,L73/ROUND(M73,4))</f>
        <v>#DIV/0!</v>
      </c>
      <c r="R73" s="101" t="e">
        <f>IF(ISBLANK(M73),0,Q73*ROUND(N73,2))</f>
        <v>#DIV/0!</v>
      </c>
      <c r="S73" s="24" t="e">
        <f>ROUND(P73,2)*Q73</f>
        <v>#DIV/0!</v>
      </c>
      <c r="T73" s="101" t="e">
        <f>Q73*dagenperjaar3</f>
        <v>#DIV/0!</v>
      </c>
      <c r="U73" s="25" t="e">
        <f>T73*ROUND(P73,2)</f>
        <v>#DIV/0!</v>
      </c>
    </row>
    <row r="74" spans="1:21" x14ac:dyDescent="0.2">
      <c r="A74" s="98" t="s">
        <v>417</v>
      </c>
      <c r="B74" s="99" t="s">
        <v>471</v>
      </c>
      <c r="C74" s="99" t="s">
        <v>452</v>
      </c>
      <c r="D74" s="99" t="s">
        <v>486</v>
      </c>
      <c r="E74" s="100" t="s">
        <v>485</v>
      </c>
      <c r="F74" s="99" t="s">
        <v>423</v>
      </c>
      <c r="G74" s="99" t="s">
        <v>324</v>
      </c>
      <c r="H74" s="99" t="s">
        <v>34</v>
      </c>
      <c r="I74" s="99" t="s">
        <v>246</v>
      </c>
      <c r="J74" s="99"/>
      <c r="K74" s="101">
        <v>56</v>
      </c>
      <c r="L74" s="101">
        <f>K74*VLOOKUP(H74,dagsoorttabel3,2,FALSE)</f>
        <v>43.921568627450981</v>
      </c>
      <c r="M74" s="102">
        <f>prodnorm115</f>
        <v>0</v>
      </c>
      <c r="N74" s="37">
        <f>dagwerk115</f>
        <v>0</v>
      </c>
      <c r="O74" s="99" t="s">
        <v>108</v>
      </c>
      <c r="P74" s="24">
        <f>uurtarief115</f>
        <v>0</v>
      </c>
      <c r="Q74" s="101" t="e">
        <f>IF(ISBLANK(M74),0,L74/ROUND(M74,4))</f>
        <v>#DIV/0!</v>
      </c>
      <c r="R74" s="101" t="e">
        <f>IF(ISBLANK(M74),0,Q74*ROUND(N74,2))</f>
        <v>#DIV/0!</v>
      </c>
      <c r="S74" s="24" t="e">
        <f>ROUND(P74,2)*Q74</f>
        <v>#DIV/0!</v>
      </c>
      <c r="T74" s="101" t="e">
        <f>Q74*dagenperjaar3</f>
        <v>#DIV/0!</v>
      </c>
      <c r="U74" s="25" t="e">
        <f>T74*ROUND(P74,2)</f>
        <v>#DIV/0!</v>
      </c>
    </row>
    <row r="75" spans="1:21" x14ac:dyDescent="0.2">
      <c r="A75" s="98" t="s">
        <v>417</v>
      </c>
      <c r="B75" s="99" t="s">
        <v>471</v>
      </c>
      <c r="C75" s="99" t="s">
        <v>452</v>
      </c>
      <c r="D75" s="99" t="s">
        <v>487</v>
      </c>
      <c r="E75" s="100" t="s">
        <v>485</v>
      </c>
      <c r="F75" s="99" t="s">
        <v>423</v>
      </c>
      <c r="G75" s="99" t="s">
        <v>324</v>
      </c>
      <c r="H75" s="99" t="s">
        <v>34</v>
      </c>
      <c r="I75" s="99" t="s">
        <v>246</v>
      </c>
      <c r="J75" s="99"/>
      <c r="K75" s="101">
        <v>52.5</v>
      </c>
      <c r="L75" s="101">
        <f>K75*VLOOKUP(H75,dagsoorttabel3,2,FALSE)</f>
        <v>41.176470588235297</v>
      </c>
      <c r="M75" s="102">
        <f>prodnorm115</f>
        <v>0</v>
      </c>
      <c r="N75" s="37">
        <f>dagwerk115</f>
        <v>0</v>
      </c>
      <c r="O75" s="99" t="s">
        <v>108</v>
      </c>
      <c r="P75" s="24">
        <f>uurtarief115</f>
        <v>0</v>
      </c>
      <c r="Q75" s="101" t="e">
        <f>IF(ISBLANK(M75),0,L75/ROUND(M75,4))</f>
        <v>#DIV/0!</v>
      </c>
      <c r="R75" s="101" t="e">
        <f>IF(ISBLANK(M75),0,Q75*ROUND(N75,2))</f>
        <v>#DIV/0!</v>
      </c>
      <c r="S75" s="24" t="e">
        <f>ROUND(P75,2)*Q75</f>
        <v>#DIV/0!</v>
      </c>
      <c r="T75" s="101" t="e">
        <f>Q75*dagenperjaar3</f>
        <v>#DIV/0!</v>
      </c>
      <c r="U75" s="25" t="e">
        <f>T75*ROUND(P75,2)</f>
        <v>#DIV/0!</v>
      </c>
    </row>
    <row r="76" spans="1:21" x14ac:dyDescent="0.2">
      <c r="A76" s="98" t="s">
        <v>417</v>
      </c>
      <c r="B76" s="99" t="s">
        <v>471</v>
      </c>
      <c r="C76" s="99" t="s">
        <v>452</v>
      </c>
      <c r="D76" s="99" t="s">
        <v>488</v>
      </c>
      <c r="E76" s="100" t="s">
        <v>489</v>
      </c>
      <c r="F76" s="99" t="s">
        <v>423</v>
      </c>
      <c r="G76" s="99" t="s">
        <v>318</v>
      </c>
      <c r="H76" s="99" t="s">
        <v>34</v>
      </c>
      <c r="I76" s="99" t="s">
        <v>246</v>
      </c>
      <c r="J76" s="99"/>
      <c r="K76" s="101">
        <v>27.3</v>
      </c>
      <c r="L76" s="101">
        <f>K76*VLOOKUP(H76,dagsoorttabel3,2,FALSE)</f>
        <v>21.411764705882351</v>
      </c>
      <c r="M76" s="102">
        <f>prodnorm104</f>
        <v>0</v>
      </c>
      <c r="N76" s="37">
        <f>dagwerk104</f>
        <v>0</v>
      </c>
      <c r="O76" s="99" t="s">
        <v>108</v>
      </c>
      <c r="P76" s="24">
        <f>uurtarief104</f>
        <v>0</v>
      </c>
      <c r="Q76" s="101" t="e">
        <f>IF(ISBLANK(M76),0,L76/ROUND(M76,4))</f>
        <v>#DIV/0!</v>
      </c>
      <c r="R76" s="101" t="e">
        <f>IF(ISBLANK(M76),0,Q76*ROUND(N76,2))</f>
        <v>#DIV/0!</v>
      </c>
      <c r="S76" s="24" t="e">
        <f>ROUND(P76,2)*Q76</f>
        <v>#DIV/0!</v>
      </c>
      <c r="T76" s="101" t="e">
        <f>Q76*dagenperjaar3</f>
        <v>#DIV/0!</v>
      </c>
      <c r="U76" s="25" t="e">
        <f>T76*ROUND(P76,2)</f>
        <v>#DIV/0!</v>
      </c>
    </row>
    <row r="77" spans="1:21" x14ac:dyDescent="0.2">
      <c r="A77" s="98" t="s">
        <v>417</v>
      </c>
      <c r="B77" s="99" t="s">
        <v>471</v>
      </c>
      <c r="C77" s="99" t="s">
        <v>452</v>
      </c>
      <c r="D77" s="99" t="s">
        <v>490</v>
      </c>
      <c r="E77" s="100" t="s">
        <v>420</v>
      </c>
      <c r="F77" s="99" t="s">
        <v>348</v>
      </c>
      <c r="G77" s="99" t="s">
        <v>326</v>
      </c>
      <c r="H77" s="99" t="s">
        <v>34</v>
      </c>
      <c r="I77" s="99" t="s">
        <v>246</v>
      </c>
      <c r="J77" s="99"/>
      <c r="K77" s="101">
        <v>12.92</v>
      </c>
      <c r="L77" s="101">
        <f>K77*VLOOKUP(H77,dagsoorttabel3,2,FALSE)</f>
        <v>10.133333333333333</v>
      </c>
      <c r="M77" s="102">
        <f>prodnorm118</f>
        <v>0</v>
      </c>
      <c r="N77" s="37">
        <f>dagwerk118</f>
        <v>0</v>
      </c>
      <c r="O77" s="99" t="s">
        <v>108</v>
      </c>
      <c r="P77" s="24">
        <f>uurtarief118</f>
        <v>0</v>
      </c>
      <c r="Q77" s="101" t="e">
        <f>IF(ISBLANK(M77),0,L77/ROUND(M77,4))</f>
        <v>#DIV/0!</v>
      </c>
      <c r="R77" s="101" t="e">
        <f>IF(ISBLANK(M77),0,Q77*ROUND(N77,2))</f>
        <v>#DIV/0!</v>
      </c>
      <c r="S77" s="24" t="e">
        <f>ROUND(P77,2)*Q77</f>
        <v>#DIV/0!</v>
      </c>
      <c r="T77" s="101" t="e">
        <f>Q77*dagenperjaar3</f>
        <v>#DIV/0!</v>
      </c>
      <c r="U77" s="25" t="e">
        <f>T77*ROUND(P77,2)</f>
        <v>#DIV/0!</v>
      </c>
    </row>
    <row r="78" spans="1:21" x14ac:dyDescent="0.2">
      <c r="A78" s="98" t="s">
        <v>417</v>
      </c>
      <c r="B78" s="99" t="s">
        <v>471</v>
      </c>
      <c r="C78" s="99" t="s">
        <v>452</v>
      </c>
      <c r="D78" s="99" t="s">
        <v>491</v>
      </c>
      <c r="E78" s="100" t="s">
        <v>492</v>
      </c>
      <c r="F78" s="99" t="s">
        <v>423</v>
      </c>
      <c r="G78" s="99" t="s">
        <v>321</v>
      </c>
      <c r="H78" s="99" t="s">
        <v>34</v>
      </c>
      <c r="I78" s="99" t="s">
        <v>246</v>
      </c>
      <c r="J78" s="99"/>
      <c r="K78" s="101">
        <v>1.54</v>
      </c>
      <c r="L78" s="101">
        <f>K78*VLOOKUP(H78,dagsoorttabel3,2,FALSE)</f>
        <v>1.2078431372549019</v>
      </c>
      <c r="M78" s="102">
        <f>prodnorm110</f>
        <v>0</v>
      </c>
      <c r="N78" s="37">
        <f>dagwerk110</f>
        <v>0</v>
      </c>
      <c r="O78" s="99" t="s">
        <v>108</v>
      </c>
      <c r="P78" s="24">
        <f>uurtarief110</f>
        <v>0</v>
      </c>
      <c r="Q78" s="101" t="e">
        <f>IF(ISBLANK(M78),0,L78/ROUND(M78,4))</f>
        <v>#DIV/0!</v>
      </c>
      <c r="R78" s="101" t="e">
        <f>IF(ISBLANK(M78),0,Q78*ROUND(N78,2))</f>
        <v>#DIV/0!</v>
      </c>
      <c r="S78" s="24" t="e">
        <f>ROUND(P78,2)*Q78</f>
        <v>#DIV/0!</v>
      </c>
      <c r="T78" s="101" t="e">
        <f>Q78*dagenperjaar3</f>
        <v>#DIV/0!</v>
      </c>
      <c r="U78" s="25" t="e">
        <f>T78*ROUND(P78,2)</f>
        <v>#DIV/0!</v>
      </c>
    </row>
    <row r="79" spans="1:21" x14ac:dyDescent="0.2">
      <c r="A79" s="98" t="s">
        <v>417</v>
      </c>
      <c r="B79" s="99" t="s">
        <v>471</v>
      </c>
      <c r="C79" s="99" t="s">
        <v>452</v>
      </c>
      <c r="D79" s="99" t="s">
        <v>493</v>
      </c>
      <c r="E79" s="100" t="s">
        <v>421</v>
      </c>
      <c r="F79" s="99" t="s">
        <v>423</v>
      </c>
      <c r="G79" s="99" t="s">
        <v>328</v>
      </c>
      <c r="H79" s="99" t="s">
        <v>34</v>
      </c>
      <c r="I79" s="99" t="s">
        <v>246</v>
      </c>
      <c r="J79" s="99"/>
      <c r="K79" s="101">
        <v>53.260000000000005</v>
      </c>
      <c r="L79" s="101">
        <f>K79*VLOOKUP(H79,dagsoorttabel3,2,FALSE)</f>
        <v>41.772549019607844</v>
      </c>
      <c r="M79" s="102">
        <f>prodnorm122</f>
        <v>0</v>
      </c>
      <c r="N79" s="37">
        <f>dagwerk122</f>
        <v>0</v>
      </c>
      <c r="O79" s="99" t="s">
        <v>108</v>
      </c>
      <c r="P79" s="24">
        <f>uurtarief122</f>
        <v>0</v>
      </c>
      <c r="Q79" s="101" t="e">
        <f>IF(ISBLANK(M79),0,L79/ROUND(M79,4))</f>
        <v>#DIV/0!</v>
      </c>
      <c r="R79" s="101" t="e">
        <f>IF(ISBLANK(M79),0,Q79*ROUND(N79,2))</f>
        <v>#DIV/0!</v>
      </c>
      <c r="S79" s="24" t="e">
        <f>ROUND(P79,2)*Q79</f>
        <v>#DIV/0!</v>
      </c>
      <c r="T79" s="101" t="e">
        <f>Q79*dagenperjaar3</f>
        <v>#DIV/0!</v>
      </c>
      <c r="U79" s="25" t="e">
        <f>T79*ROUND(P79,2)</f>
        <v>#DIV/0!</v>
      </c>
    </row>
    <row r="80" spans="1:21" x14ac:dyDescent="0.2">
      <c r="A80" s="98" t="s">
        <v>417</v>
      </c>
      <c r="B80" s="99" t="s">
        <v>471</v>
      </c>
      <c r="C80" s="99" t="s">
        <v>452</v>
      </c>
      <c r="D80" s="99" t="s">
        <v>494</v>
      </c>
      <c r="E80" s="100" t="s">
        <v>430</v>
      </c>
      <c r="F80" s="99" t="s">
        <v>423</v>
      </c>
      <c r="G80" s="99" t="s">
        <v>327</v>
      </c>
      <c r="H80" s="99" t="s">
        <v>34</v>
      </c>
      <c r="I80" s="99" t="s">
        <v>246</v>
      </c>
      <c r="J80" s="99"/>
      <c r="K80" s="101">
        <v>15.84</v>
      </c>
      <c r="L80" s="101">
        <f>K80*VLOOKUP(H80,dagsoorttabel3,2,FALSE)</f>
        <v>12.423529411764706</v>
      </c>
      <c r="M80" s="102">
        <f>prodnorm120</f>
        <v>0</v>
      </c>
      <c r="N80" s="37">
        <f>dagwerk120</f>
        <v>0</v>
      </c>
      <c r="O80" s="99" t="s">
        <v>108</v>
      </c>
      <c r="P80" s="24">
        <f>uurtarief120</f>
        <v>0</v>
      </c>
      <c r="Q80" s="101" t="e">
        <f>IF(ISBLANK(M80),0,L80/ROUND(M80,4))</f>
        <v>#DIV/0!</v>
      </c>
      <c r="R80" s="101" t="e">
        <f>IF(ISBLANK(M80),0,Q80*ROUND(N80,2))</f>
        <v>#DIV/0!</v>
      </c>
      <c r="S80" s="24" t="e">
        <f>ROUND(P80,2)*Q80</f>
        <v>#DIV/0!</v>
      </c>
      <c r="T80" s="101" t="e">
        <f>Q80*dagenperjaar3</f>
        <v>#DIV/0!</v>
      </c>
      <c r="U80" s="25" t="e">
        <f>T80*ROUND(P80,2)</f>
        <v>#DIV/0!</v>
      </c>
    </row>
    <row r="81" spans="1:21" x14ac:dyDescent="0.2">
      <c r="A81" s="98" t="s">
        <v>417</v>
      </c>
      <c r="B81" s="99" t="s">
        <v>471</v>
      </c>
      <c r="C81" s="99" t="s">
        <v>452</v>
      </c>
      <c r="D81" s="99" t="s">
        <v>495</v>
      </c>
      <c r="E81" s="100" t="s">
        <v>430</v>
      </c>
      <c r="F81" s="99" t="s">
        <v>423</v>
      </c>
      <c r="G81" s="99" t="s">
        <v>327</v>
      </c>
      <c r="H81" s="99" t="s">
        <v>34</v>
      </c>
      <c r="I81" s="99" t="s">
        <v>246</v>
      </c>
      <c r="J81" s="99"/>
      <c r="K81" s="101">
        <v>15.84</v>
      </c>
      <c r="L81" s="101">
        <f>K81*VLOOKUP(H81,dagsoorttabel3,2,FALSE)</f>
        <v>12.423529411764706</v>
      </c>
      <c r="M81" s="102">
        <f>prodnorm120</f>
        <v>0</v>
      </c>
      <c r="N81" s="37">
        <f>dagwerk120</f>
        <v>0</v>
      </c>
      <c r="O81" s="99" t="s">
        <v>108</v>
      </c>
      <c r="P81" s="24">
        <f>uurtarief120</f>
        <v>0</v>
      </c>
      <c r="Q81" s="101" t="e">
        <f>IF(ISBLANK(M81),0,L81/ROUND(M81,4))</f>
        <v>#DIV/0!</v>
      </c>
      <c r="R81" s="101" t="e">
        <f>IF(ISBLANK(M81),0,Q81*ROUND(N81,2))</f>
        <v>#DIV/0!</v>
      </c>
      <c r="S81" s="24" t="e">
        <f>ROUND(P81,2)*Q81</f>
        <v>#DIV/0!</v>
      </c>
      <c r="T81" s="101" t="e">
        <f>Q81*dagenperjaar3</f>
        <v>#DIV/0!</v>
      </c>
      <c r="U81" s="25" t="e">
        <f>T81*ROUND(P81,2)</f>
        <v>#DIV/0!</v>
      </c>
    </row>
    <row r="82" spans="1:21" x14ac:dyDescent="0.2">
      <c r="A82" s="98" t="s">
        <v>417</v>
      </c>
      <c r="B82" s="99" t="s">
        <v>471</v>
      </c>
      <c r="C82" s="99" t="s">
        <v>496</v>
      </c>
      <c r="D82" s="99" t="s">
        <v>497</v>
      </c>
      <c r="E82" s="100" t="s">
        <v>421</v>
      </c>
      <c r="F82" s="99" t="s">
        <v>423</v>
      </c>
      <c r="G82" s="99" t="s">
        <v>328</v>
      </c>
      <c r="H82" s="99" t="s">
        <v>34</v>
      </c>
      <c r="I82" s="99" t="s">
        <v>246</v>
      </c>
      <c r="J82" s="99"/>
      <c r="K82" s="101">
        <v>46.120000000000005</v>
      </c>
      <c r="L82" s="101">
        <f>K82*VLOOKUP(H82,dagsoorttabel3,2,FALSE)</f>
        <v>36.17254901960785</v>
      </c>
      <c r="M82" s="102">
        <f>prodnorm122</f>
        <v>0</v>
      </c>
      <c r="N82" s="37">
        <f>dagwerk122</f>
        <v>0</v>
      </c>
      <c r="O82" s="99" t="s">
        <v>108</v>
      </c>
      <c r="P82" s="24">
        <f>uurtarief122</f>
        <v>0</v>
      </c>
      <c r="Q82" s="101" t="e">
        <f>IF(ISBLANK(M82),0,L82/ROUND(M82,4))</f>
        <v>#DIV/0!</v>
      </c>
      <c r="R82" s="101" t="e">
        <f>IF(ISBLANK(M82),0,Q82*ROUND(N82,2))</f>
        <v>#DIV/0!</v>
      </c>
      <c r="S82" s="24" t="e">
        <f>ROUND(P82,2)*Q82</f>
        <v>#DIV/0!</v>
      </c>
      <c r="T82" s="101" t="e">
        <f>Q82*dagenperjaar3</f>
        <v>#DIV/0!</v>
      </c>
      <c r="U82" s="25" t="e">
        <f>T82*ROUND(P82,2)</f>
        <v>#DIV/0!</v>
      </c>
    </row>
    <row r="83" spans="1:21" x14ac:dyDescent="0.2">
      <c r="A83" s="98" t="s">
        <v>417</v>
      </c>
      <c r="B83" s="99" t="s">
        <v>471</v>
      </c>
      <c r="C83" s="99" t="s">
        <v>496</v>
      </c>
      <c r="D83" s="99" t="s">
        <v>498</v>
      </c>
      <c r="E83" s="100" t="s">
        <v>485</v>
      </c>
      <c r="F83" s="99" t="s">
        <v>423</v>
      </c>
      <c r="G83" s="99" t="s">
        <v>324</v>
      </c>
      <c r="H83" s="99" t="s">
        <v>34</v>
      </c>
      <c r="I83" s="99" t="s">
        <v>246</v>
      </c>
      <c r="J83" s="99"/>
      <c r="K83" s="101">
        <v>52.5</v>
      </c>
      <c r="L83" s="101">
        <f>K83*VLOOKUP(H83,dagsoorttabel3,2,FALSE)</f>
        <v>41.176470588235297</v>
      </c>
      <c r="M83" s="102">
        <f>prodnorm115</f>
        <v>0</v>
      </c>
      <c r="N83" s="37">
        <f>dagwerk115</f>
        <v>0</v>
      </c>
      <c r="O83" s="99" t="s">
        <v>108</v>
      </c>
      <c r="P83" s="24">
        <f>uurtarief115</f>
        <v>0</v>
      </c>
      <c r="Q83" s="101" t="e">
        <f>IF(ISBLANK(M83),0,L83/ROUND(M83,4))</f>
        <v>#DIV/0!</v>
      </c>
      <c r="R83" s="101" t="e">
        <f>IF(ISBLANK(M83),0,Q83*ROUND(N83,2))</f>
        <v>#DIV/0!</v>
      </c>
      <c r="S83" s="24" t="e">
        <f>ROUND(P83,2)*Q83</f>
        <v>#DIV/0!</v>
      </c>
      <c r="T83" s="101" t="e">
        <f>Q83*dagenperjaar3</f>
        <v>#DIV/0!</v>
      </c>
      <c r="U83" s="25" t="e">
        <f>T83*ROUND(P83,2)</f>
        <v>#DIV/0!</v>
      </c>
    </row>
    <row r="84" spans="1:21" x14ac:dyDescent="0.2">
      <c r="A84" s="98" t="s">
        <v>417</v>
      </c>
      <c r="B84" s="99" t="s">
        <v>471</v>
      </c>
      <c r="C84" s="99" t="s">
        <v>496</v>
      </c>
      <c r="D84" s="99" t="s">
        <v>499</v>
      </c>
      <c r="E84" s="100" t="s">
        <v>485</v>
      </c>
      <c r="F84" s="99" t="s">
        <v>423</v>
      </c>
      <c r="G84" s="99" t="s">
        <v>324</v>
      </c>
      <c r="H84" s="99" t="s">
        <v>34</v>
      </c>
      <c r="I84" s="99" t="s">
        <v>246</v>
      </c>
      <c r="J84" s="99"/>
      <c r="K84" s="101">
        <v>56</v>
      </c>
      <c r="L84" s="101">
        <f>K84*VLOOKUP(H84,dagsoorttabel3,2,FALSE)</f>
        <v>43.921568627450981</v>
      </c>
      <c r="M84" s="102">
        <f>prodnorm115</f>
        <v>0</v>
      </c>
      <c r="N84" s="37">
        <f>dagwerk115</f>
        <v>0</v>
      </c>
      <c r="O84" s="99" t="s">
        <v>108</v>
      </c>
      <c r="P84" s="24">
        <f>uurtarief115</f>
        <v>0</v>
      </c>
      <c r="Q84" s="101" t="e">
        <f>IF(ISBLANK(M84),0,L84/ROUND(M84,4))</f>
        <v>#DIV/0!</v>
      </c>
      <c r="R84" s="101" t="e">
        <f>IF(ISBLANK(M84),0,Q84*ROUND(N84,2))</f>
        <v>#DIV/0!</v>
      </c>
      <c r="S84" s="24" t="e">
        <f>ROUND(P84,2)*Q84</f>
        <v>#DIV/0!</v>
      </c>
      <c r="T84" s="101" t="e">
        <f>Q84*dagenperjaar3</f>
        <v>#DIV/0!</v>
      </c>
      <c r="U84" s="25" t="e">
        <f>T84*ROUND(P84,2)</f>
        <v>#DIV/0!</v>
      </c>
    </row>
    <row r="85" spans="1:21" x14ac:dyDescent="0.2">
      <c r="A85" s="98" t="s">
        <v>417</v>
      </c>
      <c r="B85" s="99" t="s">
        <v>471</v>
      </c>
      <c r="C85" s="99" t="s">
        <v>496</v>
      </c>
      <c r="D85" s="99" t="s">
        <v>500</v>
      </c>
      <c r="E85" s="100" t="s">
        <v>485</v>
      </c>
      <c r="F85" s="99" t="s">
        <v>423</v>
      </c>
      <c r="G85" s="99" t="s">
        <v>324</v>
      </c>
      <c r="H85" s="99" t="s">
        <v>34</v>
      </c>
      <c r="I85" s="99" t="s">
        <v>246</v>
      </c>
      <c r="J85" s="99"/>
      <c r="K85" s="101">
        <v>52.5</v>
      </c>
      <c r="L85" s="101">
        <f>K85*VLOOKUP(H85,dagsoorttabel3,2,FALSE)</f>
        <v>41.176470588235297</v>
      </c>
      <c r="M85" s="102">
        <f>prodnorm115</f>
        <v>0</v>
      </c>
      <c r="N85" s="37">
        <f>dagwerk115</f>
        <v>0</v>
      </c>
      <c r="O85" s="99" t="s">
        <v>108</v>
      </c>
      <c r="P85" s="24">
        <f>uurtarief115</f>
        <v>0</v>
      </c>
      <c r="Q85" s="101" t="e">
        <f>IF(ISBLANK(M85),0,L85/ROUND(M85,4))</f>
        <v>#DIV/0!</v>
      </c>
      <c r="R85" s="101" t="e">
        <f>IF(ISBLANK(M85),0,Q85*ROUND(N85,2))</f>
        <v>#DIV/0!</v>
      </c>
      <c r="S85" s="24" t="e">
        <f>ROUND(P85,2)*Q85</f>
        <v>#DIV/0!</v>
      </c>
      <c r="T85" s="101" t="e">
        <f>Q85*dagenperjaar3</f>
        <v>#DIV/0!</v>
      </c>
      <c r="U85" s="25" t="e">
        <f>T85*ROUND(P85,2)</f>
        <v>#DIV/0!</v>
      </c>
    </row>
    <row r="86" spans="1:21" x14ac:dyDescent="0.2">
      <c r="A86" s="98" t="s">
        <v>417</v>
      </c>
      <c r="B86" s="99" t="s">
        <v>471</v>
      </c>
      <c r="C86" s="99" t="s">
        <v>496</v>
      </c>
      <c r="D86" s="99" t="s">
        <v>501</v>
      </c>
      <c r="E86" s="100" t="s">
        <v>489</v>
      </c>
      <c r="F86" s="99" t="s">
        <v>423</v>
      </c>
      <c r="G86" s="99" t="s">
        <v>318</v>
      </c>
      <c r="H86" s="99" t="s">
        <v>34</v>
      </c>
      <c r="I86" s="99" t="s">
        <v>246</v>
      </c>
      <c r="J86" s="99"/>
      <c r="K86" s="101">
        <v>27.3</v>
      </c>
      <c r="L86" s="101">
        <f>K86*VLOOKUP(H86,dagsoorttabel3,2,FALSE)</f>
        <v>21.411764705882351</v>
      </c>
      <c r="M86" s="102">
        <f>prodnorm104</f>
        <v>0</v>
      </c>
      <c r="N86" s="37">
        <f>dagwerk104</f>
        <v>0</v>
      </c>
      <c r="O86" s="99" t="s">
        <v>108</v>
      </c>
      <c r="P86" s="24">
        <f>uurtarief104</f>
        <v>0</v>
      </c>
      <c r="Q86" s="101" t="e">
        <f>IF(ISBLANK(M86),0,L86/ROUND(M86,4))</f>
        <v>#DIV/0!</v>
      </c>
      <c r="R86" s="101" t="e">
        <f>IF(ISBLANK(M86),0,Q86*ROUND(N86,2))</f>
        <v>#DIV/0!</v>
      </c>
      <c r="S86" s="24" t="e">
        <f>ROUND(P86,2)*Q86</f>
        <v>#DIV/0!</v>
      </c>
      <c r="T86" s="101" t="e">
        <f>Q86*dagenperjaar3</f>
        <v>#DIV/0!</v>
      </c>
      <c r="U86" s="25" t="e">
        <f>T86*ROUND(P86,2)</f>
        <v>#DIV/0!</v>
      </c>
    </row>
    <row r="87" spans="1:21" x14ac:dyDescent="0.2">
      <c r="A87" s="98" t="s">
        <v>417</v>
      </c>
      <c r="B87" s="99" t="s">
        <v>471</v>
      </c>
      <c r="C87" s="99" t="s">
        <v>496</v>
      </c>
      <c r="D87" s="99" t="s">
        <v>502</v>
      </c>
      <c r="E87" s="100" t="s">
        <v>420</v>
      </c>
      <c r="F87" s="99" t="s">
        <v>348</v>
      </c>
      <c r="G87" s="99" t="s">
        <v>326</v>
      </c>
      <c r="H87" s="99" t="s">
        <v>34</v>
      </c>
      <c r="I87" s="99" t="s">
        <v>246</v>
      </c>
      <c r="J87" s="99"/>
      <c r="K87" s="101">
        <v>12.92</v>
      </c>
      <c r="L87" s="101">
        <f>K87*VLOOKUP(H87,dagsoorttabel3,2,FALSE)</f>
        <v>10.133333333333333</v>
      </c>
      <c r="M87" s="102">
        <f>prodnorm118</f>
        <v>0</v>
      </c>
      <c r="N87" s="37">
        <f>dagwerk118</f>
        <v>0</v>
      </c>
      <c r="O87" s="99" t="s">
        <v>108</v>
      </c>
      <c r="P87" s="24">
        <f>uurtarief118</f>
        <v>0</v>
      </c>
      <c r="Q87" s="101" t="e">
        <f>IF(ISBLANK(M87),0,L87/ROUND(M87,4))</f>
        <v>#DIV/0!</v>
      </c>
      <c r="R87" s="101" t="e">
        <f>IF(ISBLANK(M87),0,Q87*ROUND(N87,2))</f>
        <v>#DIV/0!</v>
      </c>
      <c r="S87" s="24" t="e">
        <f>ROUND(P87,2)*Q87</f>
        <v>#DIV/0!</v>
      </c>
      <c r="T87" s="101" t="e">
        <f>Q87*dagenperjaar3</f>
        <v>#DIV/0!</v>
      </c>
      <c r="U87" s="25" t="e">
        <f>T87*ROUND(P87,2)</f>
        <v>#DIV/0!</v>
      </c>
    </row>
    <row r="88" spans="1:21" x14ac:dyDescent="0.2">
      <c r="A88" s="98" t="s">
        <v>417</v>
      </c>
      <c r="B88" s="99" t="s">
        <v>471</v>
      </c>
      <c r="C88" s="99" t="s">
        <v>496</v>
      </c>
      <c r="D88" s="99" t="s">
        <v>503</v>
      </c>
      <c r="E88" s="100" t="s">
        <v>430</v>
      </c>
      <c r="F88" s="99" t="s">
        <v>423</v>
      </c>
      <c r="G88" s="99" t="s">
        <v>327</v>
      </c>
      <c r="H88" s="99" t="s">
        <v>34</v>
      </c>
      <c r="I88" s="99" t="s">
        <v>246</v>
      </c>
      <c r="J88" s="99"/>
      <c r="K88" s="101">
        <v>15.84</v>
      </c>
      <c r="L88" s="101">
        <f>K88*VLOOKUP(H88,dagsoorttabel3,2,FALSE)</f>
        <v>12.423529411764706</v>
      </c>
      <c r="M88" s="102">
        <f>prodnorm120</f>
        <v>0</v>
      </c>
      <c r="N88" s="37">
        <f>dagwerk120</f>
        <v>0</v>
      </c>
      <c r="O88" s="99" t="s">
        <v>108</v>
      </c>
      <c r="P88" s="24">
        <f>uurtarief120</f>
        <v>0</v>
      </c>
      <c r="Q88" s="101" t="e">
        <f>IF(ISBLANK(M88),0,L88/ROUND(M88,4))</f>
        <v>#DIV/0!</v>
      </c>
      <c r="R88" s="101" t="e">
        <f>IF(ISBLANK(M88),0,Q88*ROUND(N88,2))</f>
        <v>#DIV/0!</v>
      </c>
      <c r="S88" s="24" t="e">
        <f>ROUND(P88,2)*Q88</f>
        <v>#DIV/0!</v>
      </c>
      <c r="T88" s="101" t="e">
        <f>Q88*dagenperjaar3</f>
        <v>#DIV/0!</v>
      </c>
      <c r="U88" s="25" t="e">
        <f>T88*ROUND(P88,2)</f>
        <v>#DIV/0!</v>
      </c>
    </row>
    <row r="89" spans="1:21" x14ac:dyDescent="0.2">
      <c r="A89" s="98" t="s">
        <v>417</v>
      </c>
      <c r="B89" s="99" t="s">
        <v>471</v>
      </c>
      <c r="C89" s="99" t="s">
        <v>496</v>
      </c>
      <c r="D89" s="99" t="s">
        <v>504</v>
      </c>
      <c r="E89" s="100" t="s">
        <v>430</v>
      </c>
      <c r="F89" s="99" t="s">
        <v>423</v>
      </c>
      <c r="G89" s="99" t="s">
        <v>327</v>
      </c>
      <c r="H89" s="99" t="s">
        <v>34</v>
      </c>
      <c r="I89" s="99" t="s">
        <v>246</v>
      </c>
      <c r="J89" s="99"/>
      <c r="K89" s="101">
        <v>15.84</v>
      </c>
      <c r="L89" s="101">
        <f>K89*VLOOKUP(H89,dagsoorttabel3,2,FALSE)</f>
        <v>12.423529411764706</v>
      </c>
      <c r="M89" s="102">
        <f>prodnorm120</f>
        <v>0</v>
      </c>
      <c r="N89" s="37">
        <f>dagwerk120</f>
        <v>0</v>
      </c>
      <c r="O89" s="99" t="s">
        <v>108</v>
      </c>
      <c r="P89" s="24">
        <f>uurtarief120</f>
        <v>0</v>
      </c>
      <c r="Q89" s="101" t="e">
        <f>IF(ISBLANK(M89),0,L89/ROUND(M89,4))</f>
        <v>#DIV/0!</v>
      </c>
      <c r="R89" s="101" t="e">
        <f>IF(ISBLANK(M89),0,Q89*ROUND(N89,2))</f>
        <v>#DIV/0!</v>
      </c>
      <c r="S89" s="24" t="e">
        <f>ROUND(P89,2)*Q89</f>
        <v>#DIV/0!</v>
      </c>
      <c r="T89" s="101" t="e">
        <f>Q89*dagenperjaar3</f>
        <v>#DIV/0!</v>
      </c>
      <c r="U89" s="25" t="e">
        <f>T89*ROUND(P89,2)</f>
        <v>#DIV/0!</v>
      </c>
    </row>
    <row r="90" spans="1:21" x14ac:dyDescent="0.2">
      <c r="A90" s="98" t="s">
        <v>417</v>
      </c>
      <c r="B90" s="99" t="s">
        <v>471</v>
      </c>
      <c r="C90" s="99" t="s">
        <v>505</v>
      </c>
      <c r="D90" s="99" t="s">
        <v>506</v>
      </c>
      <c r="E90" s="100" t="s">
        <v>454</v>
      </c>
      <c r="F90" s="99" t="s">
        <v>423</v>
      </c>
      <c r="G90" s="99" t="s">
        <v>318</v>
      </c>
      <c r="H90" s="99" t="s">
        <v>34</v>
      </c>
      <c r="I90" s="99" t="s">
        <v>246</v>
      </c>
      <c r="J90" s="99"/>
      <c r="K90" s="101">
        <v>30.8</v>
      </c>
      <c r="L90" s="101">
        <f>K90*VLOOKUP(H90,dagsoorttabel3,2,FALSE)</f>
        <v>24.156862745098039</v>
      </c>
      <c r="M90" s="102">
        <f>prodnorm104</f>
        <v>0</v>
      </c>
      <c r="N90" s="37">
        <f>dagwerk104</f>
        <v>0</v>
      </c>
      <c r="O90" s="99" t="s">
        <v>108</v>
      </c>
      <c r="P90" s="24">
        <f>uurtarief104</f>
        <v>0</v>
      </c>
      <c r="Q90" s="101" t="e">
        <f>IF(ISBLANK(M90),0,L90/ROUND(M90,4))</f>
        <v>#DIV/0!</v>
      </c>
      <c r="R90" s="101" t="e">
        <f>IF(ISBLANK(M90),0,Q90*ROUND(N90,2))</f>
        <v>#DIV/0!</v>
      </c>
      <c r="S90" s="24" t="e">
        <f>ROUND(P90,2)*Q90</f>
        <v>#DIV/0!</v>
      </c>
      <c r="T90" s="101" t="e">
        <f>Q90*dagenperjaar3</f>
        <v>#DIV/0!</v>
      </c>
      <c r="U90" s="25" t="e">
        <f>T90*ROUND(P90,2)</f>
        <v>#DIV/0!</v>
      </c>
    </row>
    <row r="91" spans="1:21" x14ac:dyDescent="0.2">
      <c r="A91" s="98" t="s">
        <v>417</v>
      </c>
      <c r="B91" s="99" t="s">
        <v>471</v>
      </c>
      <c r="C91" s="99" t="s">
        <v>505</v>
      </c>
      <c r="D91" s="99" t="s">
        <v>507</v>
      </c>
      <c r="E91" s="100" t="s">
        <v>396</v>
      </c>
      <c r="F91" s="99" t="s">
        <v>423</v>
      </c>
      <c r="G91" s="99" t="s">
        <v>318</v>
      </c>
      <c r="H91" s="99" t="s">
        <v>34</v>
      </c>
      <c r="I91" s="99" t="s">
        <v>246</v>
      </c>
      <c r="J91" s="99"/>
      <c r="K91" s="101">
        <v>18.899999999999999</v>
      </c>
      <c r="L91" s="101">
        <f>K91*VLOOKUP(H91,dagsoorttabel3,2,FALSE)</f>
        <v>14.823529411764705</v>
      </c>
      <c r="M91" s="102">
        <f>prodnorm104</f>
        <v>0</v>
      </c>
      <c r="N91" s="37">
        <f>dagwerk104</f>
        <v>0</v>
      </c>
      <c r="O91" s="99" t="s">
        <v>108</v>
      </c>
      <c r="P91" s="24">
        <f>uurtarief104</f>
        <v>0</v>
      </c>
      <c r="Q91" s="101" t="e">
        <f>IF(ISBLANK(M91),0,L91/ROUND(M91,4))</f>
        <v>#DIV/0!</v>
      </c>
      <c r="R91" s="101" t="e">
        <f>IF(ISBLANK(M91),0,Q91*ROUND(N91,2))</f>
        <v>#DIV/0!</v>
      </c>
      <c r="S91" s="24" t="e">
        <f>ROUND(P91,2)*Q91</f>
        <v>#DIV/0!</v>
      </c>
      <c r="T91" s="101" t="e">
        <f>Q91*dagenperjaar3</f>
        <v>#DIV/0!</v>
      </c>
      <c r="U91" s="25" t="e">
        <f>T91*ROUND(P91,2)</f>
        <v>#DIV/0!</v>
      </c>
    </row>
    <row r="92" spans="1:21" x14ac:dyDescent="0.2">
      <c r="A92" s="98" t="s">
        <v>417</v>
      </c>
      <c r="B92" s="99" t="s">
        <v>471</v>
      </c>
      <c r="C92" s="99" t="s">
        <v>505</v>
      </c>
      <c r="D92" s="99" t="s">
        <v>508</v>
      </c>
      <c r="E92" s="100" t="s">
        <v>396</v>
      </c>
      <c r="F92" s="99" t="s">
        <v>423</v>
      </c>
      <c r="G92" s="99" t="s">
        <v>318</v>
      </c>
      <c r="H92" s="99" t="s">
        <v>34</v>
      </c>
      <c r="I92" s="99" t="s">
        <v>246</v>
      </c>
      <c r="J92" s="99"/>
      <c r="K92" s="101">
        <v>18.899999999999999</v>
      </c>
      <c r="L92" s="101">
        <f>K92*VLOOKUP(H92,dagsoorttabel3,2,FALSE)</f>
        <v>14.823529411764705</v>
      </c>
      <c r="M92" s="102">
        <f>prodnorm104</f>
        <v>0</v>
      </c>
      <c r="N92" s="37">
        <f>dagwerk104</f>
        <v>0</v>
      </c>
      <c r="O92" s="99" t="s">
        <v>108</v>
      </c>
      <c r="P92" s="24">
        <f>uurtarief104</f>
        <v>0</v>
      </c>
      <c r="Q92" s="101" t="e">
        <f>IF(ISBLANK(M92),0,L92/ROUND(M92,4))</f>
        <v>#DIV/0!</v>
      </c>
      <c r="R92" s="101" t="e">
        <f>IF(ISBLANK(M92),0,Q92*ROUND(N92,2))</f>
        <v>#DIV/0!</v>
      </c>
      <c r="S92" s="24" t="e">
        <f>ROUND(P92,2)*Q92</f>
        <v>#DIV/0!</v>
      </c>
      <c r="T92" s="101" t="e">
        <f>Q92*dagenperjaar3</f>
        <v>#DIV/0!</v>
      </c>
      <c r="U92" s="25" t="e">
        <f>T92*ROUND(P92,2)</f>
        <v>#DIV/0!</v>
      </c>
    </row>
    <row r="93" spans="1:21" x14ac:dyDescent="0.2">
      <c r="A93" s="98" t="s">
        <v>417</v>
      </c>
      <c r="B93" s="99" t="s">
        <v>471</v>
      </c>
      <c r="C93" s="99" t="s">
        <v>505</v>
      </c>
      <c r="D93" s="99" t="s">
        <v>509</v>
      </c>
      <c r="E93" s="100" t="s">
        <v>396</v>
      </c>
      <c r="F93" s="99" t="s">
        <v>423</v>
      </c>
      <c r="G93" s="99" t="s">
        <v>318</v>
      </c>
      <c r="H93" s="99" t="s">
        <v>34</v>
      </c>
      <c r="I93" s="99" t="s">
        <v>246</v>
      </c>
      <c r="J93" s="99"/>
      <c r="K93" s="101">
        <v>18.899999999999999</v>
      </c>
      <c r="L93" s="101">
        <f>K93*VLOOKUP(H93,dagsoorttabel3,2,FALSE)</f>
        <v>14.823529411764705</v>
      </c>
      <c r="M93" s="102">
        <f>prodnorm104</f>
        <v>0</v>
      </c>
      <c r="N93" s="37">
        <f>dagwerk104</f>
        <v>0</v>
      </c>
      <c r="O93" s="99" t="s">
        <v>108</v>
      </c>
      <c r="P93" s="24">
        <f>uurtarief104</f>
        <v>0</v>
      </c>
      <c r="Q93" s="101" t="e">
        <f>IF(ISBLANK(M93),0,L93/ROUND(M93,4))</f>
        <v>#DIV/0!</v>
      </c>
      <c r="R93" s="101" t="e">
        <f>IF(ISBLANK(M93),0,Q93*ROUND(N93,2))</f>
        <v>#DIV/0!</v>
      </c>
      <c r="S93" s="24" t="e">
        <f>ROUND(P93,2)*Q93</f>
        <v>#DIV/0!</v>
      </c>
      <c r="T93" s="101" t="e">
        <f>Q93*dagenperjaar3</f>
        <v>#DIV/0!</v>
      </c>
      <c r="U93" s="25" t="e">
        <f>T93*ROUND(P93,2)</f>
        <v>#DIV/0!</v>
      </c>
    </row>
    <row r="94" spans="1:21" x14ac:dyDescent="0.2">
      <c r="A94" s="98" t="s">
        <v>417</v>
      </c>
      <c r="B94" s="99" t="s">
        <v>471</v>
      </c>
      <c r="C94" s="99" t="s">
        <v>505</v>
      </c>
      <c r="D94" s="99" t="s">
        <v>510</v>
      </c>
      <c r="E94" s="100" t="s">
        <v>396</v>
      </c>
      <c r="F94" s="99" t="s">
        <v>423</v>
      </c>
      <c r="G94" s="99" t="s">
        <v>318</v>
      </c>
      <c r="H94" s="99" t="s">
        <v>34</v>
      </c>
      <c r="I94" s="99" t="s">
        <v>246</v>
      </c>
      <c r="J94" s="99"/>
      <c r="K94" s="101">
        <v>38.5</v>
      </c>
      <c r="L94" s="101">
        <f>K94*VLOOKUP(H94,dagsoorttabel3,2,FALSE)</f>
        <v>30.196078431372548</v>
      </c>
      <c r="M94" s="102">
        <f>prodnorm104</f>
        <v>0</v>
      </c>
      <c r="N94" s="37">
        <f>dagwerk104</f>
        <v>0</v>
      </c>
      <c r="O94" s="99" t="s">
        <v>108</v>
      </c>
      <c r="P94" s="24">
        <f>uurtarief104</f>
        <v>0</v>
      </c>
      <c r="Q94" s="101" t="e">
        <f>IF(ISBLANK(M94),0,L94/ROUND(M94,4))</f>
        <v>#DIV/0!</v>
      </c>
      <c r="R94" s="101" t="e">
        <f>IF(ISBLANK(M94),0,Q94*ROUND(N94,2))</f>
        <v>#DIV/0!</v>
      </c>
      <c r="S94" s="24" t="e">
        <f>ROUND(P94,2)*Q94</f>
        <v>#DIV/0!</v>
      </c>
      <c r="T94" s="101" t="e">
        <f>Q94*dagenperjaar3</f>
        <v>#DIV/0!</v>
      </c>
      <c r="U94" s="25" t="e">
        <f>T94*ROUND(P94,2)</f>
        <v>#DIV/0!</v>
      </c>
    </row>
    <row r="95" spans="1:21" x14ac:dyDescent="0.2">
      <c r="A95" s="98" t="s">
        <v>417</v>
      </c>
      <c r="B95" s="99" t="s">
        <v>471</v>
      </c>
      <c r="C95" s="99" t="s">
        <v>505</v>
      </c>
      <c r="D95" s="99" t="s">
        <v>511</v>
      </c>
      <c r="E95" s="100" t="s">
        <v>512</v>
      </c>
      <c r="F95" s="99" t="s">
        <v>423</v>
      </c>
      <c r="G95" s="99" t="s">
        <v>318</v>
      </c>
      <c r="H95" s="99" t="s">
        <v>34</v>
      </c>
      <c r="I95" s="99" t="s">
        <v>246</v>
      </c>
      <c r="J95" s="99"/>
      <c r="K95" s="101">
        <v>53.2</v>
      </c>
      <c r="L95" s="101">
        <f>K95*VLOOKUP(H95,dagsoorttabel3,2,FALSE)</f>
        <v>41.725490196078432</v>
      </c>
      <c r="M95" s="102">
        <f>prodnorm104</f>
        <v>0</v>
      </c>
      <c r="N95" s="37">
        <f>dagwerk104</f>
        <v>0</v>
      </c>
      <c r="O95" s="99" t="s">
        <v>108</v>
      </c>
      <c r="P95" s="24">
        <f>uurtarief104</f>
        <v>0</v>
      </c>
      <c r="Q95" s="101" t="e">
        <f>IF(ISBLANK(M95),0,L95/ROUND(M95,4))</f>
        <v>#DIV/0!</v>
      </c>
      <c r="R95" s="101" t="e">
        <f>IF(ISBLANK(M95),0,Q95*ROUND(N95,2))</f>
        <v>#DIV/0!</v>
      </c>
      <c r="S95" s="24" t="e">
        <f>ROUND(P95,2)*Q95</f>
        <v>#DIV/0!</v>
      </c>
      <c r="T95" s="101" t="e">
        <f>Q95*dagenperjaar3</f>
        <v>#DIV/0!</v>
      </c>
      <c r="U95" s="25" t="e">
        <f>T95*ROUND(P95,2)</f>
        <v>#DIV/0!</v>
      </c>
    </row>
    <row r="96" spans="1:21" x14ac:dyDescent="0.2">
      <c r="A96" s="98" t="s">
        <v>417</v>
      </c>
      <c r="B96" s="99" t="s">
        <v>471</v>
      </c>
      <c r="C96" s="99" t="s">
        <v>505</v>
      </c>
      <c r="D96" s="99" t="s">
        <v>513</v>
      </c>
      <c r="E96" s="100" t="s">
        <v>420</v>
      </c>
      <c r="F96" s="99" t="s">
        <v>423</v>
      </c>
      <c r="G96" s="99" t="s">
        <v>326</v>
      </c>
      <c r="H96" s="99" t="s">
        <v>34</v>
      </c>
      <c r="I96" s="99" t="s">
        <v>246</v>
      </c>
      <c r="J96" s="99"/>
      <c r="K96" s="101">
        <v>3.5</v>
      </c>
      <c r="L96" s="101">
        <f>K96*VLOOKUP(H96,dagsoorttabel3,2,FALSE)</f>
        <v>2.7450980392156863</v>
      </c>
      <c r="M96" s="102">
        <f>prodnorm118</f>
        <v>0</v>
      </c>
      <c r="N96" s="37">
        <f>dagwerk118</f>
        <v>0</v>
      </c>
      <c r="O96" s="99" t="s">
        <v>108</v>
      </c>
      <c r="P96" s="24">
        <f>uurtarief118</f>
        <v>0</v>
      </c>
      <c r="Q96" s="101" t="e">
        <f>IF(ISBLANK(M96),0,L96/ROUND(M96,4))</f>
        <v>#DIV/0!</v>
      </c>
      <c r="R96" s="101" t="e">
        <f>IF(ISBLANK(M96),0,Q96*ROUND(N96,2))</f>
        <v>#DIV/0!</v>
      </c>
      <c r="S96" s="24" t="e">
        <f>ROUND(P96,2)*Q96</f>
        <v>#DIV/0!</v>
      </c>
      <c r="T96" s="101" t="e">
        <f>Q96*dagenperjaar3</f>
        <v>#DIV/0!</v>
      </c>
      <c r="U96" s="25" t="e">
        <f>T96*ROUND(P96,2)</f>
        <v>#DIV/0!</v>
      </c>
    </row>
    <row r="97" spans="1:21" x14ac:dyDescent="0.2">
      <c r="A97" s="98" t="s">
        <v>417</v>
      </c>
      <c r="B97" s="99" t="s">
        <v>471</v>
      </c>
      <c r="C97" s="99" t="s">
        <v>505</v>
      </c>
      <c r="D97" s="99" t="s">
        <v>514</v>
      </c>
      <c r="E97" s="100" t="s">
        <v>515</v>
      </c>
      <c r="F97" s="99" t="s">
        <v>423</v>
      </c>
      <c r="G97" s="99" t="s">
        <v>328</v>
      </c>
      <c r="H97" s="99" t="s">
        <v>34</v>
      </c>
      <c r="I97" s="99" t="s">
        <v>246</v>
      </c>
      <c r="J97" s="99"/>
      <c r="K97" s="101">
        <v>5.95</v>
      </c>
      <c r="L97" s="101">
        <f>K97*VLOOKUP(H97,dagsoorttabel3,2,FALSE)</f>
        <v>4.666666666666667</v>
      </c>
      <c r="M97" s="102">
        <f>prodnorm122</f>
        <v>0</v>
      </c>
      <c r="N97" s="37">
        <f>dagwerk122</f>
        <v>0</v>
      </c>
      <c r="O97" s="99" t="s">
        <v>108</v>
      </c>
      <c r="P97" s="24">
        <f>uurtarief122</f>
        <v>0</v>
      </c>
      <c r="Q97" s="101" t="e">
        <f>IF(ISBLANK(M97),0,L97/ROUND(M97,4))</f>
        <v>#DIV/0!</v>
      </c>
      <c r="R97" s="101" t="e">
        <f>IF(ISBLANK(M97),0,Q97*ROUND(N97,2))</f>
        <v>#DIV/0!</v>
      </c>
      <c r="S97" s="24" t="e">
        <f>ROUND(P97,2)*Q97</f>
        <v>#DIV/0!</v>
      </c>
      <c r="T97" s="101" t="e">
        <f>Q97*dagenperjaar3</f>
        <v>#DIV/0!</v>
      </c>
      <c r="U97" s="25" t="e">
        <f>T97*ROUND(P97,2)</f>
        <v>#DIV/0!</v>
      </c>
    </row>
    <row r="98" spans="1:21" x14ac:dyDescent="0.2">
      <c r="A98" s="98" t="s">
        <v>417</v>
      </c>
      <c r="B98" s="99" t="s">
        <v>471</v>
      </c>
      <c r="C98" s="99" t="s">
        <v>505</v>
      </c>
      <c r="D98" s="99" t="s">
        <v>516</v>
      </c>
      <c r="E98" s="100" t="s">
        <v>396</v>
      </c>
      <c r="F98" s="99" t="s">
        <v>423</v>
      </c>
      <c r="G98" s="99" t="s">
        <v>318</v>
      </c>
      <c r="H98" s="99" t="s">
        <v>34</v>
      </c>
      <c r="I98" s="99" t="s">
        <v>246</v>
      </c>
      <c r="J98" s="99"/>
      <c r="K98" s="101">
        <v>18.55</v>
      </c>
      <c r="L98" s="101">
        <f>K98*VLOOKUP(H98,dagsoorttabel3,2,FALSE)</f>
        <v>14.549019607843137</v>
      </c>
      <c r="M98" s="102">
        <f>prodnorm104</f>
        <v>0</v>
      </c>
      <c r="N98" s="37">
        <f>dagwerk104</f>
        <v>0</v>
      </c>
      <c r="O98" s="99" t="s">
        <v>108</v>
      </c>
      <c r="P98" s="24">
        <f>uurtarief104</f>
        <v>0</v>
      </c>
      <c r="Q98" s="101" t="e">
        <f>IF(ISBLANK(M98),0,L98/ROUND(M98,4))</f>
        <v>#DIV/0!</v>
      </c>
      <c r="R98" s="101" t="e">
        <f>IF(ISBLANK(M98),0,Q98*ROUND(N98,2))</f>
        <v>#DIV/0!</v>
      </c>
      <c r="S98" s="24" t="e">
        <f>ROUND(P98,2)*Q98</f>
        <v>#DIV/0!</v>
      </c>
      <c r="T98" s="101" t="e">
        <f>Q98*dagenperjaar3</f>
        <v>#DIV/0!</v>
      </c>
      <c r="U98" s="25" t="e">
        <f>T98*ROUND(P98,2)</f>
        <v>#DIV/0!</v>
      </c>
    </row>
    <row r="99" spans="1:21" x14ac:dyDescent="0.2">
      <c r="A99" s="103" t="s">
        <v>417</v>
      </c>
      <c r="B99" s="104" t="s">
        <v>471</v>
      </c>
      <c r="C99" s="104" t="s">
        <v>505</v>
      </c>
      <c r="D99" s="104" t="s">
        <v>517</v>
      </c>
      <c r="E99" s="105" t="s">
        <v>421</v>
      </c>
      <c r="F99" s="104" t="s">
        <v>423</v>
      </c>
      <c r="G99" s="104" t="s">
        <v>328</v>
      </c>
      <c r="H99" s="104" t="s">
        <v>34</v>
      </c>
      <c r="I99" s="104" t="s">
        <v>246</v>
      </c>
      <c r="J99" s="104"/>
      <c r="K99" s="106">
        <v>74.149999999999991</v>
      </c>
      <c r="L99" s="106">
        <f>K99*VLOOKUP(H99,dagsoorttabel3,2,FALSE)</f>
        <v>58.156862745098032</v>
      </c>
      <c r="M99" s="107">
        <f>prodnorm122</f>
        <v>0</v>
      </c>
      <c r="N99" s="108">
        <f>dagwerk122</f>
        <v>0</v>
      </c>
      <c r="O99" s="104" t="s">
        <v>108</v>
      </c>
      <c r="P99" s="34">
        <f>uurtarief122</f>
        <v>0</v>
      </c>
      <c r="Q99" s="106" t="e">
        <f>IF(ISBLANK(M99),0,L99/ROUND(M99,4))</f>
        <v>#DIV/0!</v>
      </c>
      <c r="R99" s="106" t="e">
        <f>IF(ISBLANK(M99),0,Q99*ROUND(N99,2))</f>
        <v>#DIV/0!</v>
      </c>
      <c r="S99" s="34" t="e">
        <f>ROUND(P99,2)*Q99</f>
        <v>#DIV/0!</v>
      </c>
      <c r="T99" s="106" t="e">
        <f>Q99*dagenperjaar3</f>
        <v>#DIV/0!</v>
      </c>
      <c r="U99" s="35" t="e">
        <f>T99*ROUND(P99,2)</f>
        <v>#DIV/0!</v>
      </c>
    </row>
    <row r="100" spans="1:21" x14ac:dyDescent="0.2">
      <c r="A100" s="109" t="s">
        <v>671</v>
      </c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81" t="e">
        <f>IF(_xlfn.SINGLE(object3_urenjaar3)&gt;0,_xlfn.SINGLE(object3_prijsjaar3)/_xlfn.SINGLE(object3_urenjaar3),0)</f>
        <v>#DIV/0!</v>
      </c>
      <c r="Q100" s="80" t="e">
        <f>SUM(Q5:Q99)</f>
        <v>#DIV/0!</v>
      </c>
      <c r="R100" s="80" t="e">
        <f>SUM(R5:R99)</f>
        <v>#DIV/0!</v>
      </c>
      <c r="S100" s="81" t="e">
        <f>SUM(S5:S99)</f>
        <v>#DIV/0!</v>
      </c>
      <c r="T100" s="80" t="e">
        <f>SUM(T5:T99)</f>
        <v>#DIV/0!</v>
      </c>
      <c r="U100" s="82" t="e">
        <f>SUM(U5:U99)</f>
        <v>#DIV/0!</v>
      </c>
    </row>
    <row r="101" spans="1:21" x14ac:dyDescent="0.2">
      <c r="A101" s="88" t="s">
        <v>583</v>
      </c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77"/>
    </row>
    <row r="102" spans="1:21" x14ac:dyDescent="0.2">
      <c r="A102" s="47" t="s">
        <v>584</v>
      </c>
      <c r="B102" s="48" t="s">
        <v>50</v>
      </c>
      <c r="C102" s="48" t="s">
        <v>585</v>
      </c>
      <c r="D102" s="48" t="s">
        <v>50</v>
      </c>
      <c r="E102" s="89" t="s">
        <v>586</v>
      </c>
      <c r="F102" s="48" t="s">
        <v>50</v>
      </c>
      <c r="G102" s="48" t="s">
        <v>329</v>
      </c>
      <c r="H102" s="48" t="s">
        <v>36</v>
      </c>
      <c r="I102" s="48" t="s">
        <v>294</v>
      </c>
      <c r="J102" s="48"/>
      <c r="K102" s="66">
        <v>1</v>
      </c>
      <c r="L102" s="66">
        <f>K102*VLOOKUP(H102,dagsoorttabel3,2,FALSE)</f>
        <v>0.49019607843137253</v>
      </c>
      <c r="M102" s="67"/>
      <c r="N102" s="68">
        <f>dagwerk102</f>
        <v>0</v>
      </c>
      <c r="O102" s="48" t="s">
        <v>296</v>
      </c>
      <c r="P102" s="49">
        <f>uurtarief102</f>
        <v>0</v>
      </c>
      <c r="Q102" s="66">
        <f>L102</f>
        <v>0.49019607843137253</v>
      </c>
      <c r="R102" s="66">
        <f>Q102*ROUND(N102,2)</f>
        <v>0</v>
      </c>
      <c r="S102" s="49">
        <f>ROUND(P102,2)*Q102</f>
        <v>0</v>
      </c>
      <c r="T102" s="66">
        <f>Q102*dagenperjaar3</f>
        <v>50</v>
      </c>
      <c r="U102" s="50">
        <f>T102*ROUND(P102,2)</f>
        <v>0</v>
      </c>
    </row>
    <row r="103" spans="1:21" x14ac:dyDescent="0.2">
      <c r="A103" s="44" t="s">
        <v>615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6"/>
    </row>
    <row r="104" spans="1:21" x14ac:dyDescent="0.2">
      <c r="A104" s="90" t="s">
        <v>616</v>
      </c>
      <c r="B104" s="91" t="s">
        <v>50</v>
      </c>
      <c r="C104" s="91" t="s">
        <v>617</v>
      </c>
      <c r="D104" s="91" t="s">
        <v>618</v>
      </c>
      <c r="E104" s="92" t="s">
        <v>619</v>
      </c>
      <c r="F104" s="91" t="s">
        <v>348</v>
      </c>
      <c r="G104" s="91" t="s">
        <v>328</v>
      </c>
      <c r="H104" s="91" t="s">
        <v>35</v>
      </c>
      <c r="I104" s="91" t="s">
        <v>246</v>
      </c>
      <c r="J104" s="91"/>
      <c r="K104" s="93">
        <v>24.5</v>
      </c>
      <c r="L104" s="93">
        <f>K104*VLOOKUP(H104,dagsoorttabel3,2,FALSE)</f>
        <v>16.813725490196077</v>
      </c>
      <c r="M104" s="94">
        <f>prodnorm121</f>
        <v>0</v>
      </c>
      <c r="N104" s="95">
        <f>dagwerk121</f>
        <v>0</v>
      </c>
      <c r="O104" s="91" t="s">
        <v>108</v>
      </c>
      <c r="P104" s="96">
        <f>uurtarief121</f>
        <v>0</v>
      </c>
      <c r="Q104" s="93" t="e">
        <f>IF(ISBLANK(M104),0,L104/ROUND(M104,4))</f>
        <v>#DIV/0!</v>
      </c>
      <c r="R104" s="93" t="e">
        <f>IF(ISBLANK(M104),0,Q104*ROUND(N104,2))</f>
        <v>#DIV/0!</v>
      </c>
      <c r="S104" s="96" t="e">
        <f>ROUND(P104,2)*Q104</f>
        <v>#DIV/0!</v>
      </c>
      <c r="T104" s="93" t="e">
        <f>Q104*dagenperjaar3</f>
        <v>#DIV/0!</v>
      </c>
      <c r="U104" s="97" t="e">
        <f>T104*ROUND(P104,2)</f>
        <v>#DIV/0!</v>
      </c>
    </row>
    <row r="105" spans="1:21" x14ac:dyDescent="0.2">
      <c r="A105" s="98" t="s">
        <v>616</v>
      </c>
      <c r="B105" s="99" t="s">
        <v>50</v>
      </c>
      <c r="C105" s="99" t="s">
        <v>345</v>
      </c>
      <c r="D105" s="99" t="s">
        <v>346</v>
      </c>
      <c r="E105" s="100" t="s">
        <v>591</v>
      </c>
      <c r="F105" s="99" t="s">
        <v>431</v>
      </c>
      <c r="G105" s="99" t="s">
        <v>320</v>
      </c>
      <c r="H105" s="99" t="s">
        <v>35</v>
      </c>
      <c r="I105" s="99" t="s">
        <v>246</v>
      </c>
      <c r="J105" s="99"/>
      <c r="K105" s="101">
        <v>42.8</v>
      </c>
      <c r="L105" s="101">
        <f>K105*VLOOKUP(H105,dagsoorttabel3,2,FALSE)</f>
        <v>29.372549019607842</v>
      </c>
      <c r="M105" s="102">
        <f>prodnorm107</f>
        <v>0</v>
      </c>
      <c r="N105" s="37">
        <f>dagwerk107</f>
        <v>0</v>
      </c>
      <c r="O105" s="99" t="s">
        <v>108</v>
      </c>
      <c r="P105" s="24">
        <f>uurtarief107</f>
        <v>0</v>
      </c>
      <c r="Q105" s="101" t="e">
        <f>IF(ISBLANK(M105),0,L105/ROUND(M105,4))</f>
        <v>#DIV/0!</v>
      </c>
      <c r="R105" s="101" t="e">
        <f>IF(ISBLANK(M105),0,Q105*ROUND(N105,2))</f>
        <v>#DIV/0!</v>
      </c>
      <c r="S105" s="24" t="e">
        <f>ROUND(P105,2)*Q105</f>
        <v>#DIV/0!</v>
      </c>
      <c r="T105" s="101" t="e">
        <f>Q105*dagenperjaar3</f>
        <v>#DIV/0!</v>
      </c>
      <c r="U105" s="25" t="e">
        <f>T105*ROUND(P105,2)</f>
        <v>#DIV/0!</v>
      </c>
    </row>
    <row r="106" spans="1:21" x14ac:dyDescent="0.2">
      <c r="A106" s="98" t="s">
        <v>616</v>
      </c>
      <c r="B106" s="99" t="s">
        <v>50</v>
      </c>
      <c r="C106" s="99" t="s">
        <v>345</v>
      </c>
      <c r="D106" s="99" t="s">
        <v>620</v>
      </c>
      <c r="E106" s="100" t="s">
        <v>522</v>
      </c>
      <c r="F106" s="99" t="s">
        <v>397</v>
      </c>
      <c r="G106" s="99" t="s">
        <v>321</v>
      </c>
      <c r="H106" s="99" t="s">
        <v>35</v>
      </c>
      <c r="I106" s="99" t="s">
        <v>246</v>
      </c>
      <c r="J106" s="99"/>
      <c r="K106" s="101">
        <v>4</v>
      </c>
      <c r="L106" s="101">
        <f>K106*VLOOKUP(H106,dagsoorttabel3,2,FALSE)</f>
        <v>2.7450980392156863</v>
      </c>
      <c r="M106" s="102">
        <f>prodnorm109</f>
        <v>0</v>
      </c>
      <c r="N106" s="37">
        <f>dagwerk109</f>
        <v>0</v>
      </c>
      <c r="O106" s="99" t="s">
        <v>108</v>
      </c>
      <c r="P106" s="24">
        <f>uurtarief109</f>
        <v>0</v>
      </c>
      <c r="Q106" s="101" t="e">
        <f>IF(ISBLANK(M106),0,L106/ROUND(M106,4))</f>
        <v>#DIV/0!</v>
      </c>
      <c r="R106" s="101" t="e">
        <f>IF(ISBLANK(M106),0,Q106*ROUND(N106,2))</f>
        <v>#DIV/0!</v>
      </c>
      <c r="S106" s="24" t="e">
        <f>ROUND(P106,2)*Q106</f>
        <v>#DIV/0!</v>
      </c>
      <c r="T106" s="101" t="e">
        <f>Q106*dagenperjaar3</f>
        <v>#DIV/0!</v>
      </c>
      <c r="U106" s="25" t="e">
        <f>T106*ROUND(P106,2)</f>
        <v>#DIV/0!</v>
      </c>
    </row>
    <row r="107" spans="1:21" x14ac:dyDescent="0.2">
      <c r="A107" s="98" t="s">
        <v>616</v>
      </c>
      <c r="B107" s="99" t="s">
        <v>50</v>
      </c>
      <c r="C107" s="99" t="s">
        <v>345</v>
      </c>
      <c r="D107" s="99" t="s">
        <v>351</v>
      </c>
      <c r="E107" s="100" t="s">
        <v>619</v>
      </c>
      <c r="F107" s="99" t="s">
        <v>348</v>
      </c>
      <c r="G107" s="99" t="s">
        <v>328</v>
      </c>
      <c r="H107" s="99" t="s">
        <v>35</v>
      </c>
      <c r="I107" s="99" t="s">
        <v>246</v>
      </c>
      <c r="J107" s="99"/>
      <c r="K107" s="101">
        <v>67.8</v>
      </c>
      <c r="L107" s="101">
        <f>K107*VLOOKUP(H107,dagsoorttabel3,2,FALSE)</f>
        <v>46.529411764705884</v>
      </c>
      <c r="M107" s="102">
        <f>prodnorm121</f>
        <v>0</v>
      </c>
      <c r="N107" s="37">
        <f>dagwerk121</f>
        <v>0</v>
      </c>
      <c r="O107" s="99" t="s">
        <v>108</v>
      </c>
      <c r="P107" s="24">
        <f>uurtarief121</f>
        <v>0</v>
      </c>
      <c r="Q107" s="101" t="e">
        <f>IF(ISBLANK(M107),0,L107/ROUND(M107,4))</f>
        <v>#DIV/0!</v>
      </c>
      <c r="R107" s="101" t="e">
        <f>IF(ISBLANK(M107),0,Q107*ROUND(N107,2))</f>
        <v>#DIV/0!</v>
      </c>
      <c r="S107" s="24" t="e">
        <f>ROUND(P107,2)*Q107</f>
        <v>#DIV/0!</v>
      </c>
      <c r="T107" s="101" t="e">
        <f>Q107*dagenperjaar3</f>
        <v>#DIV/0!</v>
      </c>
      <c r="U107" s="25" t="e">
        <f>T107*ROUND(P107,2)</f>
        <v>#DIV/0!</v>
      </c>
    </row>
    <row r="108" spans="1:21" x14ac:dyDescent="0.2">
      <c r="A108" s="98" t="s">
        <v>616</v>
      </c>
      <c r="B108" s="99" t="s">
        <v>50</v>
      </c>
      <c r="C108" s="99" t="s">
        <v>345</v>
      </c>
      <c r="D108" s="99" t="s">
        <v>353</v>
      </c>
      <c r="E108" s="100" t="s">
        <v>621</v>
      </c>
      <c r="F108" s="99" t="s">
        <v>431</v>
      </c>
      <c r="G108" s="99" t="s">
        <v>328</v>
      </c>
      <c r="H108" s="99" t="s">
        <v>35</v>
      </c>
      <c r="I108" s="99" t="s">
        <v>246</v>
      </c>
      <c r="J108" s="99"/>
      <c r="K108" s="101">
        <v>6.1</v>
      </c>
      <c r="L108" s="101">
        <f>K108*VLOOKUP(H108,dagsoorttabel3,2,FALSE)</f>
        <v>4.1862745098039218</v>
      </c>
      <c r="M108" s="102">
        <f>prodnorm121</f>
        <v>0</v>
      </c>
      <c r="N108" s="37">
        <f>dagwerk121</f>
        <v>0</v>
      </c>
      <c r="O108" s="99" t="s">
        <v>108</v>
      </c>
      <c r="P108" s="24">
        <f>uurtarief121</f>
        <v>0</v>
      </c>
      <c r="Q108" s="101" t="e">
        <f>IF(ISBLANK(M108),0,L108/ROUND(M108,4))</f>
        <v>#DIV/0!</v>
      </c>
      <c r="R108" s="101" t="e">
        <f>IF(ISBLANK(M108),0,Q108*ROUND(N108,2))</f>
        <v>#DIV/0!</v>
      </c>
      <c r="S108" s="24" t="e">
        <f>ROUND(P108,2)*Q108</f>
        <v>#DIV/0!</v>
      </c>
      <c r="T108" s="101" t="e">
        <f>Q108*dagenperjaar3</f>
        <v>#DIV/0!</v>
      </c>
      <c r="U108" s="25" t="e">
        <f>T108*ROUND(P108,2)</f>
        <v>#DIV/0!</v>
      </c>
    </row>
    <row r="109" spans="1:21" x14ac:dyDescent="0.2">
      <c r="A109" s="98" t="s">
        <v>616</v>
      </c>
      <c r="B109" s="99" t="s">
        <v>50</v>
      </c>
      <c r="C109" s="99" t="s">
        <v>345</v>
      </c>
      <c r="D109" s="99" t="s">
        <v>355</v>
      </c>
      <c r="E109" s="100" t="s">
        <v>622</v>
      </c>
      <c r="F109" s="99" t="s">
        <v>431</v>
      </c>
      <c r="G109" s="99" t="s">
        <v>327</v>
      </c>
      <c r="H109" s="99" t="s">
        <v>35</v>
      </c>
      <c r="I109" s="99" t="s">
        <v>246</v>
      </c>
      <c r="J109" s="99"/>
      <c r="K109" s="101">
        <v>12</v>
      </c>
      <c r="L109" s="101">
        <f>K109*VLOOKUP(H109,dagsoorttabel3,2,FALSE)</f>
        <v>8.235294117647058</v>
      </c>
      <c r="M109" s="102">
        <f>prodnorm119</f>
        <v>0</v>
      </c>
      <c r="N109" s="37">
        <f>dagwerk119</f>
        <v>0</v>
      </c>
      <c r="O109" s="99" t="s">
        <v>108</v>
      </c>
      <c r="P109" s="24">
        <f>uurtarief119</f>
        <v>0</v>
      </c>
      <c r="Q109" s="101" t="e">
        <f>IF(ISBLANK(M109),0,L109/ROUND(M109,4))</f>
        <v>#DIV/0!</v>
      </c>
      <c r="R109" s="101" t="e">
        <f>IF(ISBLANK(M109),0,Q109*ROUND(N109,2))</f>
        <v>#DIV/0!</v>
      </c>
      <c r="S109" s="24" t="e">
        <f>ROUND(P109,2)*Q109</f>
        <v>#DIV/0!</v>
      </c>
      <c r="T109" s="101" t="e">
        <f>Q109*dagenperjaar3</f>
        <v>#DIV/0!</v>
      </c>
      <c r="U109" s="25" t="e">
        <f>T109*ROUND(P109,2)</f>
        <v>#DIV/0!</v>
      </c>
    </row>
    <row r="110" spans="1:21" x14ac:dyDescent="0.2">
      <c r="A110" s="98" t="s">
        <v>616</v>
      </c>
      <c r="B110" s="99" t="s">
        <v>50</v>
      </c>
      <c r="C110" s="99" t="s">
        <v>345</v>
      </c>
      <c r="D110" s="99" t="s">
        <v>357</v>
      </c>
      <c r="E110" s="100" t="s">
        <v>623</v>
      </c>
      <c r="F110" s="99" t="s">
        <v>397</v>
      </c>
      <c r="G110" s="99" t="s">
        <v>318</v>
      </c>
      <c r="H110" s="99" t="s">
        <v>35</v>
      </c>
      <c r="I110" s="99" t="s">
        <v>246</v>
      </c>
      <c r="J110" s="99"/>
      <c r="K110" s="101">
        <v>14.7</v>
      </c>
      <c r="L110" s="101">
        <f>K110*VLOOKUP(H110,dagsoorttabel3,2,FALSE)</f>
        <v>10.088235294117647</v>
      </c>
      <c r="M110" s="102">
        <f>prodnorm103</f>
        <v>0</v>
      </c>
      <c r="N110" s="37">
        <f>dagwerk103</f>
        <v>0</v>
      </c>
      <c r="O110" s="99" t="s">
        <v>108</v>
      </c>
      <c r="P110" s="24">
        <f>uurtarief103</f>
        <v>0</v>
      </c>
      <c r="Q110" s="101" t="e">
        <f>IF(ISBLANK(M110),0,L110/ROUND(M110,4))</f>
        <v>#DIV/0!</v>
      </c>
      <c r="R110" s="101" t="e">
        <f>IF(ISBLANK(M110),0,Q110*ROUND(N110,2))</f>
        <v>#DIV/0!</v>
      </c>
      <c r="S110" s="24" t="e">
        <f>ROUND(P110,2)*Q110</f>
        <v>#DIV/0!</v>
      </c>
      <c r="T110" s="101" t="e">
        <f>Q110*dagenperjaar3</f>
        <v>#DIV/0!</v>
      </c>
      <c r="U110" s="25" t="e">
        <f>T110*ROUND(P110,2)</f>
        <v>#DIV/0!</v>
      </c>
    </row>
    <row r="111" spans="1:21" x14ac:dyDescent="0.2">
      <c r="A111" s="98" t="s">
        <v>616</v>
      </c>
      <c r="B111" s="99" t="s">
        <v>50</v>
      </c>
      <c r="C111" s="99" t="s">
        <v>345</v>
      </c>
      <c r="D111" s="99" t="s">
        <v>361</v>
      </c>
      <c r="E111" s="100" t="s">
        <v>619</v>
      </c>
      <c r="F111" s="99" t="s">
        <v>397</v>
      </c>
      <c r="G111" s="99" t="s">
        <v>328</v>
      </c>
      <c r="H111" s="99" t="s">
        <v>35</v>
      </c>
      <c r="I111" s="99" t="s">
        <v>246</v>
      </c>
      <c r="J111" s="99"/>
      <c r="K111" s="101">
        <v>118</v>
      </c>
      <c r="L111" s="101">
        <f>K111*VLOOKUP(H111,dagsoorttabel3,2,FALSE)</f>
        <v>80.980392156862749</v>
      </c>
      <c r="M111" s="102">
        <f>prodnorm121</f>
        <v>0</v>
      </c>
      <c r="N111" s="37">
        <f>dagwerk121</f>
        <v>0</v>
      </c>
      <c r="O111" s="99" t="s">
        <v>108</v>
      </c>
      <c r="P111" s="24">
        <f>uurtarief121</f>
        <v>0</v>
      </c>
      <c r="Q111" s="101" t="e">
        <f>IF(ISBLANK(M111),0,L111/ROUND(M111,4))</f>
        <v>#DIV/0!</v>
      </c>
      <c r="R111" s="101" t="e">
        <f>IF(ISBLANK(M111),0,Q111*ROUND(N111,2))</f>
        <v>#DIV/0!</v>
      </c>
      <c r="S111" s="24" t="e">
        <f>ROUND(P111,2)*Q111</f>
        <v>#DIV/0!</v>
      </c>
      <c r="T111" s="101" t="e">
        <f>Q111*dagenperjaar3</f>
        <v>#DIV/0!</v>
      </c>
      <c r="U111" s="25" t="e">
        <f>T111*ROUND(P111,2)</f>
        <v>#DIV/0!</v>
      </c>
    </row>
    <row r="112" spans="1:21" x14ac:dyDescent="0.2">
      <c r="A112" s="98" t="s">
        <v>616</v>
      </c>
      <c r="B112" s="99" t="s">
        <v>50</v>
      </c>
      <c r="C112" s="99" t="s">
        <v>345</v>
      </c>
      <c r="D112" s="99" t="s">
        <v>363</v>
      </c>
      <c r="E112" s="100" t="s">
        <v>407</v>
      </c>
      <c r="F112" s="99" t="s">
        <v>548</v>
      </c>
      <c r="G112" s="99" t="s">
        <v>323</v>
      </c>
      <c r="H112" s="99" t="s">
        <v>35</v>
      </c>
      <c r="I112" s="99" t="s">
        <v>246</v>
      </c>
      <c r="J112" s="99"/>
      <c r="K112" s="101">
        <v>26.6</v>
      </c>
      <c r="L112" s="101">
        <f>K112*VLOOKUP(H112,dagsoorttabel3,2,FALSE)</f>
        <v>18.254901960784316</v>
      </c>
      <c r="M112" s="102">
        <f>prodnorm113</f>
        <v>0</v>
      </c>
      <c r="N112" s="37">
        <f>dagwerk113</f>
        <v>0</v>
      </c>
      <c r="O112" s="99" t="s">
        <v>108</v>
      </c>
      <c r="P112" s="24">
        <f>uurtarief113</f>
        <v>0</v>
      </c>
      <c r="Q112" s="101" t="e">
        <f>IF(ISBLANK(M112),0,L112/ROUND(M112,4))</f>
        <v>#DIV/0!</v>
      </c>
      <c r="R112" s="101" t="e">
        <f>IF(ISBLANK(M112),0,Q112*ROUND(N112,2))</f>
        <v>#DIV/0!</v>
      </c>
      <c r="S112" s="24" t="e">
        <f>ROUND(P112,2)*Q112</f>
        <v>#DIV/0!</v>
      </c>
      <c r="T112" s="101" t="e">
        <f>Q112*dagenperjaar3</f>
        <v>#DIV/0!</v>
      </c>
      <c r="U112" s="25" t="e">
        <f>T112*ROUND(P112,2)</f>
        <v>#DIV/0!</v>
      </c>
    </row>
    <row r="113" spans="1:21" x14ac:dyDescent="0.2">
      <c r="A113" s="98" t="s">
        <v>616</v>
      </c>
      <c r="B113" s="99" t="s">
        <v>50</v>
      </c>
      <c r="C113" s="99" t="s">
        <v>345</v>
      </c>
      <c r="D113" s="99" t="s">
        <v>367</v>
      </c>
      <c r="E113" s="100" t="s">
        <v>624</v>
      </c>
      <c r="F113" s="99" t="s">
        <v>548</v>
      </c>
      <c r="G113" s="99" t="s">
        <v>319</v>
      </c>
      <c r="H113" s="99" t="s">
        <v>35</v>
      </c>
      <c r="I113" s="99" t="s">
        <v>246</v>
      </c>
      <c r="J113" s="99"/>
      <c r="K113" s="101">
        <v>15</v>
      </c>
      <c r="L113" s="101">
        <f>K113*VLOOKUP(H113,dagsoorttabel3,2,FALSE)</f>
        <v>10.294117647058824</v>
      </c>
      <c r="M113" s="102">
        <f>prodnorm105</f>
        <v>0</v>
      </c>
      <c r="N113" s="37">
        <f>dagwerk105</f>
        <v>0</v>
      </c>
      <c r="O113" s="99" t="s">
        <v>108</v>
      </c>
      <c r="P113" s="24">
        <f>uurtarief105</f>
        <v>0</v>
      </c>
      <c r="Q113" s="101" t="e">
        <f>IF(ISBLANK(M113),0,L113/ROUND(M113,4))</f>
        <v>#DIV/0!</v>
      </c>
      <c r="R113" s="101" t="e">
        <f>IF(ISBLANK(M113),0,Q113*ROUND(N113,2))</f>
        <v>#DIV/0!</v>
      </c>
      <c r="S113" s="24" t="e">
        <f>ROUND(P113,2)*Q113</f>
        <v>#DIV/0!</v>
      </c>
      <c r="T113" s="101" t="e">
        <f>Q113*dagenperjaar3</f>
        <v>#DIV/0!</v>
      </c>
      <c r="U113" s="25" t="e">
        <f>T113*ROUND(P113,2)</f>
        <v>#DIV/0!</v>
      </c>
    </row>
    <row r="114" spans="1:21" x14ac:dyDescent="0.2">
      <c r="A114" s="98" t="s">
        <v>616</v>
      </c>
      <c r="B114" s="99" t="s">
        <v>50</v>
      </c>
      <c r="C114" s="99" t="s">
        <v>345</v>
      </c>
      <c r="D114" s="99" t="s">
        <v>369</v>
      </c>
      <c r="E114" s="100" t="s">
        <v>625</v>
      </c>
      <c r="F114" s="99" t="s">
        <v>548</v>
      </c>
      <c r="G114" s="99" t="s">
        <v>323</v>
      </c>
      <c r="H114" s="99" t="s">
        <v>35</v>
      </c>
      <c r="I114" s="99" t="s">
        <v>246</v>
      </c>
      <c r="J114" s="99"/>
      <c r="K114" s="101">
        <v>6</v>
      </c>
      <c r="L114" s="101">
        <f>K114*VLOOKUP(H114,dagsoorttabel3,2,FALSE)</f>
        <v>4.117647058823529</v>
      </c>
      <c r="M114" s="102">
        <f>prodnorm113</f>
        <v>0</v>
      </c>
      <c r="N114" s="37">
        <f>dagwerk113</f>
        <v>0</v>
      </c>
      <c r="O114" s="99" t="s">
        <v>108</v>
      </c>
      <c r="P114" s="24">
        <f>uurtarief113</f>
        <v>0</v>
      </c>
      <c r="Q114" s="101" t="e">
        <f>IF(ISBLANK(M114),0,L114/ROUND(M114,4))</f>
        <v>#DIV/0!</v>
      </c>
      <c r="R114" s="101" t="e">
        <f>IF(ISBLANK(M114),0,Q114*ROUND(N114,2))</f>
        <v>#DIV/0!</v>
      </c>
      <c r="S114" s="24" t="e">
        <f>ROUND(P114,2)*Q114</f>
        <v>#DIV/0!</v>
      </c>
      <c r="T114" s="101" t="e">
        <f>Q114*dagenperjaar3</f>
        <v>#DIV/0!</v>
      </c>
      <c r="U114" s="25" t="e">
        <f>T114*ROUND(P114,2)</f>
        <v>#DIV/0!</v>
      </c>
    </row>
    <row r="115" spans="1:21" x14ac:dyDescent="0.2">
      <c r="A115" s="98" t="s">
        <v>616</v>
      </c>
      <c r="B115" s="99" t="s">
        <v>50</v>
      </c>
      <c r="C115" s="99" t="s">
        <v>345</v>
      </c>
      <c r="D115" s="99" t="s">
        <v>626</v>
      </c>
      <c r="E115" s="100" t="s">
        <v>627</v>
      </c>
      <c r="F115" s="99" t="s">
        <v>548</v>
      </c>
      <c r="G115" s="99" t="s">
        <v>319</v>
      </c>
      <c r="H115" s="99" t="s">
        <v>35</v>
      </c>
      <c r="I115" s="99" t="s">
        <v>246</v>
      </c>
      <c r="J115" s="99"/>
      <c r="K115" s="101">
        <v>1.5</v>
      </c>
      <c r="L115" s="101">
        <f>K115*VLOOKUP(H115,dagsoorttabel3,2,FALSE)</f>
        <v>1.0294117647058822</v>
      </c>
      <c r="M115" s="102">
        <f>prodnorm105</f>
        <v>0</v>
      </c>
      <c r="N115" s="37">
        <f>dagwerk105</f>
        <v>0</v>
      </c>
      <c r="O115" s="99" t="s">
        <v>108</v>
      </c>
      <c r="P115" s="24">
        <f>uurtarief105</f>
        <v>0</v>
      </c>
      <c r="Q115" s="101" t="e">
        <f>IF(ISBLANK(M115),0,L115/ROUND(M115,4))</f>
        <v>#DIV/0!</v>
      </c>
      <c r="R115" s="101" t="e">
        <f>IF(ISBLANK(M115),0,Q115*ROUND(N115,2))</f>
        <v>#DIV/0!</v>
      </c>
      <c r="S115" s="24" t="e">
        <f>ROUND(P115,2)*Q115</f>
        <v>#DIV/0!</v>
      </c>
      <c r="T115" s="101" t="e">
        <f>Q115*dagenperjaar3</f>
        <v>#DIV/0!</v>
      </c>
      <c r="U115" s="25" t="e">
        <f>T115*ROUND(P115,2)</f>
        <v>#DIV/0!</v>
      </c>
    </row>
    <row r="116" spans="1:21" x14ac:dyDescent="0.2">
      <c r="A116" s="98" t="s">
        <v>616</v>
      </c>
      <c r="B116" s="99" t="s">
        <v>50</v>
      </c>
      <c r="C116" s="99" t="s">
        <v>345</v>
      </c>
      <c r="D116" s="99" t="s">
        <v>371</v>
      </c>
      <c r="E116" s="100" t="s">
        <v>407</v>
      </c>
      <c r="F116" s="99" t="s">
        <v>548</v>
      </c>
      <c r="G116" s="99" t="s">
        <v>323</v>
      </c>
      <c r="H116" s="99" t="s">
        <v>35</v>
      </c>
      <c r="I116" s="99" t="s">
        <v>246</v>
      </c>
      <c r="J116" s="99"/>
      <c r="K116" s="101">
        <v>23.3</v>
      </c>
      <c r="L116" s="101">
        <f>K116*VLOOKUP(H116,dagsoorttabel3,2,FALSE)</f>
        <v>15.990196078431373</v>
      </c>
      <c r="M116" s="102">
        <f>prodnorm113</f>
        <v>0</v>
      </c>
      <c r="N116" s="37">
        <f>dagwerk113</f>
        <v>0</v>
      </c>
      <c r="O116" s="99" t="s">
        <v>108</v>
      </c>
      <c r="P116" s="24">
        <f>uurtarief113</f>
        <v>0</v>
      </c>
      <c r="Q116" s="101" t="e">
        <f>IF(ISBLANK(M116),0,L116/ROUND(M116,4))</f>
        <v>#DIV/0!</v>
      </c>
      <c r="R116" s="101" t="e">
        <f>IF(ISBLANK(M116),0,Q116*ROUND(N116,2))</f>
        <v>#DIV/0!</v>
      </c>
      <c r="S116" s="24" t="e">
        <f>ROUND(P116,2)*Q116</f>
        <v>#DIV/0!</v>
      </c>
      <c r="T116" s="101" t="e">
        <f>Q116*dagenperjaar3</f>
        <v>#DIV/0!</v>
      </c>
      <c r="U116" s="25" t="e">
        <f>T116*ROUND(P116,2)</f>
        <v>#DIV/0!</v>
      </c>
    </row>
    <row r="117" spans="1:21" x14ac:dyDescent="0.2">
      <c r="A117" s="98" t="s">
        <v>616</v>
      </c>
      <c r="B117" s="99" t="s">
        <v>50</v>
      </c>
      <c r="C117" s="99" t="s">
        <v>345</v>
      </c>
      <c r="D117" s="99" t="s">
        <v>373</v>
      </c>
      <c r="E117" s="100" t="s">
        <v>407</v>
      </c>
      <c r="F117" s="99" t="s">
        <v>548</v>
      </c>
      <c r="G117" s="99" t="s">
        <v>323</v>
      </c>
      <c r="H117" s="99" t="s">
        <v>35</v>
      </c>
      <c r="I117" s="99" t="s">
        <v>246</v>
      </c>
      <c r="J117" s="99"/>
      <c r="K117" s="101">
        <v>27.6</v>
      </c>
      <c r="L117" s="101">
        <f>K117*VLOOKUP(H117,dagsoorttabel3,2,FALSE)</f>
        <v>18.941176470588236</v>
      </c>
      <c r="M117" s="102">
        <f>prodnorm113</f>
        <v>0</v>
      </c>
      <c r="N117" s="37">
        <f>dagwerk113</f>
        <v>0</v>
      </c>
      <c r="O117" s="99" t="s">
        <v>108</v>
      </c>
      <c r="P117" s="24">
        <f>uurtarief113</f>
        <v>0</v>
      </c>
      <c r="Q117" s="101" t="e">
        <f>IF(ISBLANK(M117),0,L117/ROUND(M117,4))</f>
        <v>#DIV/0!</v>
      </c>
      <c r="R117" s="101" t="e">
        <f>IF(ISBLANK(M117),0,Q117*ROUND(N117,2))</f>
        <v>#DIV/0!</v>
      </c>
      <c r="S117" s="24" t="e">
        <f>ROUND(P117,2)*Q117</f>
        <v>#DIV/0!</v>
      </c>
      <c r="T117" s="101" t="e">
        <f>Q117*dagenperjaar3</f>
        <v>#DIV/0!</v>
      </c>
      <c r="U117" s="25" t="e">
        <f>T117*ROUND(P117,2)</f>
        <v>#DIV/0!</v>
      </c>
    </row>
    <row r="118" spans="1:21" x14ac:dyDescent="0.2">
      <c r="A118" s="98" t="s">
        <v>616</v>
      </c>
      <c r="B118" s="99" t="s">
        <v>50</v>
      </c>
      <c r="C118" s="99" t="s">
        <v>345</v>
      </c>
      <c r="D118" s="99" t="s">
        <v>375</v>
      </c>
      <c r="E118" s="100" t="s">
        <v>628</v>
      </c>
      <c r="F118" s="99" t="s">
        <v>548</v>
      </c>
      <c r="G118" s="99" t="s">
        <v>319</v>
      </c>
      <c r="H118" s="99" t="s">
        <v>35</v>
      </c>
      <c r="I118" s="99" t="s">
        <v>246</v>
      </c>
      <c r="J118" s="99"/>
      <c r="K118" s="101">
        <v>10</v>
      </c>
      <c r="L118" s="101">
        <f>K118*VLOOKUP(H118,dagsoorttabel3,2,FALSE)</f>
        <v>6.8627450980392162</v>
      </c>
      <c r="M118" s="102">
        <f>prodnorm105</f>
        <v>0</v>
      </c>
      <c r="N118" s="37">
        <f>dagwerk105</f>
        <v>0</v>
      </c>
      <c r="O118" s="99" t="s">
        <v>108</v>
      </c>
      <c r="P118" s="24">
        <f>uurtarief105</f>
        <v>0</v>
      </c>
      <c r="Q118" s="101" t="e">
        <f>IF(ISBLANK(M118),0,L118/ROUND(M118,4))</f>
        <v>#DIV/0!</v>
      </c>
      <c r="R118" s="101" t="e">
        <f>IF(ISBLANK(M118),0,Q118*ROUND(N118,2))</f>
        <v>#DIV/0!</v>
      </c>
      <c r="S118" s="24" t="e">
        <f>ROUND(P118,2)*Q118</f>
        <v>#DIV/0!</v>
      </c>
      <c r="T118" s="101" t="e">
        <f>Q118*dagenperjaar3</f>
        <v>#DIV/0!</v>
      </c>
      <c r="U118" s="25" t="e">
        <f>T118*ROUND(P118,2)</f>
        <v>#DIV/0!</v>
      </c>
    </row>
    <row r="119" spans="1:21" x14ac:dyDescent="0.2">
      <c r="A119" s="98" t="s">
        <v>616</v>
      </c>
      <c r="B119" s="99" t="s">
        <v>50</v>
      </c>
      <c r="C119" s="99" t="s">
        <v>345</v>
      </c>
      <c r="D119" s="99" t="s">
        <v>377</v>
      </c>
      <c r="E119" s="100" t="s">
        <v>602</v>
      </c>
      <c r="F119" s="99" t="s">
        <v>548</v>
      </c>
      <c r="G119" s="99" t="s">
        <v>326</v>
      </c>
      <c r="H119" s="99" t="s">
        <v>35</v>
      </c>
      <c r="I119" s="99" t="s">
        <v>246</v>
      </c>
      <c r="J119" s="99"/>
      <c r="K119" s="101">
        <v>9.5</v>
      </c>
      <c r="L119" s="101">
        <f>K119*VLOOKUP(H119,dagsoorttabel3,2,FALSE)</f>
        <v>6.5196078431372548</v>
      </c>
      <c r="M119" s="102">
        <f>prodnorm117</f>
        <v>0</v>
      </c>
      <c r="N119" s="37">
        <f>dagwerk117</f>
        <v>0</v>
      </c>
      <c r="O119" s="99" t="s">
        <v>108</v>
      </c>
      <c r="P119" s="24">
        <f>uurtarief117</f>
        <v>0</v>
      </c>
      <c r="Q119" s="101" t="e">
        <f>IF(ISBLANK(M119),0,L119/ROUND(M119,4))</f>
        <v>#DIV/0!</v>
      </c>
      <c r="R119" s="101" t="e">
        <f>IF(ISBLANK(M119),0,Q119*ROUND(N119,2))</f>
        <v>#DIV/0!</v>
      </c>
      <c r="S119" s="24" t="e">
        <f>ROUND(P119,2)*Q119</f>
        <v>#DIV/0!</v>
      </c>
      <c r="T119" s="101" t="e">
        <f>Q119*dagenperjaar3</f>
        <v>#DIV/0!</v>
      </c>
      <c r="U119" s="25" t="e">
        <f>T119*ROUND(P119,2)</f>
        <v>#DIV/0!</v>
      </c>
    </row>
    <row r="120" spans="1:21" x14ac:dyDescent="0.2">
      <c r="A120" s="98" t="s">
        <v>616</v>
      </c>
      <c r="B120" s="99" t="s">
        <v>50</v>
      </c>
      <c r="C120" s="99" t="s">
        <v>345</v>
      </c>
      <c r="D120" s="99" t="s">
        <v>379</v>
      </c>
      <c r="E120" s="100" t="s">
        <v>600</v>
      </c>
      <c r="F120" s="99" t="s">
        <v>548</v>
      </c>
      <c r="G120" s="99" t="s">
        <v>326</v>
      </c>
      <c r="H120" s="99" t="s">
        <v>35</v>
      </c>
      <c r="I120" s="99" t="s">
        <v>246</v>
      </c>
      <c r="J120" s="99"/>
      <c r="K120" s="101">
        <v>8.9</v>
      </c>
      <c r="L120" s="101">
        <f>K120*VLOOKUP(H120,dagsoorttabel3,2,FALSE)</f>
        <v>6.1078431372549025</v>
      </c>
      <c r="M120" s="102">
        <f>prodnorm117</f>
        <v>0</v>
      </c>
      <c r="N120" s="37">
        <f>dagwerk117</f>
        <v>0</v>
      </c>
      <c r="O120" s="99" t="s">
        <v>108</v>
      </c>
      <c r="P120" s="24">
        <f>uurtarief117</f>
        <v>0</v>
      </c>
      <c r="Q120" s="101" t="e">
        <f>IF(ISBLANK(M120),0,L120/ROUND(M120,4))</f>
        <v>#DIV/0!</v>
      </c>
      <c r="R120" s="101" t="e">
        <f>IF(ISBLANK(M120),0,Q120*ROUND(N120,2))</f>
        <v>#DIV/0!</v>
      </c>
      <c r="S120" s="24" t="e">
        <f>ROUND(P120,2)*Q120</f>
        <v>#DIV/0!</v>
      </c>
      <c r="T120" s="101" t="e">
        <f>Q120*dagenperjaar3</f>
        <v>#DIV/0!</v>
      </c>
      <c r="U120" s="25" t="e">
        <f>T120*ROUND(P120,2)</f>
        <v>#DIV/0!</v>
      </c>
    </row>
    <row r="121" spans="1:21" x14ac:dyDescent="0.2">
      <c r="A121" s="98" t="s">
        <v>616</v>
      </c>
      <c r="B121" s="99" t="s">
        <v>50</v>
      </c>
      <c r="C121" s="99" t="s">
        <v>345</v>
      </c>
      <c r="D121" s="99" t="s">
        <v>381</v>
      </c>
      <c r="E121" s="100" t="s">
        <v>407</v>
      </c>
      <c r="F121" s="99" t="s">
        <v>548</v>
      </c>
      <c r="G121" s="99" t="s">
        <v>323</v>
      </c>
      <c r="H121" s="99" t="s">
        <v>35</v>
      </c>
      <c r="I121" s="99" t="s">
        <v>246</v>
      </c>
      <c r="J121" s="99"/>
      <c r="K121" s="101">
        <v>25.6</v>
      </c>
      <c r="L121" s="101">
        <f>K121*VLOOKUP(H121,dagsoorttabel3,2,FALSE)</f>
        <v>17.568627450980394</v>
      </c>
      <c r="M121" s="102">
        <f>prodnorm113</f>
        <v>0</v>
      </c>
      <c r="N121" s="37">
        <f>dagwerk113</f>
        <v>0</v>
      </c>
      <c r="O121" s="99" t="s">
        <v>108</v>
      </c>
      <c r="P121" s="24">
        <f>uurtarief113</f>
        <v>0</v>
      </c>
      <c r="Q121" s="101" t="e">
        <f>IF(ISBLANK(M121),0,L121/ROUND(M121,4))</f>
        <v>#DIV/0!</v>
      </c>
      <c r="R121" s="101" t="e">
        <f>IF(ISBLANK(M121),0,Q121*ROUND(N121,2))</f>
        <v>#DIV/0!</v>
      </c>
      <c r="S121" s="24" t="e">
        <f>ROUND(P121,2)*Q121</f>
        <v>#DIV/0!</v>
      </c>
      <c r="T121" s="101" t="e">
        <f>Q121*dagenperjaar3</f>
        <v>#DIV/0!</v>
      </c>
      <c r="U121" s="25" t="e">
        <f>T121*ROUND(P121,2)</f>
        <v>#DIV/0!</v>
      </c>
    </row>
    <row r="122" spans="1:21" x14ac:dyDescent="0.2">
      <c r="A122" s="98" t="s">
        <v>616</v>
      </c>
      <c r="B122" s="99" t="s">
        <v>50</v>
      </c>
      <c r="C122" s="99" t="s">
        <v>345</v>
      </c>
      <c r="D122" s="99" t="s">
        <v>382</v>
      </c>
      <c r="E122" s="100" t="s">
        <v>527</v>
      </c>
      <c r="F122" s="99" t="s">
        <v>548</v>
      </c>
      <c r="G122" s="99" t="s">
        <v>319</v>
      </c>
      <c r="H122" s="99" t="s">
        <v>35</v>
      </c>
      <c r="I122" s="99" t="s">
        <v>246</v>
      </c>
      <c r="J122" s="99"/>
      <c r="K122" s="101">
        <v>10.199999999999999</v>
      </c>
      <c r="L122" s="101">
        <f>K122*VLOOKUP(H122,dagsoorttabel3,2,FALSE)</f>
        <v>7</v>
      </c>
      <c r="M122" s="102">
        <f>prodnorm105</f>
        <v>0</v>
      </c>
      <c r="N122" s="37">
        <f>dagwerk105</f>
        <v>0</v>
      </c>
      <c r="O122" s="99" t="s">
        <v>108</v>
      </c>
      <c r="P122" s="24">
        <f>uurtarief105</f>
        <v>0</v>
      </c>
      <c r="Q122" s="101" t="e">
        <f>IF(ISBLANK(M122),0,L122/ROUND(M122,4))</f>
        <v>#DIV/0!</v>
      </c>
      <c r="R122" s="101" t="e">
        <f>IF(ISBLANK(M122),0,Q122*ROUND(N122,2))</f>
        <v>#DIV/0!</v>
      </c>
      <c r="S122" s="24" t="e">
        <f>ROUND(P122,2)*Q122</f>
        <v>#DIV/0!</v>
      </c>
      <c r="T122" s="101" t="e">
        <f>Q122*dagenperjaar3</f>
        <v>#DIV/0!</v>
      </c>
      <c r="U122" s="25" t="e">
        <f>T122*ROUND(P122,2)</f>
        <v>#DIV/0!</v>
      </c>
    </row>
    <row r="123" spans="1:21" x14ac:dyDescent="0.2">
      <c r="A123" s="98" t="s">
        <v>616</v>
      </c>
      <c r="B123" s="99" t="s">
        <v>50</v>
      </c>
      <c r="C123" s="99" t="s">
        <v>345</v>
      </c>
      <c r="D123" s="99" t="s">
        <v>383</v>
      </c>
      <c r="E123" s="100" t="s">
        <v>592</v>
      </c>
      <c r="F123" s="99" t="s">
        <v>548</v>
      </c>
      <c r="G123" s="99" t="s">
        <v>326</v>
      </c>
      <c r="H123" s="99" t="s">
        <v>35</v>
      </c>
      <c r="I123" s="99" t="s">
        <v>246</v>
      </c>
      <c r="J123" s="99"/>
      <c r="K123" s="101">
        <v>6.2</v>
      </c>
      <c r="L123" s="101">
        <f>K123*VLOOKUP(H123,dagsoorttabel3,2,FALSE)</f>
        <v>4.2549019607843137</v>
      </c>
      <c r="M123" s="102">
        <f>prodnorm117</f>
        <v>0</v>
      </c>
      <c r="N123" s="37">
        <f>dagwerk117</f>
        <v>0</v>
      </c>
      <c r="O123" s="99" t="s">
        <v>108</v>
      </c>
      <c r="P123" s="24">
        <f>uurtarief117</f>
        <v>0</v>
      </c>
      <c r="Q123" s="101" t="e">
        <f>IF(ISBLANK(M123),0,L123/ROUND(M123,4))</f>
        <v>#DIV/0!</v>
      </c>
      <c r="R123" s="101" t="e">
        <f>IF(ISBLANK(M123),0,Q123*ROUND(N123,2))</f>
        <v>#DIV/0!</v>
      </c>
      <c r="S123" s="24" t="e">
        <f>ROUND(P123,2)*Q123</f>
        <v>#DIV/0!</v>
      </c>
      <c r="T123" s="101" t="e">
        <f>Q123*dagenperjaar3</f>
        <v>#DIV/0!</v>
      </c>
      <c r="U123" s="25" t="e">
        <f>T123*ROUND(P123,2)</f>
        <v>#DIV/0!</v>
      </c>
    </row>
    <row r="124" spans="1:21" x14ac:dyDescent="0.2">
      <c r="A124" s="98" t="s">
        <v>616</v>
      </c>
      <c r="B124" s="99" t="s">
        <v>50</v>
      </c>
      <c r="C124" s="99" t="s">
        <v>345</v>
      </c>
      <c r="D124" s="99" t="s">
        <v>384</v>
      </c>
      <c r="E124" s="100" t="s">
        <v>407</v>
      </c>
      <c r="F124" s="99" t="s">
        <v>548</v>
      </c>
      <c r="G124" s="99" t="s">
        <v>323</v>
      </c>
      <c r="H124" s="99" t="s">
        <v>35</v>
      </c>
      <c r="I124" s="99" t="s">
        <v>246</v>
      </c>
      <c r="J124" s="99"/>
      <c r="K124" s="101">
        <v>24.8</v>
      </c>
      <c r="L124" s="101">
        <f>K124*VLOOKUP(H124,dagsoorttabel3,2,FALSE)</f>
        <v>17.019607843137255</v>
      </c>
      <c r="M124" s="102">
        <f>prodnorm113</f>
        <v>0</v>
      </c>
      <c r="N124" s="37">
        <f>dagwerk113</f>
        <v>0</v>
      </c>
      <c r="O124" s="99" t="s">
        <v>108</v>
      </c>
      <c r="P124" s="24">
        <f>uurtarief113</f>
        <v>0</v>
      </c>
      <c r="Q124" s="101" t="e">
        <f>IF(ISBLANK(M124),0,L124/ROUND(M124,4))</f>
        <v>#DIV/0!</v>
      </c>
      <c r="R124" s="101" t="e">
        <f>IF(ISBLANK(M124),0,Q124*ROUND(N124,2))</f>
        <v>#DIV/0!</v>
      </c>
      <c r="S124" s="24" t="e">
        <f>ROUND(P124,2)*Q124</f>
        <v>#DIV/0!</v>
      </c>
      <c r="T124" s="101" t="e">
        <f>Q124*dagenperjaar3</f>
        <v>#DIV/0!</v>
      </c>
      <c r="U124" s="25" t="e">
        <f>T124*ROUND(P124,2)</f>
        <v>#DIV/0!</v>
      </c>
    </row>
    <row r="125" spans="1:21" x14ac:dyDescent="0.2">
      <c r="A125" s="98" t="s">
        <v>616</v>
      </c>
      <c r="B125" s="99" t="s">
        <v>50</v>
      </c>
      <c r="C125" s="99" t="s">
        <v>345</v>
      </c>
      <c r="D125" s="99" t="s">
        <v>385</v>
      </c>
      <c r="E125" s="100" t="s">
        <v>527</v>
      </c>
      <c r="F125" s="99" t="s">
        <v>548</v>
      </c>
      <c r="G125" s="99" t="s">
        <v>319</v>
      </c>
      <c r="H125" s="99" t="s">
        <v>35</v>
      </c>
      <c r="I125" s="99" t="s">
        <v>246</v>
      </c>
      <c r="J125" s="99"/>
      <c r="K125" s="101">
        <v>15.5</v>
      </c>
      <c r="L125" s="101">
        <f>K125*VLOOKUP(H125,dagsoorttabel3,2,FALSE)</f>
        <v>10.637254901960784</v>
      </c>
      <c r="M125" s="102">
        <f>prodnorm105</f>
        <v>0</v>
      </c>
      <c r="N125" s="37">
        <f>dagwerk105</f>
        <v>0</v>
      </c>
      <c r="O125" s="99" t="s">
        <v>108</v>
      </c>
      <c r="P125" s="24">
        <f>uurtarief105</f>
        <v>0</v>
      </c>
      <c r="Q125" s="101" t="e">
        <f>IF(ISBLANK(M125),0,L125/ROUND(M125,4))</f>
        <v>#DIV/0!</v>
      </c>
      <c r="R125" s="101" t="e">
        <f>IF(ISBLANK(M125),0,Q125*ROUND(N125,2))</f>
        <v>#DIV/0!</v>
      </c>
      <c r="S125" s="24" t="e">
        <f>ROUND(P125,2)*Q125</f>
        <v>#DIV/0!</v>
      </c>
      <c r="T125" s="101" t="e">
        <f>Q125*dagenperjaar3</f>
        <v>#DIV/0!</v>
      </c>
      <c r="U125" s="25" t="e">
        <f>T125*ROUND(P125,2)</f>
        <v>#DIV/0!</v>
      </c>
    </row>
    <row r="126" spans="1:21" x14ac:dyDescent="0.2">
      <c r="A126" s="98" t="s">
        <v>616</v>
      </c>
      <c r="B126" s="99" t="s">
        <v>50</v>
      </c>
      <c r="C126" s="99" t="s">
        <v>345</v>
      </c>
      <c r="D126" s="99" t="s">
        <v>386</v>
      </c>
      <c r="E126" s="100" t="s">
        <v>629</v>
      </c>
      <c r="F126" s="99" t="s">
        <v>548</v>
      </c>
      <c r="G126" s="99" t="s">
        <v>323</v>
      </c>
      <c r="H126" s="99" t="s">
        <v>35</v>
      </c>
      <c r="I126" s="99" t="s">
        <v>246</v>
      </c>
      <c r="J126" s="99"/>
      <c r="K126" s="101">
        <v>8.8000000000000007</v>
      </c>
      <c r="L126" s="101">
        <f>K126*VLOOKUP(H126,dagsoorttabel3,2,FALSE)</f>
        <v>6.0392156862745106</v>
      </c>
      <c r="M126" s="102">
        <f>prodnorm113</f>
        <v>0</v>
      </c>
      <c r="N126" s="37">
        <f>dagwerk113</f>
        <v>0</v>
      </c>
      <c r="O126" s="99" t="s">
        <v>108</v>
      </c>
      <c r="P126" s="24">
        <f>uurtarief113</f>
        <v>0</v>
      </c>
      <c r="Q126" s="101" t="e">
        <f>IF(ISBLANK(M126),0,L126/ROUND(M126,4))</f>
        <v>#DIV/0!</v>
      </c>
      <c r="R126" s="101" t="e">
        <f>IF(ISBLANK(M126),0,Q126*ROUND(N126,2))</f>
        <v>#DIV/0!</v>
      </c>
      <c r="S126" s="24" t="e">
        <f>ROUND(P126,2)*Q126</f>
        <v>#DIV/0!</v>
      </c>
      <c r="T126" s="101" t="e">
        <f>Q126*dagenperjaar3</f>
        <v>#DIV/0!</v>
      </c>
      <c r="U126" s="25" t="e">
        <f>T126*ROUND(P126,2)</f>
        <v>#DIV/0!</v>
      </c>
    </row>
    <row r="127" spans="1:21" x14ac:dyDescent="0.2">
      <c r="A127" s="98" t="s">
        <v>616</v>
      </c>
      <c r="B127" s="99" t="s">
        <v>50</v>
      </c>
      <c r="C127" s="99" t="s">
        <v>345</v>
      </c>
      <c r="D127" s="99" t="s">
        <v>387</v>
      </c>
      <c r="E127" s="100" t="s">
        <v>625</v>
      </c>
      <c r="F127" s="99" t="s">
        <v>548</v>
      </c>
      <c r="G127" s="99" t="s">
        <v>323</v>
      </c>
      <c r="H127" s="99" t="s">
        <v>35</v>
      </c>
      <c r="I127" s="99" t="s">
        <v>246</v>
      </c>
      <c r="J127" s="99"/>
      <c r="K127" s="101">
        <v>6</v>
      </c>
      <c r="L127" s="101">
        <f>K127*VLOOKUP(H127,dagsoorttabel3,2,FALSE)</f>
        <v>4.117647058823529</v>
      </c>
      <c r="M127" s="102">
        <f>prodnorm113</f>
        <v>0</v>
      </c>
      <c r="N127" s="37">
        <f>dagwerk113</f>
        <v>0</v>
      </c>
      <c r="O127" s="99" t="s">
        <v>108</v>
      </c>
      <c r="P127" s="24">
        <f>uurtarief113</f>
        <v>0</v>
      </c>
      <c r="Q127" s="101" t="e">
        <f>IF(ISBLANK(M127),0,L127/ROUND(M127,4))</f>
        <v>#DIV/0!</v>
      </c>
      <c r="R127" s="101" t="e">
        <f>IF(ISBLANK(M127),0,Q127*ROUND(N127,2))</f>
        <v>#DIV/0!</v>
      </c>
      <c r="S127" s="24" t="e">
        <f>ROUND(P127,2)*Q127</f>
        <v>#DIV/0!</v>
      </c>
      <c r="T127" s="101" t="e">
        <f>Q127*dagenperjaar3</f>
        <v>#DIV/0!</v>
      </c>
      <c r="U127" s="25" t="e">
        <f>T127*ROUND(P127,2)</f>
        <v>#DIV/0!</v>
      </c>
    </row>
    <row r="128" spans="1:21" x14ac:dyDescent="0.2">
      <c r="A128" s="98" t="s">
        <v>616</v>
      </c>
      <c r="B128" s="99" t="s">
        <v>50</v>
      </c>
      <c r="C128" s="99" t="s">
        <v>345</v>
      </c>
      <c r="D128" s="99" t="s">
        <v>630</v>
      </c>
      <c r="E128" s="100" t="s">
        <v>627</v>
      </c>
      <c r="F128" s="99" t="s">
        <v>548</v>
      </c>
      <c r="G128" s="99" t="s">
        <v>319</v>
      </c>
      <c r="H128" s="99" t="s">
        <v>35</v>
      </c>
      <c r="I128" s="99" t="s">
        <v>246</v>
      </c>
      <c r="J128" s="99"/>
      <c r="K128" s="101">
        <v>1.5</v>
      </c>
      <c r="L128" s="101">
        <f>K128*VLOOKUP(H128,dagsoorttabel3,2,FALSE)</f>
        <v>1.0294117647058822</v>
      </c>
      <c r="M128" s="102">
        <f>prodnorm105</f>
        <v>0</v>
      </c>
      <c r="N128" s="37">
        <f>dagwerk105</f>
        <v>0</v>
      </c>
      <c r="O128" s="99" t="s">
        <v>108</v>
      </c>
      <c r="P128" s="24">
        <f>uurtarief105</f>
        <v>0</v>
      </c>
      <c r="Q128" s="101" t="e">
        <f>IF(ISBLANK(M128),0,L128/ROUND(M128,4))</f>
        <v>#DIV/0!</v>
      </c>
      <c r="R128" s="101" t="e">
        <f>IF(ISBLANK(M128),0,Q128*ROUND(N128,2))</f>
        <v>#DIV/0!</v>
      </c>
      <c r="S128" s="24" t="e">
        <f>ROUND(P128,2)*Q128</f>
        <v>#DIV/0!</v>
      </c>
      <c r="T128" s="101" t="e">
        <f>Q128*dagenperjaar3</f>
        <v>#DIV/0!</v>
      </c>
      <c r="U128" s="25" t="e">
        <f>T128*ROUND(P128,2)</f>
        <v>#DIV/0!</v>
      </c>
    </row>
    <row r="129" spans="1:21" x14ac:dyDescent="0.2">
      <c r="A129" s="98" t="s">
        <v>616</v>
      </c>
      <c r="B129" s="99" t="s">
        <v>50</v>
      </c>
      <c r="C129" s="99" t="s">
        <v>345</v>
      </c>
      <c r="D129" s="99" t="s">
        <v>388</v>
      </c>
      <c r="E129" s="100" t="s">
        <v>407</v>
      </c>
      <c r="F129" s="99" t="s">
        <v>548</v>
      </c>
      <c r="G129" s="99" t="s">
        <v>323</v>
      </c>
      <c r="H129" s="99" t="s">
        <v>35</v>
      </c>
      <c r="I129" s="99" t="s">
        <v>246</v>
      </c>
      <c r="J129" s="99"/>
      <c r="K129" s="101">
        <v>27.2</v>
      </c>
      <c r="L129" s="101">
        <f>K129*VLOOKUP(H129,dagsoorttabel3,2,FALSE)</f>
        <v>18.666666666666668</v>
      </c>
      <c r="M129" s="102">
        <f>prodnorm113</f>
        <v>0</v>
      </c>
      <c r="N129" s="37">
        <f>dagwerk113</f>
        <v>0</v>
      </c>
      <c r="O129" s="99" t="s">
        <v>108</v>
      </c>
      <c r="P129" s="24">
        <f>uurtarief113</f>
        <v>0</v>
      </c>
      <c r="Q129" s="101" t="e">
        <f>IF(ISBLANK(M129),0,L129/ROUND(M129,4))</f>
        <v>#DIV/0!</v>
      </c>
      <c r="R129" s="101" t="e">
        <f>IF(ISBLANK(M129),0,Q129*ROUND(N129,2))</f>
        <v>#DIV/0!</v>
      </c>
      <c r="S129" s="24" t="e">
        <f>ROUND(P129,2)*Q129</f>
        <v>#DIV/0!</v>
      </c>
      <c r="T129" s="101" t="e">
        <f>Q129*dagenperjaar3</f>
        <v>#DIV/0!</v>
      </c>
      <c r="U129" s="25" t="e">
        <f>T129*ROUND(P129,2)</f>
        <v>#DIV/0!</v>
      </c>
    </row>
    <row r="130" spans="1:21" x14ac:dyDescent="0.2">
      <c r="A130" s="98" t="s">
        <v>616</v>
      </c>
      <c r="B130" s="99" t="s">
        <v>50</v>
      </c>
      <c r="C130" s="99" t="s">
        <v>345</v>
      </c>
      <c r="D130" s="99" t="s">
        <v>389</v>
      </c>
      <c r="E130" s="100" t="s">
        <v>619</v>
      </c>
      <c r="F130" s="99" t="s">
        <v>348</v>
      </c>
      <c r="G130" s="99" t="s">
        <v>328</v>
      </c>
      <c r="H130" s="99" t="s">
        <v>35</v>
      </c>
      <c r="I130" s="99" t="s">
        <v>246</v>
      </c>
      <c r="J130" s="99"/>
      <c r="K130" s="101">
        <v>36.1</v>
      </c>
      <c r="L130" s="101">
        <f>K130*VLOOKUP(H130,dagsoorttabel3,2,FALSE)</f>
        <v>24.774509803921571</v>
      </c>
      <c r="M130" s="102">
        <f>prodnorm121</f>
        <v>0</v>
      </c>
      <c r="N130" s="37">
        <f>dagwerk121</f>
        <v>0</v>
      </c>
      <c r="O130" s="99" t="s">
        <v>108</v>
      </c>
      <c r="P130" s="24">
        <f>uurtarief121</f>
        <v>0</v>
      </c>
      <c r="Q130" s="101" t="e">
        <f>IF(ISBLANK(M130),0,L130/ROUND(M130,4))</f>
        <v>#DIV/0!</v>
      </c>
      <c r="R130" s="101" t="e">
        <f>IF(ISBLANK(M130),0,Q130*ROUND(N130,2))</f>
        <v>#DIV/0!</v>
      </c>
      <c r="S130" s="24" t="e">
        <f>ROUND(P130,2)*Q130</f>
        <v>#DIV/0!</v>
      </c>
      <c r="T130" s="101" t="e">
        <f>Q130*dagenperjaar3</f>
        <v>#DIV/0!</v>
      </c>
      <c r="U130" s="25" t="e">
        <f>T130*ROUND(P130,2)</f>
        <v>#DIV/0!</v>
      </c>
    </row>
    <row r="131" spans="1:21" x14ac:dyDescent="0.2">
      <c r="A131" s="98" t="s">
        <v>616</v>
      </c>
      <c r="B131" s="99" t="s">
        <v>50</v>
      </c>
      <c r="C131" s="99" t="s">
        <v>345</v>
      </c>
      <c r="D131" s="99" t="s">
        <v>390</v>
      </c>
      <c r="E131" s="100" t="s">
        <v>407</v>
      </c>
      <c r="F131" s="99" t="s">
        <v>548</v>
      </c>
      <c r="G131" s="99" t="s">
        <v>323</v>
      </c>
      <c r="H131" s="99" t="s">
        <v>35</v>
      </c>
      <c r="I131" s="99" t="s">
        <v>246</v>
      </c>
      <c r="J131" s="99"/>
      <c r="K131" s="101">
        <v>25.3</v>
      </c>
      <c r="L131" s="101">
        <f>K131*VLOOKUP(H131,dagsoorttabel3,2,FALSE)</f>
        <v>17.362745098039216</v>
      </c>
      <c r="M131" s="102">
        <f>prodnorm113</f>
        <v>0</v>
      </c>
      <c r="N131" s="37">
        <f>dagwerk113</f>
        <v>0</v>
      </c>
      <c r="O131" s="99" t="s">
        <v>108</v>
      </c>
      <c r="P131" s="24">
        <f>uurtarief113</f>
        <v>0</v>
      </c>
      <c r="Q131" s="101" t="e">
        <f>IF(ISBLANK(M131),0,L131/ROUND(M131,4))</f>
        <v>#DIV/0!</v>
      </c>
      <c r="R131" s="101" t="e">
        <f>IF(ISBLANK(M131),0,Q131*ROUND(N131,2))</f>
        <v>#DIV/0!</v>
      </c>
      <c r="S131" s="24" t="e">
        <f>ROUND(P131,2)*Q131</f>
        <v>#DIV/0!</v>
      </c>
      <c r="T131" s="101" t="e">
        <f>Q131*dagenperjaar3</f>
        <v>#DIV/0!</v>
      </c>
      <c r="U131" s="25" t="e">
        <f>T131*ROUND(P131,2)</f>
        <v>#DIV/0!</v>
      </c>
    </row>
    <row r="132" spans="1:21" x14ac:dyDescent="0.2">
      <c r="A132" s="98" t="s">
        <v>616</v>
      </c>
      <c r="B132" s="99" t="s">
        <v>50</v>
      </c>
      <c r="C132" s="99" t="s">
        <v>345</v>
      </c>
      <c r="D132" s="99" t="s">
        <v>392</v>
      </c>
      <c r="E132" s="100" t="s">
        <v>527</v>
      </c>
      <c r="F132" s="99" t="s">
        <v>548</v>
      </c>
      <c r="G132" s="99" t="s">
        <v>319</v>
      </c>
      <c r="H132" s="99" t="s">
        <v>35</v>
      </c>
      <c r="I132" s="99" t="s">
        <v>246</v>
      </c>
      <c r="J132" s="99"/>
      <c r="K132" s="101">
        <v>8.1999999999999993</v>
      </c>
      <c r="L132" s="101">
        <f>K132*VLOOKUP(H132,dagsoorttabel3,2,FALSE)</f>
        <v>5.6274509803921564</v>
      </c>
      <c r="M132" s="102">
        <f>prodnorm105</f>
        <v>0</v>
      </c>
      <c r="N132" s="37">
        <f>dagwerk105</f>
        <v>0</v>
      </c>
      <c r="O132" s="99" t="s">
        <v>108</v>
      </c>
      <c r="P132" s="24">
        <f>uurtarief105</f>
        <v>0</v>
      </c>
      <c r="Q132" s="101" t="e">
        <f>IF(ISBLANK(M132),0,L132/ROUND(M132,4))</f>
        <v>#DIV/0!</v>
      </c>
      <c r="R132" s="101" t="e">
        <f>IF(ISBLANK(M132),0,Q132*ROUND(N132,2))</f>
        <v>#DIV/0!</v>
      </c>
      <c r="S132" s="24" t="e">
        <f>ROUND(P132,2)*Q132</f>
        <v>#DIV/0!</v>
      </c>
      <c r="T132" s="101" t="e">
        <f>Q132*dagenperjaar3</f>
        <v>#DIV/0!</v>
      </c>
      <c r="U132" s="25" t="e">
        <f>T132*ROUND(P132,2)</f>
        <v>#DIV/0!</v>
      </c>
    </row>
    <row r="133" spans="1:21" x14ac:dyDescent="0.2">
      <c r="A133" s="98" t="s">
        <v>616</v>
      </c>
      <c r="B133" s="99" t="s">
        <v>50</v>
      </c>
      <c r="C133" s="99" t="s">
        <v>345</v>
      </c>
      <c r="D133" s="99" t="s">
        <v>395</v>
      </c>
      <c r="E133" s="100" t="s">
        <v>527</v>
      </c>
      <c r="F133" s="99" t="s">
        <v>548</v>
      </c>
      <c r="G133" s="99" t="s">
        <v>319</v>
      </c>
      <c r="H133" s="99" t="s">
        <v>35</v>
      </c>
      <c r="I133" s="99" t="s">
        <v>246</v>
      </c>
      <c r="J133" s="99"/>
      <c r="K133" s="101">
        <v>8.3000000000000007</v>
      </c>
      <c r="L133" s="101">
        <f>K133*VLOOKUP(H133,dagsoorttabel3,2,FALSE)</f>
        <v>5.6960784313725492</v>
      </c>
      <c r="M133" s="102">
        <f>prodnorm105</f>
        <v>0</v>
      </c>
      <c r="N133" s="37">
        <f>dagwerk105</f>
        <v>0</v>
      </c>
      <c r="O133" s="99" t="s">
        <v>108</v>
      </c>
      <c r="P133" s="24">
        <f>uurtarief105</f>
        <v>0</v>
      </c>
      <c r="Q133" s="101" t="e">
        <f>IF(ISBLANK(M133),0,L133/ROUND(M133,4))</f>
        <v>#DIV/0!</v>
      </c>
      <c r="R133" s="101" t="e">
        <f>IF(ISBLANK(M133),0,Q133*ROUND(N133,2))</f>
        <v>#DIV/0!</v>
      </c>
      <c r="S133" s="24" t="e">
        <f>ROUND(P133,2)*Q133</f>
        <v>#DIV/0!</v>
      </c>
      <c r="T133" s="101" t="e">
        <f>Q133*dagenperjaar3</f>
        <v>#DIV/0!</v>
      </c>
      <c r="U133" s="25" t="e">
        <f>T133*ROUND(P133,2)</f>
        <v>#DIV/0!</v>
      </c>
    </row>
    <row r="134" spans="1:21" x14ac:dyDescent="0.2">
      <c r="A134" s="98" t="s">
        <v>616</v>
      </c>
      <c r="B134" s="99" t="s">
        <v>50</v>
      </c>
      <c r="C134" s="99" t="s">
        <v>345</v>
      </c>
      <c r="D134" s="99" t="s">
        <v>398</v>
      </c>
      <c r="E134" s="100" t="s">
        <v>407</v>
      </c>
      <c r="F134" s="99" t="s">
        <v>548</v>
      </c>
      <c r="G134" s="99" t="s">
        <v>323</v>
      </c>
      <c r="H134" s="99" t="s">
        <v>35</v>
      </c>
      <c r="I134" s="99" t="s">
        <v>246</v>
      </c>
      <c r="J134" s="99"/>
      <c r="K134" s="101">
        <v>25</v>
      </c>
      <c r="L134" s="101">
        <f>K134*VLOOKUP(H134,dagsoorttabel3,2,FALSE)</f>
        <v>17.156862745098039</v>
      </c>
      <c r="M134" s="102">
        <f>prodnorm113</f>
        <v>0</v>
      </c>
      <c r="N134" s="37">
        <f>dagwerk113</f>
        <v>0</v>
      </c>
      <c r="O134" s="99" t="s">
        <v>108</v>
      </c>
      <c r="P134" s="24">
        <f>uurtarief113</f>
        <v>0</v>
      </c>
      <c r="Q134" s="101" t="e">
        <f>IF(ISBLANK(M134),0,L134/ROUND(M134,4))</f>
        <v>#DIV/0!</v>
      </c>
      <c r="R134" s="101" t="e">
        <f>IF(ISBLANK(M134),0,Q134*ROUND(N134,2))</f>
        <v>#DIV/0!</v>
      </c>
      <c r="S134" s="24" t="e">
        <f>ROUND(P134,2)*Q134</f>
        <v>#DIV/0!</v>
      </c>
      <c r="T134" s="101" t="e">
        <f>Q134*dagenperjaar3</f>
        <v>#DIV/0!</v>
      </c>
      <c r="U134" s="25" t="e">
        <f>T134*ROUND(P134,2)</f>
        <v>#DIV/0!</v>
      </c>
    </row>
    <row r="135" spans="1:21" x14ac:dyDescent="0.2">
      <c r="A135" s="98" t="s">
        <v>616</v>
      </c>
      <c r="B135" s="99" t="s">
        <v>50</v>
      </c>
      <c r="C135" s="99" t="s">
        <v>345</v>
      </c>
      <c r="D135" s="99" t="s">
        <v>399</v>
      </c>
      <c r="E135" s="100" t="s">
        <v>521</v>
      </c>
      <c r="F135" s="99" t="s">
        <v>431</v>
      </c>
      <c r="G135" s="99" t="s">
        <v>327</v>
      </c>
      <c r="H135" s="99" t="s">
        <v>35</v>
      </c>
      <c r="I135" s="99" t="s">
        <v>246</v>
      </c>
      <c r="J135" s="99"/>
      <c r="K135" s="101">
        <v>4</v>
      </c>
      <c r="L135" s="101">
        <f>K135*VLOOKUP(H135,dagsoorttabel3,2,FALSE)</f>
        <v>2.7450980392156863</v>
      </c>
      <c r="M135" s="102">
        <f>prodnorm119</f>
        <v>0</v>
      </c>
      <c r="N135" s="37">
        <f>dagwerk119</f>
        <v>0</v>
      </c>
      <c r="O135" s="99" t="s">
        <v>108</v>
      </c>
      <c r="P135" s="24">
        <f>uurtarief119</f>
        <v>0</v>
      </c>
      <c r="Q135" s="101" t="e">
        <f>IF(ISBLANK(M135),0,L135/ROUND(M135,4))</f>
        <v>#DIV/0!</v>
      </c>
      <c r="R135" s="101" t="e">
        <f>IF(ISBLANK(M135),0,Q135*ROUND(N135,2))</f>
        <v>#DIV/0!</v>
      </c>
      <c r="S135" s="24" t="e">
        <f>ROUND(P135,2)*Q135</f>
        <v>#DIV/0!</v>
      </c>
      <c r="T135" s="101" t="e">
        <f>Q135*dagenperjaar3</f>
        <v>#DIV/0!</v>
      </c>
      <c r="U135" s="25" t="e">
        <f>T135*ROUND(P135,2)</f>
        <v>#DIV/0!</v>
      </c>
    </row>
    <row r="136" spans="1:21" x14ac:dyDescent="0.2">
      <c r="A136" s="98" t="s">
        <v>616</v>
      </c>
      <c r="B136" s="99" t="s">
        <v>50</v>
      </c>
      <c r="C136" s="99" t="s">
        <v>345</v>
      </c>
      <c r="D136" s="99" t="s">
        <v>432</v>
      </c>
      <c r="E136" s="100" t="s">
        <v>521</v>
      </c>
      <c r="F136" s="99" t="s">
        <v>431</v>
      </c>
      <c r="G136" s="99" t="s">
        <v>327</v>
      </c>
      <c r="H136" s="99" t="s">
        <v>35</v>
      </c>
      <c r="I136" s="99" t="s">
        <v>246</v>
      </c>
      <c r="J136" s="99"/>
      <c r="K136" s="101">
        <v>10</v>
      </c>
      <c r="L136" s="101">
        <f>K136*VLOOKUP(H136,dagsoorttabel3,2,FALSE)</f>
        <v>6.8627450980392162</v>
      </c>
      <c r="M136" s="102">
        <f>prodnorm119</f>
        <v>0</v>
      </c>
      <c r="N136" s="37">
        <f>dagwerk119</f>
        <v>0</v>
      </c>
      <c r="O136" s="99" t="s">
        <v>108</v>
      </c>
      <c r="P136" s="24">
        <f>uurtarief119</f>
        <v>0</v>
      </c>
      <c r="Q136" s="101" t="e">
        <f>IF(ISBLANK(M136),0,L136/ROUND(M136,4))</f>
        <v>#DIV/0!</v>
      </c>
      <c r="R136" s="101" t="e">
        <f>IF(ISBLANK(M136),0,Q136*ROUND(N136,2))</f>
        <v>#DIV/0!</v>
      </c>
      <c r="S136" s="24" t="e">
        <f>ROUND(P136,2)*Q136</f>
        <v>#DIV/0!</v>
      </c>
      <c r="T136" s="101" t="e">
        <f>Q136*dagenperjaar3</f>
        <v>#DIV/0!</v>
      </c>
      <c r="U136" s="25" t="e">
        <f>T136*ROUND(P136,2)</f>
        <v>#DIV/0!</v>
      </c>
    </row>
    <row r="137" spans="1:21" x14ac:dyDescent="0.2">
      <c r="A137" s="98" t="s">
        <v>616</v>
      </c>
      <c r="B137" s="99" t="s">
        <v>50</v>
      </c>
      <c r="C137" s="99" t="s">
        <v>345</v>
      </c>
      <c r="D137" s="99" t="s">
        <v>433</v>
      </c>
      <c r="E137" s="100" t="s">
        <v>606</v>
      </c>
      <c r="F137" s="99" t="s">
        <v>443</v>
      </c>
      <c r="G137" s="99" t="s">
        <v>322</v>
      </c>
      <c r="H137" s="99" t="s">
        <v>35</v>
      </c>
      <c r="I137" s="99" t="s">
        <v>246</v>
      </c>
      <c r="J137" s="99"/>
      <c r="K137" s="101">
        <v>309.89999999999998</v>
      </c>
      <c r="L137" s="101">
        <f>K137*VLOOKUP(H137,dagsoorttabel3,2,FALSE)</f>
        <v>212.67647058823528</v>
      </c>
      <c r="M137" s="102">
        <f>prodnorm111</f>
        <v>0</v>
      </c>
      <c r="N137" s="37">
        <f>dagwerk111</f>
        <v>0</v>
      </c>
      <c r="O137" s="99" t="s">
        <v>108</v>
      </c>
      <c r="P137" s="24">
        <f>uurtarief111</f>
        <v>0</v>
      </c>
      <c r="Q137" s="101" t="e">
        <f>IF(ISBLANK(M137),0,L137/ROUND(M137,4))</f>
        <v>#DIV/0!</v>
      </c>
      <c r="R137" s="101" t="e">
        <f>IF(ISBLANK(M137),0,Q137*ROUND(N137,2))</f>
        <v>#DIV/0!</v>
      </c>
      <c r="S137" s="24" t="e">
        <f>ROUND(P137,2)*Q137</f>
        <v>#DIV/0!</v>
      </c>
      <c r="T137" s="101" t="e">
        <f>Q137*dagenperjaar3</f>
        <v>#DIV/0!</v>
      </c>
      <c r="U137" s="25" t="e">
        <f>T137*ROUND(P137,2)</f>
        <v>#DIV/0!</v>
      </c>
    </row>
    <row r="138" spans="1:21" x14ac:dyDescent="0.2">
      <c r="A138" s="98" t="s">
        <v>616</v>
      </c>
      <c r="B138" s="99" t="s">
        <v>50</v>
      </c>
      <c r="C138" s="99" t="s">
        <v>345</v>
      </c>
      <c r="D138" s="99" t="s">
        <v>434</v>
      </c>
      <c r="E138" s="100" t="s">
        <v>606</v>
      </c>
      <c r="F138" s="99" t="s">
        <v>443</v>
      </c>
      <c r="G138" s="99" t="s">
        <v>322</v>
      </c>
      <c r="H138" s="99" t="s">
        <v>35</v>
      </c>
      <c r="I138" s="99" t="s">
        <v>246</v>
      </c>
      <c r="J138" s="99"/>
      <c r="K138" s="101">
        <v>1390</v>
      </c>
      <c r="L138" s="101">
        <f>K138*VLOOKUP(H138,dagsoorttabel3,2,FALSE)</f>
        <v>953.92156862745094</v>
      </c>
      <c r="M138" s="102">
        <f>prodnorm111</f>
        <v>0</v>
      </c>
      <c r="N138" s="37">
        <f>dagwerk111</f>
        <v>0</v>
      </c>
      <c r="O138" s="99" t="s">
        <v>108</v>
      </c>
      <c r="P138" s="24">
        <f>uurtarief111</f>
        <v>0</v>
      </c>
      <c r="Q138" s="101" t="e">
        <f>IF(ISBLANK(M138),0,L138/ROUND(M138,4))</f>
        <v>#DIV/0!</v>
      </c>
      <c r="R138" s="101" t="e">
        <f>IF(ISBLANK(M138),0,Q138*ROUND(N138,2))</f>
        <v>#DIV/0!</v>
      </c>
      <c r="S138" s="24" t="e">
        <f>ROUND(P138,2)*Q138</f>
        <v>#DIV/0!</v>
      </c>
      <c r="T138" s="101" t="e">
        <f>Q138*dagenperjaar3</f>
        <v>#DIV/0!</v>
      </c>
      <c r="U138" s="25" t="e">
        <f>T138*ROUND(P138,2)</f>
        <v>#DIV/0!</v>
      </c>
    </row>
    <row r="139" spans="1:21" x14ac:dyDescent="0.2">
      <c r="A139" s="98" t="s">
        <v>616</v>
      </c>
      <c r="B139" s="99" t="s">
        <v>50</v>
      </c>
      <c r="C139" s="99" t="s">
        <v>452</v>
      </c>
      <c r="D139" s="99" t="s">
        <v>463</v>
      </c>
      <c r="E139" s="100" t="s">
        <v>415</v>
      </c>
      <c r="F139" s="99" t="s">
        <v>348</v>
      </c>
      <c r="G139" s="99" t="s">
        <v>328</v>
      </c>
      <c r="H139" s="99" t="s">
        <v>35</v>
      </c>
      <c r="I139" s="99" t="s">
        <v>246</v>
      </c>
      <c r="J139" s="99"/>
      <c r="K139" s="101">
        <v>17.399999999999999</v>
      </c>
      <c r="L139" s="101">
        <f>K139*VLOOKUP(H139,dagsoorttabel3,2,FALSE)</f>
        <v>11.941176470588234</v>
      </c>
      <c r="M139" s="102">
        <f>prodnorm121</f>
        <v>0</v>
      </c>
      <c r="N139" s="37">
        <f>dagwerk121</f>
        <v>0</v>
      </c>
      <c r="O139" s="99" t="s">
        <v>108</v>
      </c>
      <c r="P139" s="24">
        <f>uurtarief121</f>
        <v>0</v>
      </c>
      <c r="Q139" s="101" t="e">
        <f>IF(ISBLANK(M139),0,L139/ROUND(M139,4))</f>
        <v>#DIV/0!</v>
      </c>
      <c r="R139" s="101" t="e">
        <f>IF(ISBLANK(M139),0,Q139*ROUND(N139,2))</f>
        <v>#DIV/0!</v>
      </c>
      <c r="S139" s="24" t="e">
        <f>ROUND(P139,2)*Q139</f>
        <v>#DIV/0!</v>
      </c>
      <c r="T139" s="101" t="e">
        <f>Q139*dagenperjaar3</f>
        <v>#DIV/0!</v>
      </c>
      <c r="U139" s="25" t="e">
        <f>T139*ROUND(P139,2)</f>
        <v>#DIV/0!</v>
      </c>
    </row>
    <row r="140" spans="1:21" x14ac:dyDescent="0.2">
      <c r="A140" s="98" t="s">
        <v>616</v>
      </c>
      <c r="B140" s="99" t="s">
        <v>50</v>
      </c>
      <c r="C140" s="99" t="s">
        <v>452</v>
      </c>
      <c r="D140" s="99" t="s">
        <v>465</v>
      </c>
      <c r="E140" s="100" t="s">
        <v>415</v>
      </c>
      <c r="F140" s="99" t="s">
        <v>348</v>
      </c>
      <c r="G140" s="99" t="s">
        <v>328</v>
      </c>
      <c r="H140" s="99" t="s">
        <v>35</v>
      </c>
      <c r="I140" s="99" t="s">
        <v>246</v>
      </c>
      <c r="J140" s="99"/>
      <c r="K140" s="101">
        <v>266</v>
      </c>
      <c r="L140" s="101">
        <f>K140*VLOOKUP(H140,dagsoorttabel3,2,FALSE)</f>
        <v>182.54901960784315</v>
      </c>
      <c r="M140" s="102">
        <f>prodnorm121</f>
        <v>0</v>
      </c>
      <c r="N140" s="37">
        <f>dagwerk121</f>
        <v>0</v>
      </c>
      <c r="O140" s="99" t="s">
        <v>108</v>
      </c>
      <c r="P140" s="24">
        <f>uurtarief121</f>
        <v>0</v>
      </c>
      <c r="Q140" s="101" t="e">
        <f>IF(ISBLANK(M140),0,L140/ROUND(M140,4))</f>
        <v>#DIV/0!</v>
      </c>
      <c r="R140" s="101" t="e">
        <f>IF(ISBLANK(M140),0,Q140*ROUND(N140,2))</f>
        <v>#DIV/0!</v>
      </c>
      <c r="S140" s="24" t="e">
        <f>ROUND(P140,2)*Q140</f>
        <v>#DIV/0!</v>
      </c>
      <c r="T140" s="101" t="e">
        <f>Q140*dagenperjaar3</f>
        <v>#DIV/0!</v>
      </c>
      <c r="U140" s="25" t="e">
        <f>T140*ROUND(P140,2)</f>
        <v>#DIV/0!</v>
      </c>
    </row>
    <row r="141" spans="1:21" x14ac:dyDescent="0.2">
      <c r="A141" s="103" t="s">
        <v>616</v>
      </c>
      <c r="B141" s="104" t="s">
        <v>50</v>
      </c>
      <c r="C141" s="104" t="s">
        <v>452</v>
      </c>
      <c r="D141" s="104" t="s">
        <v>467</v>
      </c>
      <c r="E141" s="105" t="s">
        <v>631</v>
      </c>
      <c r="F141" s="104" t="s">
        <v>548</v>
      </c>
      <c r="G141" s="104" t="s">
        <v>328</v>
      </c>
      <c r="H141" s="104" t="s">
        <v>35</v>
      </c>
      <c r="I141" s="104" t="s">
        <v>246</v>
      </c>
      <c r="J141" s="104"/>
      <c r="K141" s="106">
        <v>65.5</v>
      </c>
      <c r="L141" s="106">
        <f>K141*VLOOKUP(H141,dagsoorttabel3,2,FALSE)</f>
        <v>44.950980392156865</v>
      </c>
      <c r="M141" s="107">
        <f>prodnorm121</f>
        <v>0</v>
      </c>
      <c r="N141" s="108">
        <f>dagwerk121</f>
        <v>0</v>
      </c>
      <c r="O141" s="104" t="s">
        <v>108</v>
      </c>
      <c r="P141" s="34">
        <f>uurtarief121</f>
        <v>0</v>
      </c>
      <c r="Q141" s="106" t="e">
        <f>IF(ISBLANK(M141),0,L141/ROUND(M141,4))</f>
        <v>#DIV/0!</v>
      </c>
      <c r="R141" s="106" t="e">
        <f>IF(ISBLANK(M141),0,Q141*ROUND(N141,2))</f>
        <v>#DIV/0!</v>
      </c>
      <c r="S141" s="34" t="e">
        <f>ROUND(P141,2)*Q141</f>
        <v>#DIV/0!</v>
      </c>
      <c r="T141" s="106" t="e">
        <f>Q141*dagenperjaar3</f>
        <v>#DIV/0!</v>
      </c>
      <c r="U141" s="35" t="e">
        <f>T141*ROUND(P141,2)</f>
        <v>#DIV/0!</v>
      </c>
    </row>
    <row r="142" spans="1:21" x14ac:dyDescent="0.2">
      <c r="A142" s="78" t="s">
        <v>671</v>
      </c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81" t="e">
        <f>IF(_xlfn.SINGLE(object21_urenjaar3)&gt;0,_xlfn.SINGLE(object21_prijsjaar3)/_xlfn.SINGLE(object21_urenjaar3),0)</f>
        <v>#DIV/0!</v>
      </c>
      <c r="Q142" s="80" t="e">
        <f>SUM(Q104:Q141)</f>
        <v>#DIV/0!</v>
      </c>
      <c r="R142" s="80" t="e">
        <f>SUM(R104:R141)</f>
        <v>#DIV/0!</v>
      </c>
      <c r="S142" s="81" t="e">
        <f>SUM(S104:S141)</f>
        <v>#DIV/0!</v>
      </c>
      <c r="T142" s="80" t="e">
        <f>SUM(T104:T141)</f>
        <v>#DIV/0!</v>
      </c>
      <c r="U142" s="81" t="e">
        <f>SUM(U104:U141)</f>
        <v>#DIV/0!</v>
      </c>
    </row>
  </sheetData>
  <sheetProtection algorithmName="SHA-512" hashValue="UioXqhPSGFhMNtPV4Bz/PlB76HogwkLOuO7jPw0g293C8naHT+L58gGkNpO/oaQ5i6dMOWXh+fyRDEbI0xHgwg==" saltValue="Xqkut0Y9rQghK5ABITOW2A==" spinCount="100000" sheet="1" objects="1" scenarios="1" autoFilter="0"/>
  <autoFilter ref="A3:U142" xr:uid="{9FEA7211-C9E8-4D25-8AF2-E855926A47BB}"/>
  <pageMargins left="0.7" right="0.7" top="0.75" bottom="0.75" header="0.3" footer="0.3"/>
  <pageSetup scale="61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A1767-A6E1-4995-906B-179D3D990DF7}">
  <dimension ref="A1:AK98"/>
  <sheetViews>
    <sheetView workbookViewId="0"/>
  </sheetViews>
  <sheetFormatPr defaultRowHeight="12.6" x14ac:dyDescent="0.2"/>
  <cols>
    <col min="1" max="1" width="5.6328125" customWidth="1"/>
    <col min="2" max="2" width="6.1796875" customWidth="1"/>
    <col min="3" max="3" width="11.6328125" customWidth="1"/>
    <col min="4" max="37" width="12.6328125" customWidth="1"/>
  </cols>
  <sheetData>
    <row r="1" spans="1:37" x14ac:dyDescent="0.2">
      <c r="A1" s="1" t="s">
        <v>672</v>
      </c>
    </row>
    <row r="3" spans="1:37" ht="25.2" x14ac:dyDescent="0.2">
      <c r="A3" s="112" t="s">
        <v>237</v>
      </c>
      <c r="B3" s="112" t="s">
        <v>7</v>
      </c>
      <c r="C3" s="113" t="s">
        <v>673</v>
      </c>
      <c r="D3" s="113" t="s">
        <v>674</v>
      </c>
      <c r="E3" s="113" t="s">
        <v>675</v>
      </c>
      <c r="F3" s="113" t="s">
        <v>676</v>
      </c>
      <c r="G3" s="113" t="s">
        <v>677</v>
      </c>
      <c r="H3" s="113" t="s">
        <v>678</v>
      </c>
      <c r="I3" s="112" t="s">
        <v>679</v>
      </c>
      <c r="J3" s="112" t="s">
        <v>680</v>
      </c>
      <c r="K3" s="112" t="s">
        <v>681</v>
      </c>
      <c r="L3" s="112" t="s">
        <v>682</v>
      </c>
      <c r="M3" s="112" t="s">
        <v>683</v>
      </c>
      <c r="N3" s="112" t="s">
        <v>684</v>
      </c>
      <c r="O3" s="112" t="s">
        <v>685</v>
      </c>
      <c r="P3" s="112" t="s">
        <v>686</v>
      </c>
      <c r="Q3" s="112" t="s">
        <v>687</v>
      </c>
      <c r="R3" s="112" t="s">
        <v>688</v>
      </c>
      <c r="S3" s="112" t="s">
        <v>689</v>
      </c>
      <c r="T3" s="112" t="s">
        <v>690</v>
      </c>
      <c r="U3" s="112" t="s">
        <v>691</v>
      </c>
      <c r="V3" s="112" t="s">
        <v>692</v>
      </c>
      <c r="W3" s="112" t="s">
        <v>693</v>
      </c>
      <c r="X3" s="112" t="s">
        <v>694</v>
      </c>
      <c r="Y3" s="112" t="s">
        <v>695</v>
      </c>
      <c r="Z3" s="112" t="s">
        <v>696</v>
      </c>
      <c r="AA3" s="112" t="s">
        <v>697</v>
      </c>
      <c r="AB3" s="112" t="s">
        <v>698</v>
      </c>
      <c r="AC3" s="112" t="s">
        <v>699</v>
      </c>
      <c r="AD3" s="112" t="s">
        <v>700</v>
      </c>
      <c r="AE3" s="112" t="s">
        <v>701</v>
      </c>
      <c r="AF3" s="112" t="s">
        <v>702</v>
      </c>
      <c r="AG3" s="112" t="s">
        <v>703</v>
      </c>
      <c r="AH3" s="112" t="s">
        <v>704</v>
      </c>
      <c r="AI3" s="112" t="s">
        <v>705</v>
      </c>
      <c r="AJ3" s="112" t="s">
        <v>706</v>
      </c>
      <c r="AK3" s="112" t="s">
        <v>707</v>
      </c>
    </row>
    <row r="4" spans="1:37" x14ac:dyDescent="0.2">
      <c r="A4" s="114"/>
      <c r="B4" s="114"/>
      <c r="C4" s="114"/>
      <c r="D4" s="114"/>
      <c r="E4" s="114"/>
      <c r="F4" s="114"/>
      <c r="G4" s="114"/>
      <c r="H4" s="114"/>
      <c r="I4" s="114"/>
      <c r="J4" s="115" t="s">
        <v>239</v>
      </c>
      <c r="K4" s="115" t="s">
        <v>239</v>
      </c>
      <c r="L4" s="115" t="s">
        <v>239</v>
      </c>
      <c r="M4" s="115" t="s">
        <v>239</v>
      </c>
      <c r="N4" s="115" t="s">
        <v>239</v>
      </c>
      <c r="O4" s="115" t="s">
        <v>239</v>
      </c>
      <c r="P4" s="115" t="s">
        <v>239</v>
      </c>
      <c r="Q4" s="115" t="s">
        <v>239</v>
      </c>
      <c r="R4" s="115" t="s">
        <v>239</v>
      </c>
      <c r="S4" s="115" t="s">
        <v>239</v>
      </c>
      <c r="T4" s="115" t="s">
        <v>239</v>
      </c>
      <c r="U4" s="115" t="s">
        <v>239</v>
      </c>
      <c r="V4" s="115" t="s">
        <v>239</v>
      </c>
      <c r="W4" s="115" t="s">
        <v>239</v>
      </c>
      <c r="X4" s="115" t="s">
        <v>239</v>
      </c>
      <c r="Y4" s="115" t="s">
        <v>239</v>
      </c>
      <c r="Z4" s="115" t="s">
        <v>239</v>
      </c>
      <c r="AA4" s="115" t="s">
        <v>239</v>
      </c>
      <c r="AB4" s="115" t="s">
        <v>239</v>
      </c>
      <c r="AC4" s="115" t="s">
        <v>239</v>
      </c>
      <c r="AD4" s="115" t="s">
        <v>239</v>
      </c>
      <c r="AE4" s="115" t="s">
        <v>239</v>
      </c>
      <c r="AF4" s="115" t="s">
        <v>239</v>
      </c>
      <c r="AG4" s="115" t="s">
        <v>239</v>
      </c>
      <c r="AH4" s="115" t="s">
        <v>239</v>
      </c>
      <c r="AI4" s="115" t="s">
        <v>239</v>
      </c>
      <c r="AJ4" s="115" t="s">
        <v>239</v>
      </c>
      <c r="AK4" s="115" t="s">
        <v>239</v>
      </c>
    </row>
    <row r="5" spans="1:37" x14ac:dyDescent="0.2">
      <c r="A5" s="51" t="s">
        <v>245</v>
      </c>
      <c r="B5" s="51" t="s">
        <v>24</v>
      </c>
      <c r="C5" s="51" t="s">
        <v>708</v>
      </c>
      <c r="D5" s="51" t="s">
        <v>246</v>
      </c>
      <c r="E5" s="69">
        <f>IF(B5="","",VLOOKUP(B5,dagsoorttabel1,2,FALSE))</f>
        <v>4.7058823529411764E-2</v>
      </c>
      <c r="F5" s="69">
        <v>1</v>
      </c>
      <c r="G5" s="69">
        <f>IF(prodnorm32&gt;0,1/ROUND(prodnorm32,4),0)</f>
        <v>0</v>
      </c>
      <c r="H5" s="71">
        <f>ROUND(dagwerk32,4+2)</f>
        <v>0</v>
      </c>
      <c r="I5" s="55">
        <f>ROUND(uurtarief32,2)</f>
        <v>0</v>
      </c>
      <c r="J5" s="69">
        <v>0</v>
      </c>
      <c r="K5" s="69">
        <v>0</v>
      </c>
      <c r="L5" s="69">
        <v>0</v>
      </c>
      <c r="M5" s="69">
        <v>0</v>
      </c>
      <c r="N5" s="69">
        <v>0</v>
      </c>
      <c r="O5" s="69">
        <v>0</v>
      </c>
      <c r="P5" s="69">
        <v>0</v>
      </c>
      <c r="Q5" s="69">
        <v>0</v>
      </c>
      <c r="R5" s="69">
        <v>0</v>
      </c>
      <c r="S5" s="69">
        <v>0</v>
      </c>
      <c r="T5" s="69">
        <v>0</v>
      </c>
      <c r="U5" s="69">
        <v>0</v>
      </c>
      <c r="V5" s="69">
        <v>0</v>
      </c>
      <c r="W5" s="69">
        <v>0</v>
      </c>
      <c r="X5" s="69">
        <v>0</v>
      </c>
      <c r="Y5" s="69">
        <v>0</v>
      </c>
      <c r="Z5" s="69">
        <v>0</v>
      </c>
      <c r="AA5" s="69">
        <v>0</v>
      </c>
      <c r="AB5" s="69">
        <v>0</v>
      </c>
      <c r="AC5" s="69">
        <v>12.86</v>
      </c>
      <c r="AD5" s="69">
        <v>0</v>
      </c>
      <c r="AE5" s="69">
        <v>12.86</v>
      </c>
      <c r="AF5" s="69">
        <v>0</v>
      </c>
      <c r="AG5" s="69">
        <v>0</v>
      </c>
      <c r="AH5" s="69">
        <v>0</v>
      </c>
      <c r="AI5" s="69">
        <v>0</v>
      </c>
      <c r="AJ5" s="69">
        <v>0</v>
      </c>
      <c r="AK5" s="69">
        <v>1.9400000000000002</v>
      </c>
    </row>
    <row r="6" spans="1:37" x14ac:dyDescent="0.2">
      <c r="A6" s="56" t="s">
        <v>248</v>
      </c>
      <c r="B6" s="56" t="s">
        <v>16</v>
      </c>
      <c r="C6" s="56" t="s">
        <v>708</v>
      </c>
      <c r="D6" s="56" t="s">
        <v>246</v>
      </c>
      <c r="E6" s="72">
        <f>IF(B6="","",VLOOKUP(B6,dagsoorttabel1,2,FALSE))</f>
        <v>0.58823529411764708</v>
      </c>
      <c r="F6" s="72">
        <v>1</v>
      </c>
      <c r="G6" s="72">
        <f>IF(prodnorm33&gt;0,1/ROUND(prodnorm33,4),0)</f>
        <v>0</v>
      </c>
      <c r="H6" s="74">
        <f>ROUND(dagwerk33,4+2)</f>
        <v>0</v>
      </c>
      <c r="I6" s="60">
        <f>ROUND(uurtarief33,2)</f>
        <v>0</v>
      </c>
      <c r="J6" s="72">
        <v>0</v>
      </c>
      <c r="K6" s="72">
        <v>0</v>
      </c>
      <c r="L6" s="72">
        <v>0</v>
      </c>
      <c r="M6" s="72">
        <v>13.78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0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0</v>
      </c>
      <c r="AJ6" s="72">
        <v>0</v>
      </c>
      <c r="AK6" s="72">
        <v>0</v>
      </c>
    </row>
    <row r="7" spans="1:37" x14ac:dyDescent="0.2">
      <c r="A7" s="56" t="s">
        <v>248</v>
      </c>
      <c r="B7" s="56" t="s">
        <v>14</v>
      </c>
      <c r="C7" s="56" t="s">
        <v>708</v>
      </c>
      <c r="D7" s="56" t="s">
        <v>246</v>
      </c>
      <c r="E7" s="72">
        <f>IF(B7="","",VLOOKUP(B7,dagsoorttabel1,2,FALSE))</f>
        <v>0.68627450980392157</v>
      </c>
      <c r="F7" s="72">
        <v>1</v>
      </c>
      <c r="G7" s="72">
        <f>IF(prodnorm34&gt;0,1/ROUND(prodnorm34,4),0)</f>
        <v>0</v>
      </c>
      <c r="H7" s="74">
        <f>ROUND(dagwerk34,4+2)</f>
        <v>0</v>
      </c>
      <c r="I7" s="60">
        <f>ROUND(uurtarief34,2)</f>
        <v>0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14.7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</row>
    <row r="8" spans="1:37" x14ac:dyDescent="0.2">
      <c r="A8" s="56" t="s">
        <v>248</v>
      </c>
      <c r="B8" s="56" t="s">
        <v>13</v>
      </c>
      <c r="C8" s="56" t="s">
        <v>708</v>
      </c>
      <c r="D8" s="56" t="s">
        <v>246</v>
      </c>
      <c r="E8" s="72">
        <f>IF(B8="","",VLOOKUP(B8,dagsoorttabel1,2,FALSE))</f>
        <v>0.78431372549019607</v>
      </c>
      <c r="F8" s="72">
        <v>1</v>
      </c>
      <c r="G8" s="72">
        <f>IF(prodnorm35&gt;0,1/ROUND(prodnorm35,4),0)</f>
        <v>0</v>
      </c>
      <c r="H8" s="74">
        <f>ROUND(dagwerk35,4+2)</f>
        <v>0</v>
      </c>
      <c r="I8" s="60">
        <f>ROUND(uurtarief35,2)</f>
        <v>0</v>
      </c>
      <c r="J8" s="72">
        <v>14</v>
      </c>
      <c r="K8" s="72">
        <v>0</v>
      </c>
      <c r="L8" s="72">
        <v>612.35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6.9</v>
      </c>
      <c r="AD8" s="72">
        <v>0</v>
      </c>
      <c r="AE8" s="72">
        <v>0</v>
      </c>
      <c r="AF8" s="72">
        <v>7.87</v>
      </c>
      <c r="AG8" s="72">
        <v>4.92</v>
      </c>
      <c r="AH8" s="72">
        <v>4.75</v>
      </c>
      <c r="AI8" s="72">
        <v>3.32</v>
      </c>
      <c r="AJ8" s="72">
        <v>4.25</v>
      </c>
      <c r="AK8" s="72">
        <v>0</v>
      </c>
    </row>
    <row r="9" spans="1:37" x14ac:dyDescent="0.2">
      <c r="A9" s="56" t="s">
        <v>248</v>
      </c>
      <c r="B9" s="56" t="s">
        <v>11</v>
      </c>
      <c r="C9" s="56" t="s">
        <v>708</v>
      </c>
      <c r="D9" s="56" t="s">
        <v>246</v>
      </c>
      <c r="E9" s="72">
        <f>IF(B9="","",VLOOKUP(B9,dagsoorttabel1,2,FALSE))</f>
        <v>0.88235294117647056</v>
      </c>
      <c r="F9" s="72">
        <v>1</v>
      </c>
      <c r="G9" s="72">
        <f>IF(prodnorm36&gt;0,1/ROUND(prodnorm36,4),0)</f>
        <v>0</v>
      </c>
      <c r="H9" s="74">
        <f>ROUND(dagwerk36,4+2)</f>
        <v>0</v>
      </c>
      <c r="I9" s="60">
        <f>ROUND(uurtarief36,2)</f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8</v>
      </c>
      <c r="Q9" s="72">
        <v>5</v>
      </c>
      <c r="R9" s="72">
        <v>6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</row>
    <row r="10" spans="1:37" x14ac:dyDescent="0.2">
      <c r="A10" s="56" t="s">
        <v>251</v>
      </c>
      <c r="B10" s="56" t="s">
        <v>16</v>
      </c>
      <c r="C10" s="56" t="s">
        <v>708</v>
      </c>
      <c r="D10" s="56" t="s">
        <v>246</v>
      </c>
      <c r="E10" s="72">
        <f>IF(B10="","",VLOOKUP(B10,dagsoorttabel1,2,FALSE))</f>
        <v>0.58823529411764708</v>
      </c>
      <c r="F10" s="72">
        <v>1</v>
      </c>
      <c r="G10" s="72">
        <f>IF(prodnorm37&gt;0,1/ROUND(prodnorm37,4),0)</f>
        <v>0</v>
      </c>
      <c r="H10" s="74">
        <f>ROUND(dagwerk37,4+2)</f>
        <v>0</v>
      </c>
      <c r="I10" s="60">
        <f>ROUND(uurtarief37,2)</f>
        <v>0</v>
      </c>
      <c r="J10" s="72">
        <v>0</v>
      </c>
      <c r="K10" s="72">
        <v>0</v>
      </c>
      <c r="L10" s="72">
        <v>0</v>
      </c>
      <c r="M10" s="72">
        <v>35.5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</row>
    <row r="11" spans="1:37" x14ac:dyDescent="0.2">
      <c r="A11" s="56" t="s">
        <v>251</v>
      </c>
      <c r="B11" s="56" t="s">
        <v>14</v>
      </c>
      <c r="C11" s="56" t="s">
        <v>708</v>
      </c>
      <c r="D11" s="56" t="s">
        <v>246</v>
      </c>
      <c r="E11" s="72">
        <f>IF(B11="","",VLOOKUP(B11,dagsoorttabel1,2,FALSE))</f>
        <v>0.68627450980392157</v>
      </c>
      <c r="F11" s="72">
        <v>1</v>
      </c>
      <c r="G11" s="72">
        <f>IF(prodnorm38&gt;0,1/ROUND(prodnorm38,4),0)</f>
        <v>0</v>
      </c>
      <c r="H11" s="74">
        <f>ROUND(dagwerk38,4+2)</f>
        <v>0</v>
      </c>
      <c r="I11" s="60">
        <f>ROUND(uurtarief38,2)</f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70.2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</row>
    <row r="12" spans="1:37" x14ac:dyDescent="0.2">
      <c r="A12" s="56" t="s">
        <v>251</v>
      </c>
      <c r="B12" s="56" t="s">
        <v>13</v>
      </c>
      <c r="C12" s="56" t="s">
        <v>708</v>
      </c>
      <c r="D12" s="56" t="s">
        <v>246</v>
      </c>
      <c r="E12" s="72">
        <f>IF(B12="","",VLOOKUP(B12,dagsoorttabel1,2,FALSE))</f>
        <v>0.78431372549019607</v>
      </c>
      <c r="F12" s="72">
        <v>1</v>
      </c>
      <c r="G12" s="72">
        <f>IF(prodnorm39&gt;0,1/ROUND(prodnorm39,4),0)</f>
        <v>0</v>
      </c>
      <c r="H12" s="74">
        <f>ROUND(dagwerk39,4+2)</f>
        <v>0</v>
      </c>
      <c r="I12" s="60">
        <f>ROUND(uurtarief39,2)</f>
        <v>0</v>
      </c>
      <c r="J12" s="72">
        <v>0</v>
      </c>
      <c r="K12" s="72">
        <v>0</v>
      </c>
      <c r="L12" s="72">
        <v>107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9.1999999999999993</v>
      </c>
      <c r="AD12" s="72">
        <v>0</v>
      </c>
      <c r="AE12" s="72">
        <v>9.1999999999999993</v>
      </c>
      <c r="AF12" s="72">
        <v>30.89</v>
      </c>
      <c r="AG12" s="72">
        <v>26.6</v>
      </c>
      <c r="AH12" s="72">
        <v>32.830000000000005</v>
      </c>
      <c r="AI12" s="72">
        <v>26.36</v>
      </c>
      <c r="AJ12" s="72">
        <v>26.08</v>
      </c>
      <c r="AK12" s="72">
        <v>22.770000000000003</v>
      </c>
    </row>
    <row r="13" spans="1:37" x14ac:dyDescent="0.2">
      <c r="A13" s="56" t="s">
        <v>251</v>
      </c>
      <c r="B13" s="56" t="s">
        <v>11</v>
      </c>
      <c r="C13" s="56" t="s">
        <v>708</v>
      </c>
      <c r="D13" s="56" t="s">
        <v>246</v>
      </c>
      <c r="E13" s="72">
        <f>IF(B13="","",VLOOKUP(B13,dagsoorttabel1,2,FALSE))</f>
        <v>0.88235294117647056</v>
      </c>
      <c r="F13" s="72">
        <v>1</v>
      </c>
      <c r="G13" s="72">
        <f>IF(prodnorm40&gt;0,1/ROUND(prodnorm40,4),0)</f>
        <v>0</v>
      </c>
      <c r="H13" s="74">
        <f>ROUND(dagwerk40,4+2)</f>
        <v>0</v>
      </c>
      <c r="I13" s="60">
        <f>ROUND(uurtarief40,2)</f>
        <v>0</v>
      </c>
      <c r="J13" s="72">
        <v>0</v>
      </c>
      <c r="K13" s="72">
        <v>0</v>
      </c>
      <c r="L13" s="72">
        <v>0</v>
      </c>
      <c r="M13" s="72">
        <v>0</v>
      </c>
      <c r="N13" s="72">
        <v>27.5</v>
      </c>
      <c r="O13" s="72">
        <v>35</v>
      </c>
      <c r="P13" s="72">
        <v>1.5</v>
      </c>
      <c r="Q13" s="72">
        <v>27.5</v>
      </c>
      <c r="R13" s="72">
        <v>17</v>
      </c>
      <c r="S13" s="72">
        <v>40</v>
      </c>
      <c r="T13" s="72">
        <v>43</v>
      </c>
      <c r="U13" s="72">
        <v>40</v>
      </c>
      <c r="V13" s="72">
        <v>10</v>
      </c>
      <c r="W13" s="72">
        <v>26</v>
      </c>
      <c r="X13" s="72">
        <v>34</v>
      </c>
      <c r="Y13" s="72">
        <v>24</v>
      </c>
      <c r="Z13" s="72">
        <v>25.16</v>
      </c>
      <c r="AA13" s="72">
        <v>0</v>
      </c>
      <c r="AB13" s="72">
        <v>34.159999999999997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</row>
    <row r="14" spans="1:37" x14ac:dyDescent="0.2">
      <c r="A14" s="56" t="s">
        <v>253</v>
      </c>
      <c r="B14" s="56" t="s">
        <v>14</v>
      </c>
      <c r="C14" s="56" t="s">
        <v>708</v>
      </c>
      <c r="D14" s="56" t="s">
        <v>246</v>
      </c>
      <c r="E14" s="72">
        <f>IF(B14="","",VLOOKUP(B14,dagsoorttabel1,2,FALSE))</f>
        <v>0.68627450980392157</v>
      </c>
      <c r="F14" s="72">
        <v>1</v>
      </c>
      <c r="G14" s="72">
        <f>IF(prodnorm41&gt;0,1/ROUND(prodnorm41,4),0)</f>
        <v>0</v>
      </c>
      <c r="H14" s="74">
        <f>ROUND(dagwerk41,4+2)</f>
        <v>0</v>
      </c>
      <c r="I14" s="60">
        <f>ROUND(uurtarief41,2)</f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42.8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</row>
    <row r="15" spans="1:37" x14ac:dyDescent="0.2">
      <c r="A15" s="56" t="s">
        <v>253</v>
      </c>
      <c r="B15" s="56" t="s">
        <v>13</v>
      </c>
      <c r="C15" s="56" t="s">
        <v>708</v>
      </c>
      <c r="D15" s="56" t="s">
        <v>246</v>
      </c>
      <c r="E15" s="72">
        <f>IF(B15="","",VLOOKUP(B15,dagsoorttabel1,2,FALSE))</f>
        <v>0.78431372549019607</v>
      </c>
      <c r="F15" s="72">
        <v>1</v>
      </c>
      <c r="G15" s="72">
        <f>IF(prodnorm42&gt;0,1/ROUND(prodnorm42,4),0)</f>
        <v>0</v>
      </c>
      <c r="H15" s="74">
        <f>ROUND(dagwerk42,4+2)</f>
        <v>0</v>
      </c>
      <c r="I15" s="60">
        <f>ROUND(uurtarief42,2)</f>
        <v>0</v>
      </c>
      <c r="J15" s="72">
        <v>0</v>
      </c>
      <c r="K15" s="72">
        <v>0</v>
      </c>
      <c r="L15" s="72">
        <v>34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26.9</v>
      </c>
      <c r="AD15" s="72">
        <v>0</v>
      </c>
      <c r="AE15" s="72">
        <v>0</v>
      </c>
      <c r="AF15" s="72">
        <v>8.0299999999999994</v>
      </c>
      <c r="AG15" s="72">
        <v>0</v>
      </c>
      <c r="AH15" s="72">
        <v>4.09</v>
      </c>
      <c r="AI15" s="72">
        <v>19.14</v>
      </c>
      <c r="AJ15" s="72">
        <v>5.3199999999999994</v>
      </c>
      <c r="AK15" s="72">
        <v>0</v>
      </c>
    </row>
    <row r="16" spans="1:37" x14ac:dyDescent="0.2">
      <c r="A16" s="56" t="s">
        <v>253</v>
      </c>
      <c r="B16" s="56" t="s">
        <v>11</v>
      </c>
      <c r="C16" s="56" t="s">
        <v>708</v>
      </c>
      <c r="D16" s="56" t="s">
        <v>246</v>
      </c>
      <c r="E16" s="72">
        <f>IF(B16="","",VLOOKUP(B16,dagsoorttabel1,2,FALSE))</f>
        <v>0.88235294117647056</v>
      </c>
      <c r="F16" s="72">
        <v>1</v>
      </c>
      <c r="G16" s="72">
        <f>IF(prodnorm43&gt;0,1/ROUND(prodnorm43,4),0)</f>
        <v>0</v>
      </c>
      <c r="H16" s="74">
        <f>ROUND(dagwerk43,4+2)</f>
        <v>0</v>
      </c>
      <c r="I16" s="60">
        <f>ROUND(uurtarief43,2)</f>
        <v>0</v>
      </c>
      <c r="J16" s="72">
        <v>0</v>
      </c>
      <c r="K16" s="72">
        <v>0</v>
      </c>
      <c r="L16" s="72">
        <v>0</v>
      </c>
      <c r="M16" s="72">
        <v>0</v>
      </c>
      <c r="N16" s="72">
        <v>10</v>
      </c>
      <c r="O16" s="72">
        <v>11.5</v>
      </c>
      <c r="P16" s="72">
        <v>19</v>
      </c>
      <c r="Q16" s="72">
        <v>19</v>
      </c>
      <c r="R16" s="72">
        <v>3</v>
      </c>
      <c r="S16" s="72">
        <v>3</v>
      </c>
      <c r="T16" s="72">
        <v>64</v>
      </c>
      <c r="U16" s="72">
        <v>59</v>
      </c>
      <c r="V16" s="72">
        <v>7</v>
      </c>
      <c r="W16" s="72">
        <v>20</v>
      </c>
      <c r="X16" s="72">
        <v>22.5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</row>
    <row r="17" spans="1:37" x14ac:dyDescent="0.2">
      <c r="A17" s="56" t="s">
        <v>253</v>
      </c>
      <c r="B17" s="56" t="s">
        <v>10</v>
      </c>
      <c r="C17" s="56" t="s">
        <v>708</v>
      </c>
      <c r="D17" s="56" t="s">
        <v>246</v>
      </c>
      <c r="E17" s="72">
        <f>IF(B17="","",VLOOKUP(B17,dagsoorttabel1,2,FALSE))</f>
        <v>1</v>
      </c>
      <c r="F17" s="72">
        <v>1</v>
      </c>
      <c r="G17" s="72">
        <f>IF(prodnorm44&gt;0,1/ROUND(prodnorm44,4),0)</f>
        <v>0</v>
      </c>
      <c r="H17" s="74">
        <f>ROUND(dagwerk44,4+2)</f>
        <v>0</v>
      </c>
      <c r="I17" s="60">
        <f>ROUND(uurtarief44,2)</f>
        <v>0</v>
      </c>
      <c r="J17" s="72">
        <v>0</v>
      </c>
      <c r="K17" s="72">
        <v>10.5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</row>
    <row r="18" spans="1:37" x14ac:dyDescent="0.2">
      <c r="A18" s="56" t="s">
        <v>255</v>
      </c>
      <c r="B18" s="56" t="s">
        <v>13</v>
      </c>
      <c r="C18" s="56" t="s">
        <v>708</v>
      </c>
      <c r="D18" s="56" t="s">
        <v>246</v>
      </c>
      <c r="E18" s="72">
        <f>IF(B18="","",VLOOKUP(B18,dagsoorttabel1,2,FALSE))</f>
        <v>0.78431372549019607</v>
      </c>
      <c r="F18" s="72">
        <v>1</v>
      </c>
      <c r="G18" s="72">
        <f>IF(prodnorm45&gt;0,1/ROUND(prodnorm45,4),0)</f>
        <v>0</v>
      </c>
      <c r="H18" s="74">
        <f>ROUND(dagwerk45,4+2)</f>
        <v>0</v>
      </c>
      <c r="I18" s="60">
        <f>ROUND(uurtarief45,2)</f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4.92</v>
      </c>
      <c r="AH18" s="72">
        <v>0</v>
      </c>
      <c r="AI18" s="72">
        <v>0</v>
      </c>
      <c r="AJ18" s="72">
        <v>0</v>
      </c>
      <c r="AK18" s="72">
        <v>0</v>
      </c>
    </row>
    <row r="19" spans="1:37" x14ac:dyDescent="0.2">
      <c r="A19" s="56" t="s">
        <v>257</v>
      </c>
      <c r="B19" s="56" t="s">
        <v>16</v>
      </c>
      <c r="C19" s="56" t="s">
        <v>708</v>
      </c>
      <c r="D19" s="56" t="s">
        <v>246</v>
      </c>
      <c r="E19" s="72">
        <f>IF(B19="","",VLOOKUP(B19,dagsoorttabel1,2,FALSE))</f>
        <v>0.58823529411764708</v>
      </c>
      <c r="F19" s="72">
        <v>1</v>
      </c>
      <c r="G19" s="72">
        <f>IF(prodnorm46&gt;0,1/ROUND(prodnorm46,4),0)</f>
        <v>0</v>
      </c>
      <c r="H19" s="74">
        <f>ROUND(dagwerk46,4+2)</f>
        <v>0</v>
      </c>
      <c r="I19" s="60">
        <f>ROUND(uurtarief46,2)</f>
        <v>0</v>
      </c>
      <c r="J19" s="72">
        <v>0</v>
      </c>
      <c r="K19" s="72">
        <v>0</v>
      </c>
      <c r="L19" s="72">
        <v>0</v>
      </c>
      <c r="M19" s="72">
        <v>1.61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</row>
    <row r="20" spans="1:37" x14ac:dyDescent="0.2">
      <c r="A20" s="56" t="s">
        <v>257</v>
      </c>
      <c r="B20" s="56" t="s">
        <v>14</v>
      </c>
      <c r="C20" s="56" t="s">
        <v>708</v>
      </c>
      <c r="D20" s="56" t="s">
        <v>246</v>
      </c>
      <c r="E20" s="72">
        <f>IF(B20="","",VLOOKUP(B20,dagsoorttabel1,2,FALSE))</f>
        <v>0.68627450980392157</v>
      </c>
      <c r="F20" s="72">
        <v>1</v>
      </c>
      <c r="G20" s="72">
        <f>IF(prodnorm47&gt;0,1/ROUND(prodnorm47,4),0)</f>
        <v>0</v>
      </c>
      <c r="H20" s="74">
        <f>ROUND(dagwerk47,4+2)</f>
        <v>0</v>
      </c>
      <c r="I20" s="60">
        <f>ROUND(uurtarief47,2)</f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4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</row>
    <row r="21" spans="1:37" x14ac:dyDescent="0.2">
      <c r="A21" s="56" t="s">
        <v>257</v>
      </c>
      <c r="B21" s="56" t="s">
        <v>13</v>
      </c>
      <c r="C21" s="56" t="s">
        <v>708</v>
      </c>
      <c r="D21" s="56" t="s">
        <v>246</v>
      </c>
      <c r="E21" s="72">
        <f>IF(B21="","",VLOOKUP(B21,dagsoorttabel1,2,FALSE))</f>
        <v>0.78431372549019607</v>
      </c>
      <c r="F21" s="72">
        <v>1</v>
      </c>
      <c r="G21" s="72">
        <f>IF(prodnorm48&gt;0,1/ROUND(prodnorm48,4),0)</f>
        <v>0</v>
      </c>
      <c r="H21" s="74">
        <f>ROUND(dagwerk48,4+2)</f>
        <v>0</v>
      </c>
      <c r="I21" s="60">
        <f>ROUND(uurtarief48,2)</f>
        <v>0</v>
      </c>
      <c r="J21" s="72">
        <v>0</v>
      </c>
      <c r="K21" s="72">
        <v>0</v>
      </c>
      <c r="L21" s="72">
        <v>1.54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</row>
    <row r="22" spans="1:37" x14ac:dyDescent="0.2">
      <c r="A22" s="56" t="s">
        <v>259</v>
      </c>
      <c r="B22" s="56" t="s">
        <v>16</v>
      </c>
      <c r="C22" s="56" t="s">
        <v>708</v>
      </c>
      <c r="D22" s="56" t="s">
        <v>246</v>
      </c>
      <c r="E22" s="72">
        <f>IF(B22="","",VLOOKUP(B22,dagsoorttabel1,2,FALSE))</f>
        <v>0.58823529411764708</v>
      </c>
      <c r="F22" s="72">
        <v>1</v>
      </c>
      <c r="G22" s="72">
        <f>IF(prodnorm49&gt;0,1/ROUND(prodnorm49,4),0)</f>
        <v>0</v>
      </c>
      <c r="H22" s="74">
        <f>ROUND(dagwerk49,4+2)</f>
        <v>0</v>
      </c>
      <c r="I22" s="60">
        <f>ROUND(uurtarief49,2)</f>
        <v>0</v>
      </c>
      <c r="J22" s="72">
        <v>0</v>
      </c>
      <c r="K22" s="72">
        <v>0</v>
      </c>
      <c r="L22" s="72">
        <v>0</v>
      </c>
      <c r="M22" s="72">
        <v>1314.84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</row>
    <row r="23" spans="1:37" x14ac:dyDescent="0.2">
      <c r="A23" s="56" t="s">
        <v>259</v>
      </c>
      <c r="B23" s="56" t="s">
        <v>14</v>
      </c>
      <c r="C23" s="56" t="s">
        <v>708</v>
      </c>
      <c r="D23" s="56" t="s">
        <v>246</v>
      </c>
      <c r="E23" s="72">
        <f>IF(B23="","",VLOOKUP(B23,dagsoorttabel1,2,FALSE))</f>
        <v>0.68627450980392157</v>
      </c>
      <c r="F23" s="72">
        <v>1</v>
      </c>
      <c r="G23" s="72">
        <f>IF(prodnorm50&gt;0,1/ROUND(prodnorm50,4),0)</f>
        <v>0</v>
      </c>
      <c r="H23" s="74">
        <f>ROUND(dagwerk50,4+2)</f>
        <v>0</v>
      </c>
      <c r="I23" s="60">
        <f>ROUND(uurtarief50,2)</f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1699.9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</row>
    <row r="24" spans="1:37" x14ac:dyDescent="0.2">
      <c r="A24" s="56" t="s">
        <v>259</v>
      </c>
      <c r="B24" s="56" t="s">
        <v>13</v>
      </c>
      <c r="C24" s="56" t="s">
        <v>708</v>
      </c>
      <c r="D24" s="56" t="s">
        <v>246</v>
      </c>
      <c r="E24" s="72">
        <f>IF(B24="","",VLOOKUP(B24,dagsoorttabel1,2,FALSE))</f>
        <v>0.78431372549019607</v>
      </c>
      <c r="F24" s="72">
        <v>1</v>
      </c>
      <c r="G24" s="72">
        <f>IF(prodnorm51&gt;0,1/ROUND(prodnorm51,4),0)</f>
        <v>0</v>
      </c>
      <c r="H24" s="74">
        <f>ROUND(dagwerk51,4+2)</f>
        <v>0</v>
      </c>
      <c r="I24" s="60">
        <f>ROUND(uurtarief51,2)</f>
        <v>0</v>
      </c>
      <c r="J24" s="72">
        <v>0</v>
      </c>
      <c r="K24" s="72">
        <v>0</v>
      </c>
      <c r="L24" s="72">
        <v>4637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344.86</v>
      </c>
      <c r="AD24" s="72">
        <v>0</v>
      </c>
      <c r="AE24" s="72">
        <v>344.86</v>
      </c>
      <c r="AF24" s="72">
        <v>262.19</v>
      </c>
      <c r="AG24" s="72">
        <v>274.7</v>
      </c>
      <c r="AH24" s="72">
        <v>285.45</v>
      </c>
      <c r="AI24" s="72">
        <v>238.41</v>
      </c>
      <c r="AJ24" s="72">
        <v>283.89</v>
      </c>
      <c r="AK24" s="72">
        <v>307.8</v>
      </c>
    </row>
    <row r="25" spans="1:37" x14ac:dyDescent="0.2">
      <c r="A25" s="56" t="s">
        <v>259</v>
      </c>
      <c r="B25" s="56" t="s">
        <v>11</v>
      </c>
      <c r="C25" s="56" t="s">
        <v>708</v>
      </c>
      <c r="D25" s="56" t="s">
        <v>246</v>
      </c>
      <c r="E25" s="72">
        <f>IF(B25="","",VLOOKUP(B25,dagsoorttabel1,2,FALSE))</f>
        <v>0.88235294117647056</v>
      </c>
      <c r="F25" s="72">
        <v>1</v>
      </c>
      <c r="G25" s="72">
        <f>IF(prodnorm52&gt;0,1/ROUND(prodnorm52,4),0)</f>
        <v>0</v>
      </c>
      <c r="H25" s="74">
        <f>ROUND(dagwerk52,4+2)</f>
        <v>0</v>
      </c>
      <c r="I25" s="60">
        <f>ROUND(uurtarief52,2)</f>
        <v>0</v>
      </c>
      <c r="J25" s="72">
        <v>0</v>
      </c>
      <c r="K25" s="72">
        <v>0</v>
      </c>
      <c r="L25" s="72">
        <v>0</v>
      </c>
      <c r="M25" s="72">
        <v>0</v>
      </c>
      <c r="N25" s="72">
        <v>162</v>
      </c>
      <c r="O25" s="72">
        <v>244</v>
      </c>
      <c r="P25" s="72">
        <v>200</v>
      </c>
      <c r="Q25" s="72">
        <v>185</v>
      </c>
      <c r="R25" s="72">
        <v>239</v>
      </c>
      <c r="S25" s="72">
        <v>199</v>
      </c>
      <c r="T25" s="72">
        <v>255</v>
      </c>
      <c r="U25" s="72">
        <v>325</v>
      </c>
      <c r="V25" s="72">
        <v>173</v>
      </c>
      <c r="W25" s="72">
        <v>200</v>
      </c>
      <c r="X25" s="72">
        <v>252</v>
      </c>
      <c r="Y25" s="72">
        <v>252.26</v>
      </c>
      <c r="Z25" s="72">
        <v>200</v>
      </c>
      <c r="AA25" s="72">
        <v>0</v>
      </c>
      <c r="AB25" s="72">
        <v>267</v>
      </c>
      <c r="AC25" s="72">
        <v>308.39999999999998</v>
      </c>
      <c r="AD25" s="72">
        <v>0</v>
      </c>
      <c r="AE25" s="72">
        <v>0</v>
      </c>
      <c r="AF25" s="72">
        <v>0</v>
      </c>
      <c r="AG25" s="72">
        <v>0</v>
      </c>
      <c r="AH25" s="72">
        <v>0</v>
      </c>
      <c r="AI25" s="72">
        <v>0</v>
      </c>
      <c r="AJ25" s="72">
        <v>0</v>
      </c>
      <c r="AK25" s="72">
        <v>0</v>
      </c>
    </row>
    <row r="26" spans="1:37" x14ac:dyDescent="0.2">
      <c r="A26" s="56" t="s">
        <v>259</v>
      </c>
      <c r="B26" s="56" t="s">
        <v>28</v>
      </c>
      <c r="C26" s="56" t="s">
        <v>708</v>
      </c>
      <c r="D26" s="56" t="s">
        <v>246</v>
      </c>
      <c r="E26" s="72">
        <f>IF(B26="","",VLOOKUP(B26,dagsoorttabel1,2,FALSE))</f>
        <v>7.8431372549019607E-3</v>
      </c>
      <c r="F26" s="72">
        <v>1</v>
      </c>
      <c r="G26" s="72">
        <f>IF(prodnorm53&gt;0,1/ROUND(prodnorm53,4),0)</f>
        <v>0</v>
      </c>
      <c r="H26" s="74">
        <f>ROUND(dagwerk53,4+2)</f>
        <v>0</v>
      </c>
      <c r="I26" s="60">
        <f>ROUND(uurtarief53,2)</f>
        <v>0</v>
      </c>
      <c r="J26" s="72">
        <v>0</v>
      </c>
      <c r="K26" s="72">
        <v>0</v>
      </c>
      <c r="L26" s="72">
        <v>75</v>
      </c>
      <c r="M26" s="72">
        <v>0</v>
      </c>
      <c r="N26" s="72">
        <v>0</v>
      </c>
      <c r="O26" s="72">
        <v>0</v>
      </c>
      <c r="P26" s="72">
        <v>0</v>
      </c>
      <c r="Q26" s="72">
        <v>0</v>
      </c>
      <c r="R26" s="72">
        <v>18</v>
      </c>
      <c r="S26" s="72">
        <v>79</v>
      </c>
      <c r="T26" s="72">
        <v>40</v>
      </c>
      <c r="U26" s="72">
        <v>30</v>
      </c>
      <c r="V26" s="72">
        <v>50</v>
      </c>
      <c r="W26" s="72">
        <v>38</v>
      </c>
      <c r="X26" s="72">
        <v>33.5</v>
      </c>
      <c r="Y26" s="72">
        <v>33.18</v>
      </c>
      <c r="Z26" s="72">
        <v>25.77</v>
      </c>
      <c r="AA26" s="72">
        <v>0</v>
      </c>
      <c r="AB26" s="72">
        <v>32.06</v>
      </c>
      <c r="AC26" s="72">
        <v>50</v>
      </c>
      <c r="AD26" s="72">
        <v>0</v>
      </c>
      <c r="AE26" s="72">
        <v>0</v>
      </c>
      <c r="AF26" s="72">
        <v>0</v>
      </c>
      <c r="AG26" s="72">
        <v>0</v>
      </c>
      <c r="AH26" s="72">
        <v>0</v>
      </c>
      <c r="AI26" s="72">
        <v>0</v>
      </c>
      <c r="AJ26" s="72">
        <v>0</v>
      </c>
      <c r="AK26" s="72">
        <v>0</v>
      </c>
    </row>
    <row r="27" spans="1:37" x14ac:dyDescent="0.2">
      <c r="A27" s="56" t="s">
        <v>259</v>
      </c>
      <c r="B27" s="56" t="s">
        <v>22</v>
      </c>
      <c r="C27" s="56" t="s">
        <v>708</v>
      </c>
      <c r="D27" s="56" t="s">
        <v>246</v>
      </c>
      <c r="E27" s="72">
        <f>IF(B27="","",VLOOKUP(B27,dagsoorttabel1,2,FALSE))</f>
        <v>0.15686274509803921</v>
      </c>
      <c r="F27" s="72">
        <v>1</v>
      </c>
      <c r="G27" s="72">
        <f>IF(prodnorm54&gt;0,1/ROUND(prodnorm54,4),0)</f>
        <v>0</v>
      </c>
      <c r="H27" s="74">
        <f>ROUND(dagwerk54,4+2)</f>
        <v>0</v>
      </c>
      <c r="I27" s="60">
        <f>ROUND(uurtarief54,2)</f>
        <v>0</v>
      </c>
      <c r="J27" s="72">
        <v>0</v>
      </c>
      <c r="K27" s="72">
        <v>0</v>
      </c>
      <c r="L27" s="72">
        <v>0</v>
      </c>
      <c r="M27" s="72">
        <v>0</v>
      </c>
      <c r="N27" s="72">
        <v>0</v>
      </c>
      <c r="O27" s="72">
        <v>0</v>
      </c>
      <c r="P27" s="72">
        <v>0</v>
      </c>
      <c r="Q27" s="72">
        <v>0</v>
      </c>
      <c r="R27" s="72">
        <v>0</v>
      </c>
      <c r="S27" s="72">
        <v>0</v>
      </c>
      <c r="T27" s="72">
        <v>0</v>
      </c>
      <c r="U27" s="72">
        <v>0</v>
      </c>
      <c r="V27" s="72">
        <v>0</v>
      </c>
      <c r="W27" s="72">
        <v>0</v>
      </c>
      <c r="X27" s="72">
        <v>0</v>
      </c>
      <c r="Y27" s="72">
        <v>0</v>
      </c>
      <c r="Z27" s="72">
        <v>0</v>
      </c>
      <c r="AA27" s="72">
        <v>0</v>
      </c>
      <c r="AB27" s="72">
        <v>0</v>
      </c>
      <c r="AC27" s="72">
        <v>0</v>
      </c>
      <c r="AD27" s="72">
        <v>0</v>
      </c>
      <c r="AE27" s="72">
        <v>0</v>
      </c>
      <c r="AF27" s="72">
        <v>0</v>
      </c>
      <c r="AG27" s="72">
        <v>0</v>
      </c>
      <c r="AH27" s="72">
        <v>0</v>
      </c>
      <c r="AI27" s="72">
        <v>0</v>
      </c>
      <c r="AJ27" s="72">
        <v>0</v>
      </c>
      <c r="AK27" s="72">
        <v>32.949999999999996</v>
      </c>
    </row>
    <row r="28" spans="1:37" x14ac:dyDescent="0.2">
      <c r="A28" s="56" t="s">
        <v>262</v>
      </c>
      <c r="B28" s="56" t="s">
        <v>16</v>
      </c>
      <c r="C28" s="56" t="s">
        <v>708</v>
      </c>
      <c r="D28" s="56" t="s">
        <v>246</v>
      </c>
      <c r="E28" s="72">
        <f>IF(B28="","",VLOOKUP(B28,dagsoorttabel1,2,FALSE))</f>
        <v>0.58823529411764708</v>
      </c>
      <c r="F28" s="72">
        <v>1</v>
      </c>
      <c r="G28" s="72">
        <f>IF(prodnorm55&gt;0,1/ROUND(prodnorm55,4),0)</f>
        <v>0</v>
      </c>
      <c r="H28" s="74">
        <f>ROUND(dagwerk55,4+2)</f>
        <v>0</v>
      </c>
      <c r="I28" s="60">
        <f>ROUND(uurtarief55,2)</f>
        <v>0</v>
      </c>
      <c r="J28" s="72">
        <v>0</v>
      </c>
      <c r="K28" s="72">
        <v>0</v>
      </c>
      <c r="L28" s="72">
        <v>0</v>
      </c>
      <c r="M28" s="72">
        <v>60</v>
      </c>
      <c r="N28" s="72">
        <v>0</v>
      </c>
      <c r="O28" s="72">
        <v>0</v>
      </c>
      <c r="P28" s="72">
        <v>0</v>
      </c>
      <c r="Q28" s="72">
        <v>0</v>
      </c>
      <c r="R28" s="72">
        <v>0</v>
      </c>
      <c r="S28" s="72">
        <v>0</v>
      </c>
      <c r="T28" s="72">
        <v>0</v>
      </c>
      <c r="U28" s="72">
        <v>0</v>
      </c>
      <c r="V28" s="72">
        <v>0</v>
      </c>
      <c r="W28" s="72">
        <v>0</v>
      </c>
      <c r="X28" s="72">
        <v>0</v>
      </c>
      <c r="Y28" s="72">
        <v>0</v>
      </c>
      <c r="Z28" s="72">
        <v>0</v>
      </c>
      <c r="AA28" s="72">
        <v>0</v>
      </c>
      <c r="AB28" s="72">
        <v>0</v>
      </c>
      <c r="AC28" s="72">
        <v>0</v>
      </c>
      <c r="AD28" s="72">
        <v>0</v>
      </c>
      <c r="AE28" s="72">
        <v>0</v>
      </c>
      <c r="AF28" s="72">
        <v>0</v>
      </c>
      <c r="AG28" s="72">
        <v>0</v>
      </c>
      <c r="AH28" s="72">
        <v>0</v>
      </c>
      <c r="AI28" s="72">
        <v>0</v>
      </c>
      <c r="AJ28" s="72">
        <v>0</v>
      </c>
      <c r="AK28" s="72">
        <v>0</v>
      </c>
    </row>
    <row r="29" spans="1:37" x14ac:dyDescent="0.2">
      <c r="A29" s="56" t="s">
        <v>262</v>
      </c>
      <c r="B29" s="56" t="s">
        <v>14</v>
      </c>
      <c r="C29" s="56" t="s">
        <v>708</v>
      </c>
      <c r="D29" s="56" t="s">
        <v>246</v>
      </c>
      <c r="E29" s="72">
        <f>IF(B29="","",VLOOKUP(B29,dagsoorttabel1,2,FALSE))</f>
        <v>0.68627450980392157</v>
      </c>
      <c r="F29" s="72">
        <v>1</v>
      </c>
      <c r="G29" s="72">
        <f>IF(prodnorm56&gt;0,1/ROUND(prodnorm56,4),0)</f>
        <v>0</v>
      </c>
      <c r="H29" s="74">
        <f>ROUND(dagwerk56,4+2)</f>
        <v>0</v>
      </c>
      <c r="I29" s="60">
        <f>ROUND(uurtarief56,2)</f>
        <v>0</v>
      </c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72">
        <v>0</v>
      </c>
      <c r="Q29" s="72">
        <v>0</v>
      </c>
      <c r="R29" s="72">
        <v>0</v>
      </c>
      <c r="S29" s="72">
        <v>0</v>
      </c>
      <c r="T29" s="72">
        <v>0</v>
      </c>
      <c r="U29" s="72">
        <v>0</v>
      </c>
      <c r="V29" s="72">
        <v>0</v>
      </c>
      <c r="W29" s="72">
        <v>0</v>
      </c>
      <c r="X29" s="72">
        <v>0</v>
      </c>
      <c r="Y29" s="72">
        <v>0</v>
      </c>
      <c r="Z29" s="72">
        <v>0</v>
      </c>
      <c r="AA29" s="72">
        <v>0</v>
      </c>
      <c r="AB29" s="72">
        <v>0</v>
      </c>
      <c r="AC29" s="72">
        <v>0</v>
      </c>
      <c r="AD29" s="72">
        <v>226.20000000000002</v>
      </c>
      <c r="AE29" s="72">
        <v>0</v>
      </c>
      <c r="AF29" s="72">
        <v>0</v>
      </c>
      <c r="AG29" s="72">
        <v>0</v>
      </c>
      <c r="AH29" s="72">
        <v>0</v>
      </c>
      <c r="AI29" s="72">
        <v>0</v>
      </c>
      <c r="AJ29" s="72">
        <v>0</v>
      </c>
      <c r="AK29" s="72">
        <v>0</v>
      </c>
    </row>
    <row r="30" spans="1:37" x14ac:dyDescent="0.2">
      <c r="A30" s="56" t="s">
        <v>262</v>
      </c>
      <c r="B30" s="56" t="s">
        <v>13</v>
      </c>
      <c r="C30" s="56" t="s">
        <v>708</v>
      </c>
      <c r="D30" s="56" t="s">
        <v>246</v>
      </c>
      <c r="E30" s="72">
        <f>IF(B30="","",VLOOKUP(B30,dagsoorttabel1,2,FALSE))</f>
        <v>0.78431372549019607</v>
      </c>
      <c r="F30" s="72">
        <v>1</v>
      </c>
      <c r="G30" s="72">
        <f>IF(prodnorm57&gt;0,1/ROUND(prodnorm57,4),0)</f>
        <v>0</v>
      </c>
      <c r="H30" s="74">
        <f>ROUND(dagwerk57,4+2)</f>
        <v>0</v>
      </c>
      <c r="I30" s="60">
        <f>ROUND(uurtarief57,2)</f>
        <v>0</v>
      </c>
      <c r="J30" s="72">
        <v>0</v>
      </c>
      <c r="K30" s="72">
        <v>0</v>
      </c>
      <c r="L30" s="72">
        <v>227</v>
      </c>
      <c r="M30" s="72">
        <v>0</v>
      </c>
      <c r="N30" s="72">
        <v>0</v>
      </c>
      <c r="O30" s="72">
        <v>0</v>
      </c>
      <c r="P30" s="72">
        <v>0</v>
      </c>
      <c r="Q30" s="72">
        <v>0</v>
      </c>
      <c r="R30" s="72">
        <v>0</v>
      </c>
      <c r="S30" s="72">
        <v>0</v>
      </c>
      <c r="T30" s="72">
        <v>0</v>
      </c>
      <c r="U30" s="72">
        <v>0</v>
      </c>
      <c r="V30" s="72">
        <v>0</v>
      </c>
      <c r="W30" s="72">
        <v>0</v>
      </c>
      <c r="X30" s="72">
        <v>0</v>
      </c>
      <c r="Y30" s="72">
        <v>0</v>
      </c>
      <c r="Z30" s="72">
        <v>0</v>
      </c>
      <c r="AA30" s="72">
        <v>0</v>
      </c>
      <c r="AB30" s="72">
        <v>0</v>
      </c>
      <c r="AC30" s="72">
        <v>57.2</v>
      </c>
      <c r="AD30" s="72">
        <v>0</v>
      </c>
      <c r="AE30" s="72">
        <v>57.2</v>
      </c>
      <c r="AF30" s="72">
        <v>57.6</v>
      </c>
      <c r="AG30" s="72">
        <v>41.4</v>
      </c>
      <c r="AH30" s="72">
        <v>67.800000000000011</v>
      </c>
      <c r="AI30" s="72">
        <v>63.08</v>
      </c>
      <c r="AJ30" s="72">
        <v>29.720000000000002</v>
      </c>
      <c r="AK30" s="72">
        <v>53.980000000000004</v>
      </c>
    </row>
    <row r="31" spans="1:37" x14ac:dyDescent="0.2">
      <c r="A31" s="56" t="s">
        <v>262</v>
      </c>
      <c r="B31" s="56" t="s">
        <v>11</v>
      </c>
      <c r="C31" s="56" t="s">
        <v>708</v>
      </c>
      <c r="D31" s="56" t="s">
        <v>246</v>
      </c>
      <c r="E31" s="72">
        <f>IF(B31="","",VLOOKUP(B31,dagsoorttabel1,2,FALSE))</f>
        <v>0.88235294117647056</v>
      </c>
      <c r="F31" s="72">
        <v>1</v>
      </c>
      <c r="G31" s="72">
        <f>IF(prodnorm58&gt;0,1/ROUND(prodnorm58,4),0)</f>
        <v>0</v>
      </c>
      <c r="H31" s="74">
        <f>ROUND(dagwerk58,4+2)</f>
        <v>0</v>
      </c>
      <c r="I31" s="60">
        <f>ROUND(uurtarief58,2)</f>
        <v>0</v>
      </c>
      <c r="J31" s="72">
        <v>0</v>
      </c>
      <c r="K31" s="72">
        <v>0</v>
      </c>
      <c r="L31" s="72">
        <v>0</v>
      </c>
      <c r="M31" s="72">
        <v>0</v>
      </c>
      <c r="N31" s="72">
        <v>45</v>
      </c>
      <c r="O31" s="72">
        <v>60</v>
      </c>
      <c r="P31" s="72">
        <v>61</v>
      </c>
      <c r="Q31" s="72">
        <v>58</v>
      </c>
      <c r="R31" s="72">
        <v>29</v>
      </c>
      <c r="S31" s="72">
        <v>136</v>
      </c>
      <c r="T31" s="72">
        <v>87</v>
      </c>
      <c r="U31" s="72">
        <v>80</v>
      </c>
      <c r="V31" s="72">
        <v>30</v>
      </c>
      <c r="W31" s="72">
        <v>64</v>
      </c>
      <c r="X31" s="72">
        <v>34.5</v>
      </c>
      <c r="Y31" s="72">
        <v>38.660000000000004</v>
      </c>
      <c r="Z31" s="72">
        <v>47.68</v>
      </c>
      <c r="AA31" s="72">
        <v>0</v>
      </c>
      <c r="AB31" s="72">
        <v>35.839999999999996</v>
      </c>
      <c r="AC31" s="72">
        <v>0</v>
      </c>
      <c r="AD31" s="72">
        <v>0</v>
      </c>
      <c r="AE31" s="72">
        <v>0</v>
      </c>
      <c r="AF31" s="72">
        <v>0</v>
      </c>
      <c r="AG31" s="72">
        <v>0</v>
      </c>
      <c r="AH31" s="72">
        <v>0</v>
      </c>
      <c r="AI31" s="72">
        <v>0</v>
      </c>
      <c r="AJ31" s="72">
        <v>0</v>
      </c>
      <c r="AK31" s="72">
        <v>0</v>
      </c>
    </row>
    <row r="32" spans="1:37" x14ac:dyDescent="0.2">
      <c r="A32" s="56" t="s">
        <v>264</v>
      </c>
      <c r="B32" s="56" t="s">
        <v>13</v>
      </c>
      <c r="C32" s="56" t="s">
        <v>708</v>
      </c>
      <c r="D32" s="56" t="s">
        <v>246</v>
      </c>
      <c r="E32" s="72">
        <f>IF(B32="","",VLOOKUP(B32,dagsoorttabel1,2,FALSE))</f>
        <v>0.78431372549019607</v>
      </c>
      <c r="F32" s="72">
        <v>1</v>
      </c>
      <c r="G32" s="72">
        <f>IF(prodnorm59&gt;0,1/ROUND(prodnorm59,4),0)</f>
        <v>0</v>
      </c>
      <c r="H32" s="74">
        <f>ROUND(dagwerk59,4+2)</f>
        <v>0</v>
      </c>
      <c r="I32" s="60">
        <f>ROUND(uurtarief59,2)</f>
        <v>0</v>
      </c>
      <c r="J32" s="72">
        <v>0</v>
      </c>
      <c r="K32" s="72">
        <v>0</v>
      </c>
      <c r="L32" s="72">
        <v>555</v>
      </c>
      <c r="M32" s="72">
        <v>0</v>
      </c>
      <c r="N32" s="72">
        <v>0</v>
      </c>
      <c r="O32" s="72">
        <v>0</v>
      </c>
      <c r="P32" s="72">
        <v>0</v>
      </c>
      <c r="Q32" s="72">
        <v>0</v>
      </c>
      <c r="R32" s="72">
        <v>0</v>
      </c>
      <c r="S32" s="72">
        <v>0</v>
      </c>
      <c r="T32" s="72">
        <v>0</v>
      </c>
      <c r="U32" s="72">
        <v>0</v>
      </c>
      <c r="V32" s="72">
        <v>0</v>
      </c>
      <c r="W32" s="72">
        <v>0</v>
      </c>
      <c r="X32" s="72">
        <v>0</v>
      </c>
      <c r="Y32" s="72">
        <v>0</v>
      </c>
      <c r="Z32" s="72">
        <v>0</v>
      </c>
      <c r="AA32" s="72">
        <v>0</v>
      </c>
      <c r="AB32" s="72">
        <v>0</v>
      </c>
      <c r="AC32" s="72">
        <v>0</v>
      </c>
      <c r="AD32" s="72">
        <v>0</v>
      </c>
      <c r="AE32" s="72">
        <v>0</v>
      </c>
      <c r="AF32" s="72">
        <v>0</v>
      </c>
      <c r="AG32" s="72">
        <v>0</v>
      </c>
      <c r="AH32" s="72">
        <v>0</v>
      </c>
      <c r="AI32" s="72">
        <v>0</v>
      </c>
      <c r="AJ32" s="72">
        <v>0</v>
      </c>
      <c r="AK32" s="72">
        <v>0</v>
      </c>
    </row>
    <row r="33" spans="1:37" x14ac:dyDescent="0.2">
      <c r="A33" s="56" t="s">
        <v>266</v>
      </c>
      <c r="B33" s="56" t="s">
        <v>13</v>
      </c>
      <c r="C33" s="56" t="s">
        <v>708</v>
      </c>
      <c r="D33" s="56" t="s">
        <v>246</v>
      </c>
      <c r="E33" s="72">
        <f>IF(B33="","",VLOOKUP(B33,dagsoorttabel1,2,FALSE))</f>
        <v>0.78431372549019607</v>
      </c>
      <c r="F33" s="72">
        <v>1</v>
      </c>
      <c r="G33" s="72">
        <f>IF(prodnorm60&gt;0,1/ROUND(prodnorm60,4),0)</f>
        <v>0</v>
      </c>
      <c r="H33" s="74">
        <f>ROUND(dagwerk60,4+2)</f>
        <v>0</v>
      </c>
      <c r="I33" s="60">
        <f>ROUND(uurtarief60,2)</f>
        <v>0</v>
      </c>
      <c r="J33" s="72">
        <v>0</v>
      </c>
      <c r="K33" s="72">
        <v>0</v>
      </c>
      <c r="L33" s="72">
        <v>0</v>
      </c>
      <c r="M33" s="72">
        <v>0</v>
      </c>
      <c r="N33" s="72">
        <v>0</v>
      </c>
      <c r="O33" s="72">
        <v>0</v>
      </c>
      <c r="P33" s="72">
        <v>0</v>
      </c>
      <c r="Q33" s="72">
        <v>0</v>
      </c>
      <c r="R33" s="72">
        <v>0</v>
      </c>
      <c r="S33" s="72">
        <v>0</v>
      </c>
      <c r="T33" s="72">
        <v>0</v>
      </c>
      <c r="U33" s="72">
        <v>0</v>
      </c>
      <c r="V33" s="72">
        <v>0</v>
      </c>
      <c r="W33" s="72">
        <v>0</v>
      </c>
      <c r="X33" s="72">
        <v>0</v>
      </c>
      <c r="Y33" s="72">
        <v>0</v>
      </c>
      <c r="Z33" s="72">
        <v>0</v>
      </c>
      <c r="AA33" s="72">
        <v>0</v>
      </c>
      <c r="AB33" s="72">
        <v>0</v>
      </c>
      <c r="AC33" s="72">
        <v>0</v>
      </c>
      <c r="AD33" s="72">
        <v>0</v>
      </c>
      <c r="AE33" s="72">
        <v>0</v>
      </c>
      <c r="AF33" s="72">
        <v>10</v>
      </c>
      <c r="AG33" s="72">
        <v>10</v>
      </c>
      <c r="AH33" s="72">
        <v>10</v>
      </c>
      <c r="AI33" s="72">
        <v>10</v>
      </c>
      <c r="AJ33" s="72">
        <v>10</v>
      </c>
      <c r="AK33" s="72">
        <v>0</v>
      </c>
    </row>
    <row r="34" spans="1:37" x14ac:dyDescent="0.2">
      <c r="A34" s="56" t="s">
        <v>268</v>
      </c>
      <c r="B34" s="56" t="s">
        <v>13</v>
      </c>
      <c r="C34" s="56" t="s">
        <v>708</v>
      </c>
      <c r="D34" s="56" t="s">
        <v>246</v>
      </c>
      <c r="E34" s="72">
        <f>IF(B34="","",VLOOKUP(B34,dagsoorttabel1,2,FALSE))</f>
        <v>0.78431372549019607</v>
      </c>
      <c r="F34" s="72">
        <v>1</v>
      </c>
      <c r="G34" s="72">
        <f>IF(prodnorm61&gt;0,1/ROUND(prodnorm61,4),0)</f>
        <v>0</v>
      </c>
      <c r="H34" s="74">
        <f>ROUND(dagwerk61,4+2)</f>
        <v>0</v>
      </c>
      <c r="I34" s="60">
        <f>ROUND(uurtarief61,2)</f>
        <v>0</v>
      </c>
      <c r="J34" s="72">
        <v>16</v>
      </c>
      <c r="K34" s="72">
        <v>0</v>
      </c>
      <c r="L34" s="72">
        <v>16</v>
      </c>
      <c r="M34" s="72">
        <v>0</v>
      </c>
      <c r="N34" s="72">
        <v>0</v>
      </c>
      <c r="O34" s="72">
        <v>0</v>
      </c>
      <c r="P34" s="72">
        <v>0</v>
      </c>
      <c r="Q34" s="72">
        <v>0</v>
      </c>
      <c r="R34" s="72">
        <v>0</v>
      </c>
      <c r="S34" s="72">
        <v>0</v>
      </c>
      <c r="T34" s="72">
        <v>0</v>
      </c>
      <c r="U34" s="72">
        <v>0</v>
      </c>
      <c r="V34" s="72">
        <v>0</v>
      </c>
      <c r="W34" s="72">
        <v>0</v>
      </c>
      <c r="X34" s="72">
        <v>0</v>
      </c>
      <c r="Y34" s="72">
        <v>0</v>
      </c>
      <c r="Z34" s="72">
        <v>0</v>
      </c>
      <c r="AA34" s="72">
        <v>0</v>
      </c>
      <c r="AB34" s="72">
        <v>0</v>
      </c>
      <c r="AC34" s="72">
        <v>0</v>
      </c>
      <c r="AD34" s="72">
        <v>0</v>
      </c>
      <c r="AE34" s="72">
        <v>0</v>
      </c>
      <c r="AF34" s="72">
        <v>0</v>
      </c>
      <c r="AG34" s="72">
        <v>0</v>
      </c>
      <c r="AH34" s="72">
        <v>0</v>
      </c>
      <c r="AI34" s="72">
        <v>0</v>
      </c>
      <c r="AJ34" s="72">
        <v>0</v>
      </c>
      <c r="AK34" s="72">
        <v>0</v>
      </c>
    </row>
    <row r="35" spans="1:37" x14ac:dyDescent="0.2">
      <c r="A35" s="56" t="s">
        <v>270</v>
      </c>
      <c r="B35" s="56" t="s">
        <v>16</v>
      </c>
      <c r="C35" s="56" t="s">
        <v>708</v>
      </c>
      <c r="D35" s="56" t="s">
        <v>246</v>
      </c>
      <c r="E35" s="72">
        <f>IF(B35="","",VLOOKUP(B35,dagsoorttabel1,2,FALSE))</f>
        <v>0.58823529411764708</v>
      </c>
      <c r="F35" s="72">
        <v>1</v>
      </c>
      <c r="G35" s="72">
        <f>IF(prodnorm62&gt;0,1/ROUND(prodnorm62,4),0)</f>
        <v>0</v>
      </c>
      <c r="H35" s="74">
        <f>ROUND(dagwerk62,4+2)</f>
        <v>0</v>
      </c>
      <c r="I35" s="60">
        <f>ROUND(uurtarief62,2)</f>
        <v>0</v>
      </c>
      <c r="J35" s="72">
        <v>0</v>
      </c>
      <c r="K35" s="72">
        <v>0</v>
      </c>
      <c r="L35" s="72">
        <v>0</v>
      </c>
      <c r="M35" s="72">
        <v>29</v>
      </c>
      <c r="N35" s="72">
        <v>0</v>
      </c>
      <c r="O35" s="72">
        <v>0</v>
      </c>
      <c r="P35" s="72">
        <v>0</v>
      </c>
      <c r="Q35" s="72">
        <v>0</v>
      </c>
      <c r="R35" s="72">
        <v>0</v>
      </c>
      <c r="S35" s="72">
        <v>0</v>
      </c>
      <c r="T35" s="72">
        <v>0</v>
      </c>
      <c r="U35" s="72">
        <v>0</v>
      </c>
      <c r="V35" s="72">
        <v>0</v>
      </c>
      <c r="W35" s="72">
        <v>0</v>
      </c>
      <c r="X35" s="72">
        <v>0</v>
      </c>
      <c r="Y35" s="72">
        <v>0</v>
      </c>
      <c r="Z35" s="72">
        <v>0</v>
      </c>
      <c r="AA35" s="72">
        <v>0</v>
      </c>
      <c r="AB35" s="72">
        <v>0</v>
      </c>
      <c r="AC35" s="72">
        <v>0</v>
      </c>
      <c r="AD35" s="72">
        <v>0</v>
      </c>
      <c r="AE35" s="72">
        <v>0</v>
      </c>
      <c r="AF35" s="72">
        <v>0</v>
      </c>
      <c r="AG35" s="72">
        <v>0</v>
      </c>
      <c r="AH35" s="72">
        <v>0</v>
      </c>
      <c r="AI35" s="72">
        <v>0</v>
      </c>
      <c r="AJ35" s="72">
        <v>0</v>
      </c>
      <c r="AK35" s="72">
        <v>0</v>
      </c>
    </row>
    <row r="36" spans="1:37" x14ac:dyDescent="0.2">
      <c r="A36" s="56" t="s">
        <v>270</v>
      </c>
      <c r="B36" s="56" t="s">
        <v>14</v>
      </c>
      <c r="C36" s="56" t="s">
        <v>708</v>
      </c>
      <c r="D36" s="56" t="s">
        <v>246</v>
      </c>
      <c r="E36" s="72">
        <f>IF(B36="","",VLOOKUP(B36,dagsoorttabel1,2,FALSE))</f>
        <v>0.68627450980392157</v>
      </c>
      <c r="F36" s="72">
        <v>1</v>
      </c>
      <c r="G36" s="72">
        <f>IF(prodnorm63&gt;0,1/ROUND(prodnorm63,4),0)</f>
        <v>0</v>
      </c>
      <c r="H36" s="74">
        <f>ROUND(dagwerk63,4+2)</f>
        <v>0</v>
      </c>
      <c r="I36" s="60">
        <f>ROUND(uurtarief63,2)</f>
        <v>0</v>
      </c>
      <c r="J36" s="72">
        <v>0</v>
      </c>
      <c r="K36" s="72">
        <v>0</v>
      </c>
      <c r="L36" s="72">
        <v>0</v>
      </c>
      <c r="M36" s="72">
        <v>0</v>
      </c>
      <c r="N36" s="72">
        <v>0</v>
      </c>
      <c r="O36" s="72">
        <v>0</v>
      </c>
      <c r="P36" s="72">
        <v>0</v>
      </c>
      <c r="Q36" s="72">
        <v>0</v>
      </c>
      <c r="R36" s="72">
        <v>0</v>
      </c>
      <c r="S36" s="72">
        <v>0</v>
      </c>
      <c r="T36" s="72">
        <v>0</v>
      </c>
      <c r="U36" s="72">
        <v>0</v>
      </c>
      <c r="V36" s="72">
        <v>0</v>
      </c>
      <c r="W36" s="72">
        <v>0</v>
      </c>
      <c r="X36" s="72">
        <v>0</v>
      </c>
      <c r="Y36" s="72">
        <v>0</v>
      </c>
      <c r="Z36" s="72">
        <v>0</v>
      </c>
      <c r="AA36" s="72">
        <v>0</v>
      </c>
      <c r="AB36" s="72">
        <v>0</v>
      </c>
      <c r="AC36" s="72">
        <v>0</v>
      </c>
      <c r="AD36" s="72">
        <v>24.599999999999998</v>
      </c>
      <c r="AE36" s="72">
        <v>0</v>
      </c>
      <c r="AF36" s="72">
        <v>0</v>
      </c>
      <c r="AG36" s="72">
        <v>0</v>
      </c>
      <c r="AH36" s="72">
        <v>0</v>
      </c>
      <c r="AI36" s="72">
        <v>0</v>
      </c>
      <c r="AJ36" s="72">
        <v>0</v>
      </c>
      <c r="AK36" s="72">
        <v>0</v>
      </c>
    </row>
    <row r="37" spans="1:37" x14ac:dyDescent="0.2">
      <c r="A37" s="56" t="s">
        <v>270</v>
      </c>
      <c r="B37" s="56" t="s">
        <v>13</v>
      </c>
      <c r="C37" s="56" t="s">
        <v>708</v>
      </c>
      <c r="D37" s="56" t="s">
        <v>246</v>
      </c>
      <c r="E37" s="72">
        <f>IF(B37="","",VLOOKUP(B37,dagsoorttabel1,2,FALSE))</f>
        <v>0.78431372549019607</v>
      </c>
      <c r="F37" s="72">
        <v>1</v>
      </c>
      <c r="G37" s="72">
        <f>IF(prodnorm64&gt;0,1/ROUND(prodnorm64,4),0)</f>
        <v>0</v>
      </c>
      <c r="H37" s="74">
        <f>ROUND(dagwerk64,4+2)</f>
        <v>0</v>
      </c>
      <c r="I37" s="60">
        <f>ROUND(uurtarief64,2)</f>
        <v>0</v>
      </c>
      <c r="J37" s="72">
        <v>0</v>
      </c>
      <c r="K37" s="72">
        <v>0</v>
      </c>
      <c r="L37" s="72">
        <v>92.34</v>
      </c>
      <c r="M37" s="72">
        <v>0</v>
      </c>
      <c r="N37" s="72">
        <v>0</v>
      </c>
      <c r="O37" s="72">
        <v>0</v>
      </c>
      <c r="P37" s="72">
        <v>0</v>
      </c>
      <c r="Q37" s="72">
        <v>0</v>
      </c>
      <c r="R37" s="72">
        <v>0</v>
      </c>
      <c r="S37" s="72">
        <v>0</v>
      </c>
      <c r="T37" s="72">
        <v>0</v>
      </c>
      <c r="U37" s="72">
        <v>0</v>
      </c>
      <c r="V37" s="72">
        <v>0</v>
      </c>
      <c r="W37" s="72">
        <v>0</v>
      </c>
      <c r="X37" s="72">
        <v>0</v>
      </c>
      <c r="Y37" s="72">
        <v>0</v>
      </c>
      <c r="Z37" s="72">
        <v>0</v>
      </c>
      <c r="AA37" s="72">
        <v>0</v>
      </c>
      <c r="AB37" s="72">
        <v>0</v>
      </c>
      <c r="AC37" s="72">
        <v>135.20000000000002</v>
      </c>
      <c r="AD37" s="72">
        <v>0</v>
      </c>
      <c r="AE37" s="72">
        <v>4.8</v>
      </c>
      <c r="AF37" s="72">
        <v>22.25</v>
      </c>
      <c r="AG37" s="72">
        <v>4.08</v>
      </c>
      <c r="AH37" s="72">
        <v>3.36</v>
      </c>
      <c r="AI37" s="72">
        <v>1.96</v>
      </c>
      <c r="AJ37" s="72">
        <v>7.07</v>
      </c>
      <c r="AK37" s="72">
        <v>1.71</v>
      </c>
    </row>
    <row r="38" spans="1:37" x14ac:dyDescent="0.2">
      <c r="A38" s="56" t="s">
        <v>270</v>
      </c>
      <c r="B38" s="56" t="s">
        <v>11</v>
      </c>
      <c r="C38" s="56" t="s">
        <v>708</v>
      </c>
      <c r="D38" s="56" t="s">
        <v>246</v>
      </c>
      <c r="E38" s="72">
        <f>IF(B38="","",VLOOKUP(B38,dagsoorttabel1,2,FALSE))</f>
        <v>0.88235294117647056</v>
      </c>
      <c r="F38" s="72">
        <v>1</v>
      </c>
      <c r="G38" s="72">
        <f>IF(prodnorm65&gt;0,1/ROUND(prodnorm65,4),0)</f>
        <v>0</v>
      </c>
      <c r="H38" s="74">
        <f>ROUND(dagwerk65,4+2)</f>
        <v>0</v>
      </c>
      <c r="I38" s="60">
        <f>ROUND(uurtarief65,2)</f>
        <v>0</v>
      </c>
      <c r="J38" s="72">
        <v>0</v>
      </c>
      <c r="K38" s="72">
        <v>0</v>
      </c>
      <c r="L38" s="72">
        <v>0</v>
      </c>
      <c r="M38" s="72">
        <v>0</v>
      </c>
      <c r="N38" s="72">
        <v>3</v>
      </c>
      <c r="O38" s="72">
        <v>0</v>
      </c>
      <c r="P38" s="72">
        <v>6</v>
      </c>
      <c r="Q38" s="72">
        <v>4.5</v>
      </c>
      <c r="R38" s="72">
        <v>14</v>
      </c>
      <c r="S38" s="72">
        <v>6</v>
      </c>
      <c r="T38" s="72">
        <v>13</v>
      </c>
      <c r="U38" s="72">
        <v>20</v>
      </c>
      <c r="V38" s="72">
        <v>8</v>
      </c>
      <c r="W38" s="72">
        <v>6</v>
      </c>
      <c r="X38" s="72">
        <v>7.5</v>
      </c>
      <c r="Y38" s="72">
        <v>4.5</v>
      </c>
      <c r="Z38" s="72">
        <v>3.84</v>
      </c>
      <c r="AA38" s="72">
        <v>0</v>
      </c>
      <c r="AB38" s="72">
        <v>3.12</v>
      </c>
      <c r="AC38" s="72">
        <v>0</v>
      </c>
      <c r="AD38" s="72">
        <v>0</v>
      </c>
      <c r="AE38" s="72">
        <v>0</v>
      </c>
      <c r="AF38" s="72">
        <v>0</v>
      </c>
      <c r="AG38" s="72">
        <v>0</v>
      </c>
      <c r="AH38" s="72">
        <v>0</v>
      </c>
      <c r="AI38" s="72">
        <v>0</v>
      </c>
      <c r="AJ38" s="72">
        <v>0</v>
      </c>
      <c r="AK38" s="72">
        <v>0</v>
      </c>
    </row>
    <row r="39" spans="1:37" x14ac:dyDescent="0.2">
      <c r="A39" s="56" t="s">
        <v>273</v>
      </c>
      <c r="B39" s="56" t="s">
        <v>16</v>
      </c>
      <c r="C39" s="56" t="s">
        <v>708</v>
      </c>
      <c r="D39" s="56" t="s">
        <v>246</v>
      </c>
      <c r="E39" s="72">
        <f>IF(B39="","",VLOOKUP(B39,dagsoorttabel1,2,FALSE))</f>
        <v>0.58823529411764708</v>
      </c>
      <c r="F39" s="72">
        <v>1</v>
      </c>
      <c r="G39" s="72">
        <f>IF(prodnorm66&gt;0,1/ROUND(prodnorm66,4),0)</f>
        <v>0</v>
      </c>
      <c r="H39" s="74">
        <f>ROUND(dagwerk66,4+2)</f>
        <v>0</v>
      </c>
      <c r="I39" s="60">
        <f>ROUND(uurtarief66,2)</f>
        <v>0</v>
      </c>
      <c r="J39" s="72">
        <v>0</v>
      </c>
      <c r="K39" s="72">
        <v>0</v>
      </c>
      <c r="L39" s="72">
        <v>0</v>
      </c>
      <c r="M39" s="72">
        <v>23.75</v>
      </c>
      <c r="N39" s="72">
        <v>0</v>
      </c>
      <c r="O39" s="72">
        <v>0</v>
      </c>
      <c r="P39" s="72">
        <v>0</v>
      </c>
      <c r="Q39" s="72">
        <v>0</v>
      </c>
      <c r="R39" s="72">
        <v>0</v>
      </c>
      <c r="S39" s="72">
        <v>0</v>
      </c>
      <c r="T39" s="72">
        <v>0</v>
      </c>
      <c r="U39" s="72">
        <v>0</v>
      </c>
      <c r="V39" s="72">
        <v>0</v>
      </c>
      <c r="W39" s="72">
        <v>0</v>
      </c>
      <c r="X39" s="72">
        <v>0</v>
      </c>
      <c r="Y39" s="72">
        <v>0</v>
      </c>
      <c r="Z39" s="72">
        <v>0</v>
      </c>
      <c r="AA39" s="72">
        <v>0</v>
      </c>
      <c r="AB39" s="72">
        <v>0</v>
      </c>
      <c r="AC39" s="72">
        <v>0</v>
      </c>
      <c r="AD39" s="72">
        <v>0</v>
      </c>
      <c r="AE39" s="72">
        <v>0</v>
      </c>
      <c r="AF39" s="72">
        <v>0</v>
      </c>
      <c r="AG39" s="72">
        <v>0</v>
      </c>
      <c r="AH39" s="72">
        <v>0</v>
      </c>
      <c r="AI39" s="72">
        <v>0</v>
      </c>
      <c r="AJ39" s="72">
        <v>0</v>
      </c>
      <c r="AK39" s="72">
        <v>0</v>
      </c>
    </row>
    <row r="40" spans="1:37" x14ac:dyDescent="0.2">
      <c r="A40" s="56" t="s">
        <v>273</v>
      </c>
      <c r="B40" s="56" t="s">
        <v>14</v>
      </c>
      <c r="C40" s="56" t="s">
        <v>708</v>
      </c>
      <c r="D40" s="56" t="s">
        <v>246</v>
      </c>
      <c r="E40" s="72">
        <f>IF(B40="","",VLOOKUP(B40,dagsoorttabel1,2,FALSE))</f>
        <v>0.68627450980392157</v>
      </c>
      <c r="F40" s="72">
        <v>1</v>
      </c>
      <c r="G40" s="72">
        <f>IF(prodnorm67&gt;0,1/ROUND(prodnorm67,4),0)</f>
        <v>0</v>
      </c>
      <c r="H40" s="74">
        <f>ROUND(dagwerk67,4+2)</f>
        <v>0</v>
      </c>
      <c r="I40" s="60">
        <f>ROUND(uurtarief67,2)</f>
        <v>0</v>
      </c>
      <c r="J40" s="72">
        <v>0</v>
      </c>
      <c r="K40" s="72">
        <v>0</v>
      </c>
      <c r="L40" s="72">
        <v>0</v>
      </c>
      <c r="M40" s="72">
        <v>0</v>
      </c>
      <c r="N40" s="72">
        <v>0</v>
      </c>
      <c r="O40" s="72">
        <v>0</v>
      </c>
      <c r="P40" s="72">
        <v>0</v>
      </c>
      <c r="Q40" s="72">
        <v>0</v>
      </c>
      <c r="R40" s="72">
        <v>0</v>
      </c>
      <c r="S40" s="72">
        <v>0</v>
      </c>
      <c r="T40" s="72">
        <v>0</v>
      </c>
      <c r="U40" s="72">
        <v>0</v>
      </c>
      <c r="V40" s="72">
        <v>0</v>
      </c>
      <c r="W40" s="72">
        <v>0</v>
      </c>
      <c r="X40" s="72">
        <v>0</v>
      </c>
      <c r="Y40" s="72">
        <v>0</v>
      </c>
      <c r="Z40" s="72">
        <v>0</v>
      </c>
      <c r="AA40" s="72">
        <v>0</v>
      </c>
      <c r="AB40" s="72">
        <v>0</v>
      </c>
      <c r="AC40" s="72">
        <v>0</v>
      </c>
      <c r="AD40" s="72">
        <v>26</v>
      </c>
      <c r="AE40" s="72">
        <v>0</v>
      </c>
      <c r="AF40" s="72">
        <v>0</v>
      </c>
      <c r="AG40" s="72">
        <v>0</v>
      </c>
      <c r="AH40" s="72">
        <v>0</v>
      </c>
      <c r="AI40" s="72">
        <v>0</v>
      </c>
      <c r="AJ40" s="72">
        <v>0</v>
      </c>
      <c r="AK40" s="72">
        <v>0</v>
      </c>
    </row>
    <row r="41" spans="1:37" x14ac:dyDescent="0.2">
      <c r="A41" s="56" t="s">
        <v>273</v>
      </c>
      <c r="B41" s="56" t="s">
        <v>13</v>
      </c>
      <c r="C41" s="56" t="s">
        <v>708</v>
      </c>
      <c r="D41" s="56" t="s">
        <v>246</v>
      </c>
      <c r="E41" s="72">
        <f>IF(B41="","",VLOOKUP(B41,dagsoorttabel1,2,FALSE))</f>
        <v>0.78431372549019607</v>
      </c>
      <c r="F41" s="72">
        <v>1</v>
      </c>
      <c r="G41" s="72">
        <f>IF(prodnorm68&gt;0,1/ROUND(prodnorm68,4),0)</f>
        <v>0</v>
      </c>
      <c r="H41" s="74">
        <f>ROUND(dagwerk68,4+2)</f>
        <v>0</v>
      </c>
      <c r="I41" s="60">
        <f>ROUND(uurtarief68,2)</f>
        <v>0</v>
      </c>
      <c r="J41" s="72">
        <v>0</v>
      </c>
      <c r="K41" s="72">
        <v>0</v>
      </c>
      <c r="L41" s="72">
        <v>112.03999999999999</v>
      </c>
      <c r="M41" s="72">
        <v>0</v>
      </c>
      <c r="N41" s="72">
        <v>0</v>
      </c>
      <c r="O41" s="72">
        <v>0</v>
      </c>
      <c r="P41" s="72">
        <v>0</v>
      </c>
      <c r="Q41" s="72">
        <v>0</v>
      </c>
      <c r="R41" s="72">
        <v>0</v>
      </c>
      <c r="S41" s="72">
        <v>0</v>
      </c>
      <c r="T41" s="72">
        <v>0</v>
      </c>
      <c r="U41" s="72">
        <v>0</v>
      </c>
      <c r="V41" s="72">
        <v>0</v>
      </c>
      <c r="W41" s="72">
        <v>0</v>
      </c>
      <c r="X41" s="72">
        <v>0</v>
      </c>
      <c r="Y41" s="72">
        <v>0</v>
      </c>
      <c r="Z41" s="72">
        <v>0</v>
      </c>
      <c r="AA41" s="72">
        <v>0</v>
      </c>
      <c r="AB41" s="72">
        <v>0</v>
      </c>
      <c r="AC41" s="72">
        <v>0</v>
      </c>
      <c r="AD41" s="72">
        <v>0</v>
      </c>
      <c r="AE41" s="72">
        <v>0</v>
      </c>
      <c r="AF41" s="72">
        <v>11.33</v>
      </c>
      <c r="AG41" s="72">
        <v>0</v>
      </c>
      <c r="AH41" s="72">
        <v>0</v>
      </c>
      <c r="AI41" s="72">
        <v>0</v>
      </c>
      <c r="AJ41" s="72">
        <v>0</v>
      </c>
      <c r="AK41" s="72">
        <v>7.72</v>
      </c>
    </row>
    <row r="42" spans="1:37" x14ac:dyDescent="0.2">
      <c r="A42" s="56" t="s">
        <v>273</v>
      </c>
      <c r="B42" s="56" t="s">
        <v>11</v>
      </c>
      <c r="C42" s="56" t="s">
        <v>708</v>
      </c>
      <c r="D42" s="56" t="s">
        <v>246</v>
      </c>
      <c r="E42" s="72">
        <f>IF(B42="","",VLOOKUP(B42,dagsoorttabel1,2,FALSE))</f>
        <v>0.88235294117647056</v>
      </c>
      <c r="F42" s="72">
        <v>1</v>
      </c>
      <c r="G42" s="72">
        <f>IF(prodnorm69&gt;0,1/ROUND(prodnorm69,4),0)</f>
        <v>0</v>
      </c>
      <c r="H42" s="74">
        <f>ROUND(dagwerk69,4+2)</f>
        <v>0</v>
      </c>
      <c r="I42" s="60">
        <f>ROUND(uurtarief69,2)</f>
        <v>0</v>
      </c>
      <c r="J42" s="72">
        <v>0</v>
      </c>
      <c r="K42" s="72">
        <v>0</v>
      </c>
      <c r="L42" s="72">
        <v>0</v>
      </c>
      <c r="M42" s="72">
        <v>0</v>
      </c>
      <c r="N42" s="72">
        <v>5.5</v>
      </c>
      <c r="O42" s="72">
        <v>5.5</v>
      </c>
      <c r="P42" s="72">
        <v>0</v>
      </c>
      <c r="Q42" s="72">
        <v>0</v>
      </c>
      <c r="R42" s="72">
        <v>0</v>
      </c>
      <c r="S42" s="72">
        <v>0</v>
      </c>
      <c r="T42" s="72">
        <v>17</v>
      </c>
      <c r="U42" s="72">
        <v>0</v>
      </c>
      <c r="V42" s="72">
        <v>0</v>
      </c>
      <c r="W42" s="72">
        <v>0</v>
      </c>
      <c r="X42" s="72">
        <v>0</v>
      </c>
      <c r="Y42" s="72">
        <v>0</v>
      </c>
      <c r="Z42" s="72">
        <v>0</v>
      </c>
      <c r="AA42" s="72">
        <v>0</v>
      </c>
      <c r="AB42" s="72">
        <v>0</v>
      </c>
      <c r="AC42" s="72">
        <v>0</v>
      </c>
      <c r="AD42" s="72">
        <v>0</v>
      </c>
      <c r="AE42" s="72">
        <v>0</v>
      </c>
      <c r="AF42" s="72">
        <v>0</v>
      </c>
      <c r="AG42" s="72">
        <v>0</v>
      </c>
      <c r="AH42" s="72">
        <v>0</v>
      </c>
      <c r="AI42" s="72">
        <v>0</v>
      </c>
      <c r="AJ42" s="72">
        <v>0</v>
      </c>
      <c r="AK42" s="72">
        <v>0</v>
      </c>
    </row>
    <row r="43" spans="1:37" x14ac:dyDescent="0.2">
      <c r="A43" s="56" t="s">
        <v>275</v>
      </c>
      <c r="B43" s="56" t="s">
        <v>24</v>
      </c>
      <c r="C43" s="56" t="s">
        <v>708</v>
      </c>
      <c r="D43" s="56" t="s">
        <v>246</v>
      </c>
      <c r="E43" s="72">
        <f>IF(B43="","",VLOOKUP(B43,dagsoorttabel1,2,FALSE))</f>
        <v>4.7058823529411764E-2</v>
      </c>
      <c r="F43" s="72">
        <v>1</v>
      </c>
      <c r="G43" s="72">
        <f>IF(prodnorm70&gt;0,1/ROUND(prodnorm70,4),0)</f>
        <v>0</v>
      </c>
      <c r="H43" s="74">
        <f>ROUND(dagwerk70,4+2)</f>
        <v>0</v>
      </c>
      <c r="I43" s="60">
        <f>ROUND(uurtarief70,2)</f>
        <v>0</v>
      </c>
      <c r="J43" s="72">
        <v>0</v>
      </c>
      <c r="K43" s="72">
        <v>0</v>
      </c>
      <c r="L43" s="72">
        <v>0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2">
        <v>0</v>
      </c>
      <c r="T43" s="72">
        <v>0</v>
      </c>
      <c r="U43" s="72">
        <v>0</v>
      </c>
      <c r="V43" s="72">
        <v>0</v>
      </c>
      <c r="W43" s="72">
        <v>0</v>
      </c>
      <c r="X43" s="72">
        <v>0</v>
      </c>
      <c r="Y43" s="72">
        <v>0</v>
      </c>
      <c r="Z43" s="72">
        <v>0</v>
      </c>
      <c r="AA43" s="72">
        <v>0</v>
      </c>
      <c r="AB43" s="72">
        <v>0</v>
      </c>
      <c r="AC43" s="72">
        <v>9.4</v>
      </c>
      <c r="AD43" s="72">
        <v>0</v>
      </c>
      <c r="AE43" s="72">
        <v>9.4</v>
      </c>
      <c r="AF43" s="72">
        <v>0</v>
      </c>
      <c r="AG43" s="72">
        <v>0</v>
      </c>
      <c r="AH43" s="72">
        <v>0</v>
      </c>
      <c r="AI43" s="72">
        <v>0</v>
      </c>
      <c r="AJ43" s="72">
        <v>0</v>
      </c>
      <c r="AK43" s="72">
        <v>0</v>
      </c>
    </row>
    <row r="44" spans="1:37" x14ac:dyDescent="0.2">
      <c r="A44" s="56" t="s">
        <v>277</v>
      </c>
      <c r="B44" s="56" t="s">
        <v>16</v>
      </c>
      <c r="C44" s="56" t="s">
        <v>708</v>
      </c>
      <c r="D44" s="56" t="s">
        <v>246</v>
      </c>
      <c r="E44" s="72">
        <f>IF(B44="","",VLOOKUP(B44,dagsoorttabel1,2,FALSE))</f>
        <v>0.58823529411764708</v>
      </c>
      <c r="F44" s="72">
        <v>1</v>
      </c>
      <c r="G44" s="72">
        <f>IF(prodnorm71&gt;0,1/ROUND(prodnorm71,4),0)</f>
        <v>0</v>
      </c>
      <c r="H44" s="74">
        <f>ROUND(dagwerk71,4+2)</f>
        <v>0</v>
      </c>
      <c r="I44" s="60">
        <f>ROUND(uurtarief71,2)</f>
        <v>0</v>
      </c>
      <c r="J44" s="72">
        <v>0</v>
      </c>
      <c r="K44" s="72">
        <v>0</v>
      </c>
      <c r="L44" s="72">
        <v>0</v>
      </c>
      <c r="M44" s="72">
        <v>311.14999999999998</v>
      </c>
      <c r="N44" s="72">
        <v>0</v>
      </c>
      <c r="O44" s="72">
        <v>0</v>
      </c>
      <c r="P44" s="72">
        <v>0</v>
      </c>
      <c r="Q44" s="72">
        <v>0</v>
      </c>
      <c r="R44" s="72">
        <v>0</v>
      </c>
      <c r="S44" s="72">
        <v>0</v>
      </c>
      <c r="T44" s="72">
        <v>0</v>
      </c>
      <c r="U44" s="72"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72">
        <v>0</v>
      </c>
      <c r="AC44" s="72">
        <v>0</v>
      </c>
      <c r="AD44" s="72">
        <v>0</v>
      </c>
      <c r="AE44" s="72">
        <v>0</v>
      </c>
      <c r="AF44" s="72">
        <v>0</v>
      </c>
      <c r="AG44" s="72">
        <v>0</v>
      </c>
      <c r="AH44" s="72">
        <v>0</v>
      </c>
      <c r="AI44" s="72">
        <v>0</v>
      </c>
      <c r="AJ44" s="72">
        <v>0</v>
      </c>
      <c r="AK44" s="72">
        <v>0</v>
      </c>
    </row>
    <row r="45" spans="1:37" x14ac:dyDescent="0.2">
      <c r="A45" s="56" t="s">
        <v>277</v>
      </c>
      <c r="B45" s="56" t="s">
        <v>14</v>
      </c>
      <c r="C45" s="56" t="s">
        <v>708</v>
      </c>
      <c r="D45" s="56" t="s">
        <v>246</v>
      </c>
      <c r="E45" s="72">
        <f>IF(B45="","",VLOOKUP(B45,dagsoorttabel1,2,FALSE))</f>
        <v>0.68627450980392157</v>
      </c>
      <c r="F45" s="72">
        <v>1</v>
      </c>
      <c r="G45" s="72">
        <f>IF(prodnorm72&gt;0,1/ROUND(prodnorm72,4),0)</f>
        <v>0</v>
      </c>
      <c r="H45" s="74">
        <f>ROUND(dagwerk72,4+2)</f>
        <v>0</v>
      </c>
      <c r="I45" s="60">
        <f>ROUND(uurtarief72,2)</f>
        <v>0</v>
      </c>
      <c r="J45" s="72">
        <v>0</v>
      </c>
      <c r="K45" s="72">
        <v>0</v>
      </c>
      <c r="L45" s="72">
        <v>0</v>
      </c>
      <c r="M45" s="72">
        <v>0</v>
      </c>
      <c r="N45" s="72">
        <v>0</v>
      </c>
      <c r="O45" s="72">
        <v>0</v>
      </c>
      <c r="P45" s="72">
        <v>0</v>
      </c>
      <c r="Q45" s="72">
        <v>0</v>
      </c>
      <c r="R45" s="72">
        <v>0</v>
      </c>
      <c r="S45" s="72">
        <v>0</v>
      </c>
      <c r="T45" s="72">
        <v>0</v>
      </c>
      <c r="U45" s="72">
        <v>0</v>
      </c>
      <c r="V45" s="72">
        <v>0</v>
      </c>
      <c r="W45" s="72">
        <v>0</v>
      </c>
      <c r="X45" s="72">
        <v>0</v>
      </c>
      <c r="Y45" s="72">
        <v>0</v>
      </c>
      <c r="Z45" s="72">
        <v>0</v>
      </c>
      <c r="AA45" s="72">
        <v>0</v>
      </c>
      <c r="AB45" s="72">
        <v>0</v>
      </c>
      <c r="AC45" s="72">
        <v>0</v>
      </c>
      <c r="AD45" s="72">
        <v>601.4</v>
      </c>
      <c r="AE45" s="72">
        <v>0</v>
      </c>
      <c r="AF45" s="72">
        <v>0</v>
      </c>
      <c r="AG45" s="72">
        <v>0</v>
      </c>
      <c r="AH45" s="72">
        <v>0</v>
      </c>
      <c r="AI45" s="72">
        <v>0</v>
      </c>
      <c r="AJ45" s="72">
        <v>0</v>
      </c>
      <c r="AK45" s="72">
        <v>0</v>
      </c>
    </row>
    <row r="46" spans="1:37" x14ac:dyDescent="0.2">
      <c r="A46" s="56" t="s">
        <v>277</v>
      </c>
      <c r="B46" s="56" t="s">
        <v>13</v>
      </c>
      <c r="C46" s="56" t="s">
        <v>708</v>
      </c>
      <c r="D46" s="56" t="s">
        <v>246</v>
      </c>
      <c r="E46" s="72">
        <f>IF(B46="","",VLOOKUP(B46,dagsoorttabel1,2,FALSE))</f>
        <v>0.78431372549019607</v>
      </c>
      <c r="F46" s="72">
        <v>1</v>
      </c>
      <c r="G46" s="72">
        <f>IF(prodnorm73&gt;0,1/ROUND(prodnorm73,4),0)</f>
        <v>0</v>
      </c>
      <c r="H46" s="74">
        <f>ROUND(dagwerk73,4+2)</f>
        <v>0</v>
      </c>
      <c r="I46" s="60">
        <f>ROUND(uurtarief73,2)</f>
        <v>0</v>
      </c>
      <c r="J46" s="72">
        <v>145.5</v>
      </c>
      <c r="K46" s="72">
        <v>0</v>
      </c>
      <c r="L46" s="72">
        <v>914.24</v>
      </c>
      <c r="M46" s="72">
        <v>0</v>
      </c>
      <c r="N46" s="72">
        <v>0</v>
      </c>
      <c r="O46" s="72">
        <v>0</v>
      </c>
      <c r="P46" s="72">
        <v>0</v>
      </c>
      <c r="Q46" s="72">
        <v>0</v>
      </c>
      <c r="R46" s="72">
        <v>0</v>
      </c>
      <c r="S46" s="72">
        <v>0</v>
      </c>
      <c r="T46" s="72">
        <v>0</v>
      </c>
      <c r="U46" s="72">
        <v>0</v>
      </c>
      <c r="V46" s="72">
        <v>0</v>
      </c>
      <c r="W46" s="72">
        <v>0</v>
      </c>
      <c r="X46" s="72">
        <v>0</v>
      </c>
      <c r="Y46" s="72">
        <v>0</v>
      </c>
      <c r="Z46" s="72">
        <v>0</v>
      </c>
      <c r="AA46" s="72">
        <v>0</v>
      </c>
      <c r="AB46" s="72">
        <v>0</v>
      </c>
      <c r="AC46" s="72">
        <v>202.7</v>
      </c>
      <c r="AD46" s="72">
        <v>0</v>
      </c>
      <c r="AE46" s="72">
        <v>0</v>
      </c>
      <c r="AF46" s="72">
        <v>25.06</v>
      </c>
      <c r="AG46" s="72">
        <v>29.779999999999998</v>
      </c>
      <c r="AH46" s="72">
        <v>29.47</v>
      </c>
      <c r="AI46" s="72">
        <v>0</v>
      </c>
      <c r="AJ46" s="72">
        <v>38.299999999999997</v>
      </c>
      <c r="AK46" s="72">
        <v>0</v>
      </c>
    </row>
    <row r="47" spans="1:37" x14ac:dyDescent="0.2">
      <c r="A47" s="56" t="s">
        <v>277</v>
      </c>
      <c r="B47" s="56" t="s">
        <v>11</v>
      </c>
      <c r="C47" s="56" t="s">
        <v>708</v>
      </c>
      <c r="D47" s="56" t="s">
        <v>246</v>
      </c>
      <c r="E47" s="72">
        <f>IF(B47="","",VLOOKUP(B47,dagsoorttabel1,2,FALSE))</f>
        <v>0.88235294117647056</v>
      </c>
      <c r="F47" s="72">
        <v>1</v>
      </c>
      <c r="G47" s="72">
        <f>IF(prodnorm74&gt;0,1/ROUND(prodnorm74,4),0)</f>
        <v>0</v>
      </c>
      <c r="H47" s="74">
        <f>ROUND(dagwerk74,4+2)</f>
        <v>0</v>
      </c>
      <c r="I47" s="60">
        <f>ROUND(uurtarief74,2)</f>
        <v>0</v>
      </c>
      <c r="J47" s="72">
        <v>0</v>
      </c>
      <c r="K47" s="72">
        <v>0</v>
      </c>
      <c r="L47" s="72">
        <v>0</v>
      </c>
      <c r="M47" s="72">
        <v>0</v>
      </c>
      <c r="N47" s="72">
        <v>8.5</v>
      </c>
      <c r="O47" s="72">
        <v>33.5</v>
      </c>
      <c r="P47" s="72">
        <v>0</v>
      </c>
      <c r="Q47" s="72">
        <v>0</v>
      </c>
      <c r="R47" s="72">
        <v>30</v>
      </c>
      <c r="S47" s="72">
        <v>25</v>
      </c>
      <c r="T47" s="72">
        <v>17</v>
      </c>
      <c r="U47" s="72">
        <v>101</v>
      </c>
      <c r="V47" s="72">
        <v>0</v>
      </c>
      <c r="W47" s="72">
        <v>0</v>
      </c>
      <c r="X47" s="72">
        <v>5</v>
      </c>
      <c r="Y47" s="72">
        <v>16</v>
      </c>
      <c r="Z47" s="72">
        <v>26</v>
      </c>
      <c r="AA47" s="72">
        <v>0</v>
      </c>
      <c r="AB47" s="72">
        <v>21.33</v>
      </c>
      <c r="AC47" s="72">
        <v>0</v>
      </c>
      <c r="AD47" s="72">
        <v>0</v>
      </c>
      <c r="AE47" s="72">
        <v>0</v>
      </c>
      <c r="AF47" s="72">
        <v>0</v>
      </c>
      <c r="AG47" s="72">
        <v>0</v>
      </c>
      <c r="AH47" s="72">
        <v>0</v>
      </c>
      <c r="AI47" s="72">
        <v>0</v>
      </c>
      <c r="AJ47" s="72">
        <v>0</v>
      </c>
      <c r="AK47" s="72">
        <v>0</v>
      </c>
    </row>
    <row r="48" spans="1:37" x14ac:dyDescent="0.2">
      <c r="A48" s="56" t="s">
        <v>277</v>
      </c>
      <c r="B48" s="56" t="s">
        <v>10</v>
      </c>
      <c r="C48" s="56" t="s">
        <v>708</v>
      </c>
      <c r="D48" s="56" t="s">
        <v>246</v>
      </c>
      <c r="E48" s="72">
        <f>IF(B48="","",VLOOKUP(B48,dagsoorttabel1,2,FALSE))</f>
        <v>1</v>
      </c>
      <c r="F48" s="72">
        <v>1</v>
      </c>
      <c r="G48" s="72">
        <f>IF(prodnorm75&gt;0,1/ROUND(prodnorm75,4),0)</f>
        <v>0</v>
      </c>
      <c r="H48" s="74">
        <f>ROUND(dagwerk75,4+2)</f>
        <v>0</v>
      </c>
      <c r="I48" s="60">
        <f>ROUND(uurtarief75,2)</f>
        <v>0</v>
      </c>
      <c r="J48" s="72">
        <v>0</v>
      </c>
      <c r="K48" s="72">
        <v>180</v>
      </c>
      <c r="L48" s="72">
        <v>0</v>
      </c>
      <c r="M48" s="72">
        <v>0</v>
      </c>
      <c r="N48" s="72">
        <v>0</v>
      </c>
      <c r="O48" s="72">
        <v>0</v>
      </c>
      <c r="P48" s="72">
        <v>0</v>
      </c>
      <c r="Q48" s="72">
        <v>0</v>
      </c>
      <c r="R48" s="72">
        <v>0</v>
      </c>
      <c r="S48" s="72">
        <v>0</v>
      </c>
      <c r="T48" s="72">
        <v>0</v>
      </c>
      <c r="U48" s="72">
        <v>0</v>
      </c>
      <c r="V48" s="72">
        <v>0</v>
      </c>
      <c r="W48" s="72">
        <v>0</v>
      </c>
      <c r="X48" s="72">
        <v>0</v>
      </c>
      <c r="Y48" s="72">
        <v>0</v>
      </c>
      <c r="Z48" s="72">
        <v>0</v>
      </c>
      <c r="AA48" s="72">
        <v>0</v>
      </c>
      <c r="AB48" s="72">
        <v>0</v>
      </c>
      <c r="AC48" s="72">
        <v>0</v>
      </c>
      <c r="AD48" s="72">
        <v>0</v>
      </c>
      <c r="AE48" s="72">
        <v>0</v>
      </c>
      <c r="AF48" s="72">
        <v>0</v>
      </c>
      <c r="AG48" s="72">
        <v>0</v>
      </c>
      <c r="AH48" s="72">
        <v>0</v>
      </c>
      <c r="AI48" s="72">
        <v>0</v>
      </c>
      <c r="AJ48" s="72">
        <v>0</v>
      </c>
      <c r="AK48" s="72">
        <v>0</v>
      </c>
    </row>
    <row r="49" spans="1:37" x14ac:dyDescent="0.2">
      <c r="A49" s="56" t="s">
        <v>277</v>
      </c>
      <c r="B49" s="56" t="s">
        <v>28</v>
      </c>
      <c r="C49" s="56" t="s">
        <v>708</v>
      </c>
      <c r="D49" s="56" t="s">
        <v>246</v>
      </c>
      <c r="E49" s="72">
        <f>IF(B49="","",VLOOKUP(B49,dagsoorttabel1,2,FALSE))</f>
        <v>7.8431372549019607E-3</v>
      </c>
      <c r="F49" s="72">
        <v>1</v>
      </c>
      <c r="G49" s="72">
        <f>IF(prodnorm76&gt;0,1/ROUND(prodnorm76,4),0)</f>
        <v>0</v>
      </c>
      <c r="H49" s="74">
        <f>ROUND(dagwerk76,4+2)</f>
        <v>0</v>
      </c>
      <c r="I49" s="60">
        <f>ROUND(uurtarief76,2)</f>
        <v>0</v>
      </c>
      <c r="J49" s="72">
        <v>0</v>
      </c>
      <c r="K49" s="72">
        <v>30</v>
      </c>
      <c r="L49" s="72">
        <v>53</v>
      </c>
      <c r="M49" s="72">
        <v>73.66</v>
      </c>
      <c r="N49" s="72">
        <v>0</v>
      </c>
      <c r="O49" s="72">
        <v>0</v>
      </c>
      <c r="P49" s="72">
        <v>40</v>
      </c>
      <c r="Q49" s="72">
        <v>31.5</v>
      </c>
      <c r="R49" s="72">
        <v>0</v>
      </c>
      <c r="S49" s="72">
        <v>0</v>
      </c>
      <c r="T49" s="72">
        <v>0</v>
      </c>
      <c r="U49" s="72">
        <v>0</v>
      </c>
      <c r="V49" s="72">
        <v>0</v>
      </c>
      <c r="W49" s="72">
        <v>16</v>
      </c>
      <c r="X49" s="72">
        <v>0</v>
      </c>
      <c r="Y49" s="72">
        <v>0</v>
      </c>
      <c r="Z49" s="72">
        <v>0</v>
      </c>
      <c r="AA49" s="72">
        <v>0</v>
      </c>
      <c r="AB49" s="72">
        <v>0</v>
      </c>
      <c r="AC49" s="72">
        <v>0</v>
      </c>
      <c r="AD49" s="72">
        <v>0</v>
      </c>
      <c r="AE49" s="72">
        <v>0</v>
      </c>
      <c r="AF49" s="72">
        <v>0</v>
      </c>
      <c r="AG49" s="72">
        <v>0</v>
      </c>
      <c r="AH49" s="72">
        <v>0</v>
      </c>
      <c r="AI49" s="72">
        <v>0</v>
      </c>
      <c r="AJ49" s="72">
        <v>0</v>
      </c>
      <c r="AK49" s="72">
        <v>0</v>
      </c>
    </row>
    <row r="50" spans="1:37" x14ac:dyDescent="0.2">
      <c r="A50" s="56" t="s">
        <v>277</v>
      </c>
      <c r="B50" s="56" t="s">
        <v>21</v>
      </c>
      <c r="C50" s="56" t="s">
        <v>708</v>
      </c>
      <c r="D50" s="56" t="s">
        <v>246</v>
      </c>
      <c r="E50" s="72">
        <f>IF(B50="","",VLOOKUP(B50,dagsoorttabel1,2,FALSE))</f>
        <v>0.17647058823529413</v>
      </c>
      <c r="F50" s="72">
        <v>1</v>
      </c>
      <c r="G50" s="72">
        <f>IF(prodnorm77&gt;0,1/ROUND(prodnorm77,4),0)</f>
        <v>0</v>
      </c>
      <c r="H50" s="74">
        <f>ROUND(dagwerk77,4+2)</f>
        <v>0</v>
      </c>
      <c r="I50" s="60">
        <f>ROUND(uurtarief77,2)</f>
        <v>0</v>
      </c>
      <c r="J50" s="72">
        <v>0</v>
      </c>
      <c r="K50" s="72">
        <v>0</v>
      </c>
      <c r="L50" s="72">
        <v>0</v>
      </c>
      <c r="M50" s="72">
        <v>0</v>
      </c>
      <c r="N50" s="72">
        <v>0</v>
      </c>
      <c r="O50" s="72">
        <v>0</v>
      </c>
      <c r="P50" s="72">
        <v>0</v>
      </c>
      <c r="Q50" s="72">
        <v>0</v>
      </c>
      <c r="R50" s="72">
        <v>0</v>
      </c>
      <c r="S50" s="72">
        <v>0</v>
      </c>
      <c r="T50" s="72">
        <v>83</v>
      </c>
      <c r="U50" s="72">
        <v>0</v>
      </c>
      <c r="V50" s="72">
        <v>0</v>
      </c>
      <c r="W50" s="72">
        <v>0</v>
      </c>
      <c r="X50" s="72">
        <v>0</v>
      </c>
      <c r="Y50" s="72">
        <v>0</v>
      </c>
      <c r="Z50" s="72">
        <v>0</v>
      </c>
      <c r="AA50" s="72">
        <v>0</v>
      </c>
      <c r="AB50" s="72">
        <v>0</v>
      </c>
      <c r="AC50" s="72">
        <v>0</v>
      </c>
      <c r="AD50" s="72">
        <v>0</v>
      </c>
      <c r="AE50" s="72">
        <v>0</v>
      </c>
      <c r="AF50" s="72">
        <v>0</v>
      </c>
      <c r="AG50" s="72">
        <v>0</v>
      </c>
      <c r="AH50" s="72">
        <v>0</v>
      </c>
      <c r="AI50" s="72">
        <v>0</v>
      </c>
      <c r="AJ50" s="72">
        <v>0</v>
      </c>
      <c r="AK50" s="72">
        <v>0</v>
      </c>
    </row>
    <row r="51" spans="1:37" x14ac:dyDescent="0.2">
      <c r="A51" s="56" t="s">
        <v>279</v>
      </c>
      <c r="B51" s="56" t="s">
        <v>16</v>
      </c>
      <c r="C51" s="56" t="s">
        <v>708</v>
      </c>
      <c r="D51" s="56" t="s">
        <v>246</v>
      </c>
      <c r="E51" s="72">
        <f>IF(B51="","",VLOOKUP(B51,dagsoorttabel1,2,FALSE))</f>
        <v>0.58823529411764708</v>
      </c>
      <c r="F51" s="72">
        <v>1</v>
      </c>
      <c r="G51" s="72">
        <f>IF(prodnorm78&gt;0,1/ROUND(prodnorm78,4),0)</f>
        <v>0</v>
      </c>
      <c r="H51" s="74">
        <f>ROUND(dagwerk78,4+2)</f>
        <v>0</v>
      </c>
      <c r="I51" s="60">
        <f>ROUND(uurtarief78,2)</f>
        <v>0</v>
      </c>
      <c r="J51" s="72">
        <v>0</v>
      </c>
      <c r="K51" s="72">
        <v>0</v>
      </c>
      <c r="L51" s="72">
        <v>0</v>
      </c>
      <c r="M51" s="72">
        <v>5.89</v>
      </c>
      <c r="N51" s="72">
        <v>0</v>
      </c>
      <c r="O51" s="72">
        <v>0</v>
      </c>
      <c r="P51" s="72">
        <v>0</v>
      </c>
      <c r="Q51" s="72">
        <v>0</v>
      </c>
      <c r="R51" s="72">
        <v>0</v>
      </c>
      <c r="S51" s="72">
        <v>0</v>
      </c>
      <c r="T51" s="72">
        <v>0</v>
      </c>
      <c r="U51" s="72">
        <v>0</v>
      </c>
      <c r="V51" s="72">
        <v>0</v>
      </c>
      <c r="W51" s="72">
        <v>0</v>
      </c>
      <c r="X51" s="72">
        <v>0</v>
      </c>
      <c r="Y51" s="72">
        <v>0</v>
      </c>
      <c r="Z51" s="72">
        <v>0</v>
      </c>
      <c r="AA51" s="72">
        <v>0</v>
      </c>
      <c r="AB51" s="72">
        <v>0</v>
      </c>
      <c r="AC51" s="72">
        <v>0</v>
      </c>
      <c r="AD51" s="72">
        <v>0</v>
      </c>
      <c r="AE51" s="72">
        <v>0</v>
      </c>
      <c r="AF51" s="72">
        <v>0</v>
      </c>
      <c r="AG51" s="72">
        <v>0</v>
      </c>
      <c r="AH51" s="72">
        <v>0</v>
      </c>
      <c r="AI51" s="72">
        <v>0</v>
      </c>
      <c r="AJ51" s="72">
        <v>0</v>
      </c>
      <c r="AK51" s="72">
        <v>0</v>
      </c>
    </row>
    <row r="52" spans="1:37" x14ac:dyDescent="0.2">
      <c r="A52" s="56" t="s">
        <v>281</v>
      </c>
      <c r="B52" s="56" t="s">
        <v>10</v>
      </c>
      <c r="C52" s="56" t="s">
        <v>708</v>
      </c>
      <c r="D52" s="56" t="s">
        <v>246</v>
      </c>
      <c r="E52" s="72">
        <f>IF(B52="","",VLOOKUP(B52,dagsoorttabel1,2,FALSE))</f>
        <v>1</v>
      </c>
      <c r="F52" s="72">
        <v>1</v>
      </c>
      <c r="G52" s="72">
        <f>IF(prodnorm79&gt;0,1/ROUND(prodnorm79,4),0)</f>
        <v>0</v>
      </c>
      <c r="H52" s="74">
        <f>ROUND(dagwerk79,4+2)</f>
        <v>0</v>
      </c>
      <c r="I52" s="60">
        <f>ROUND(uurtarief79,2)</f>
        <v>0</v>
      </c>
      <c r="J52" s="72">
        <v>0</v>
      </c>
      <c r="K52" s="72">
        <v>50</v>
      </c>
      <c r="L52" s="72">
        <v>0</v>
      </c>
      <c r="M52" s="72">
        <v>0</v>
      </c>
      <c r="N52" s="72">
        <v>0</v>
      </c>
      <c r="O52" s="72">
        <v>0</v>
      </c>
      <c r="P52" s="72">
        <v>0</v>
      </c>
      <c r="Q52" s="72">
        <v>0</v>
      </c>
      <c r="R52" s="72">
        <v>0</v>
      </c>
      <c r="S52" s="72">
        <v>0</v>
      </c>
      <c r="T52" s="72">
        <v>0</v>
      </c>
      <c r="U52" s="72">
        <v>0</v>
      </c>
      <c r="V52" s="72">
        <v>0</v>
      </c>
      <c r="W52" s="72">
        <v>0</v>
      </c>
      <c r="X52" s="72">
        <v>0</v>
      </c>
      <c r="Y52" s="72">
        <v>0</v>
      </c>
      <c r="Z52" s="72">
        <v>0</v>
      </c>
      <c r="AA52" s="72">
        <v>0</v>
      </c>
      <c r="AB52" s="72">
        <v>0</v>
      </c>
      <c r="AC52" s="72">
        <v>0</v>
      </c>
      <c r="AD52" s="72">
        <v>0</v>
      </c>
      <c r="AE52" s="72">
        <v>0</v>
      </c>
      <c r="AF52" s="72">
        <v>0</v>
      </c>
      <c r="AG52" s="72">
        <v>0</v>
      </c>
      <c r="AH52" s="72">
        <v>0</v>
      </c>
      <c r="AI52" s="72">
        <v>0</v>
      </c>
      <c r="AJ52" s="72">
        <v>0</v>
      </c>
      <c r="AK52" s="72">
        <v>0</v>
      </c>
    </row>
    <row r="53" spans="1:37" x14ac:dyDescent="0.2">
      <c r="A53" s="56" t="s">
        <v>283</v>
      </c>
      <c r="B53" s="56" t="s">
        <v>13</v>
      </c>
      <c r="C53" s="56" t="s">
        <v>708</v>
      </c>
      <c r="D53" s="56" t="s">
        <v>246</v>
      </c>
      <c r="E53" s="72">
        <f>IF(B53="","",VLOOKUP(B53,dagsoorttabel1,2,FALSE))</f>
        <v>0.78431372549019607</v>
      </c>
      <c r="F53" s="72">
        <v>1</v>
      </c>
      <c r="G53" s="72">
        <f>IF(prodnorm80&gt;0,1/ROUND(prodnorm80,4),0)</f>
        <v>0</v>
      </c>
      <c r="H53" s="74">
        <f>ROUND(dagwerk80,4+2)</f>
        <v>0</v>
      </c>
      <c r="I53" s="60">
        <f>ROUND(uurtarief80,2)</f>
        <v>0</v>
      </c>
      <c r="J53" s="72">
        <v>162</v>
      </c>
      <c r="K53" s="72">
        <v>0</v>
      </c>
      <c r="L53" s="72">
        <v>0</v>
      </c>
      <c r="M53" s="72">
        <v>0</v>
      </c>
      <c r="N53" s="72">
        <v>0</v>
      </c>
      <c r="O53" s="72">
        <v>0</v>
      </c>
      <c r="P53" s="72">
        <v>0</v>
      </c>
      <c r="Q53" s="72">
        <v>0</v>
      </c>
      <c r="R53" s="72">
        <v>0</v>
      </c>
      <c r="S53" s="72">
        <v>0</v>
      </c>
      <c r="T53" s="72">
        <v>0</v>
      </c>
      <c r="U53" s="72">
        <v>0</v>
      </c>
      <c r="V53" s="72">
        <v>0</v>
      </c>
      <c r="W53" s="72">
        <v>0</v>
      </c>
      <c r="X53" s="72">
        <v>0</v>
      </c>
      <c r="Y53" s="72">
        <v>0</v>
      </c>
      <c r="Z53" s="72">
        <v>0</v>
      </c>
      <c r="AA53" s="72">
        <v>0</v>
      </c>
      <c r="AB53" s="72">
        <v>0</v>
      </c>
      <c r="AC53" s="72">
        <v>0</v>
      </c>
      <c r="AD53" s="72">
        <v>0</v>
      </c>
      <c r="AE53" s="72">
        <v>0</v>
      </c>
      <c r="AF53" s="72">
        <v>0</v>
      </c>
      <c r="AG53" s="72">
        <v>0</v>
      </c>
      <c r="AH53" s="72">
        <v>0</v>
      </c>
      <c r="AI53" s="72">
        <v>0</v>
      </c>
      <c r="AJ53" s="72">
        <v>0</v>
      </c>
      <c r="AK53" s="72">
        <v>0</v>
      </c>
    </row>
    <row r="54" spans="1:37" x14ac:dyDescent="0.2">
      <c r="A54" s="56" t="s">
        <v>283</v>
      </c>
      <c r="B54" s="56" t="s">
        <v>10</v>
      </c>
      <c r="C54" s="56" t="s">
        <v>708</v>
      </c>
      <c r="D54" s="56" t="s">
        <v>246</v>
      </c>
      <c r="E54" s="72">
        <f>IF(B54="","",VLOOKUP(B54,dagsoorttabel1,2,FALSE))</f>
        <v>1</v>
      </c>
      <c r="F54" s="72">
        <v>1</v>
      </c>
      <c r="G54" s="72">
        <f>IF(prodnorm81&gt;0,1/ROUND(prodnorm81,4),0)</f>
        <v>0</v>
      </c>
      <c r="H54" s="74">
        <f>ROUND(dagwerk81,4+2)</f>
        <v>0</v>
      </c>
      <c r="I54" s="60">
        <f>ROUND(uurtarief81,2)</f>
        <v>0</v>
      </c>
      <c r="J54" s="72">
        <v>0</v>
      </c>
      <c r="K54" s="72">
        <v>274</v>
      </c>
      <c r="L54" s="72">
        <v>0</v>
      </c>
      <c r="M54" s="72">
        <v>0</v>
      </c>
      <c r="N54" s="72">
        <v>0</v>
      </c>
      <c r="O54" s="72">
        <v>0</v>
      </c>
      <c r="P54" s="72">
        <v>0</v>
      </c>
      <c r="Q54" s="72">
        <v>0</v>
      </c>
      <c r="R54" s="72">
        <v>0</v>
      </c>
      <c r="S54" s="72">
        <v>0</v>
      </c>
      <c r="T54" s="72">
        <v>0</v>
      </c>
      <c r="U54" s="72">
        <v>0</v>
      </c>
      <c r="V54" s="72">
        <v>0</v>
      </c>
      <c r="W54" s="72">
        <v>0</v>
      </c>
      <c r="X54" s="72">
        <v>0</v>
      </c>
      <c r="Y54" s="72">
        <v>0</v>
      </c>
      <c r="Z54" s="72">
        <v>0</v>
      </c>
      <c r="AA54" s="72">
        <v>0</v>
      </c>
      <c r="AB54" s="72">
        <v>0</v>
      </c>
      <c r="AC54" s="72">
        <v>0</v>
      </c>
      <c r="AD54" s="72">
        <v>0</v>
      </c>
      <c r="AE54" s="72">
        <v>0</v>
      </c>
      <c r="AF54" s="72">
        <v>0</v>
      </c>
      <c r="AG54" s="72">
        <v>0</v>
      </c>
      <c r="AH54" s="72">
        <v>0</v>
      </c>
      <c r="AI54" s="72">
        <v>0</v>
      </c>
      <c r="AJ54" s="72">
        <v>0</v>
      </c>
      <c r="AK54" s="72">
        <v>0</v>
      </c>
    </row>
    <row r="55" spans="1:37" x14ac:dyDescent="0.2">
      <c r="A55" s="56" t="s">
        <v>285</v>
      </c>
      <c r="B55" s="56" t="s">
        <v>10</v>
      </c>
      <c r="C55" s="56" t="s">
        <v>708</v>
      </c>
      <c r="D55" s="56" t="s">
        <v>246</v>
      </c>
      <c r="E55" s="72">
        <f>IF(B55="","",VLOOKUP(B55,dagsoorttabel1,2,FALSE))</f>
        <v>1</v>
      </c>
      <c r="F55" s="72">
        <v>1</v>
      </c>
      <c r="G55" s="72">
        <f>IF(prodnorm82&gt;0,1/ROUND(prodnorm82,4),0)</f>
        <v>0</v>
      </c>
      <c r="H55" s="74">
        <f>ROUND(dagwerk82,4+2)</f>
        <v>0</v>
      </c>
      <c r="I55" s="60">
        <f>ROUND(uurtarief82,2)</f>
        <v>0</v>
      </c>
      <c r="J55" s="72">
        <v>0</v>
      </c>
      <c r="K55" s="72">
        <v>190</v>
      </c>
      <c r="L55" s="72">
        <v>0</v>
      </c>
      <c r="M55" s="72">
        <v>0</v>
      </c>
      <c r="N55" s="72">
        <v>0</v>
      </c>
      <c r="O55" s="72">
        <v>0</v>
      </c>
      <c r="P55" s="72">
        <v>0</v>
      </c>
      <c r="Q55" s="72">
        <v>0</v>
      </c>
      <c r="R55" s="72">
        <v>0</v>
      </c>
      <c r="S55" s="72">
        <v>0</v>
      </c>
      <c r="T55" s="72">
        <v>0</v>
      </c>
      <c r="U55" s="72">
        <v>0</v>
      </c>
      <c r="V55" s="72">
        <v>0</v>
      </c>
      <c r="W55" s="72">
        <v>0</v>
      </c>
      <c r="X55" s="72">
        <v>0</v>
      </c>
      <c r="Y55" s="72">
        <v>0</v>
      </c>
      <c r="Z55" s="72">
        <v>0</v>
      </c>
      <c r="AA55" s="72">
        <v>0</v>
      </c>
      <c r="AB55" s="72">
        <v>0</v>
      </c>
      <c r="AC55" s="72">
        <v>0</v>
      </c>
      <c r="AD55" s="72">
        <v>0</v>
      </c>
      <c r="AE55" s="72">
        <v>0</v>
      </c>
      <c r="AF55" s="72">
        <v>0</v>
      </c>
      <c r="AG55" s="72">
        <v>0</v>
      </c>
      <c r="AH55" s="72">
        <v>0</v>
      </c>
      <c r="AI55" s="72">
        <v>0</v>
      </c>
      <c r="AJ55" s="72">
        <v>0</v>
      </c>
      <c r="AK55" s="72">
        <v>0</v>
      </c>
    </row>
    <row r="56" spans="1:37" x14ac:dyDescent="0.2">
      <c r="A56" s="56" t="s">
        <v>287</v>
      </c>
      <c r="B56" s="56" t="s">
        <v>13</v>
      </c>
      <c r="C56" s="56" t="s">
        <v>708</v>
      </c>
      <c r="D56" s="56" t="s">
        <v>246</v>
      </c>
      <c r="E56" s="72">
        <f>IF(B56="","",VLOOKUP(B56,dagsoorttabel1,2,FALSE))</f>
        <v>0.78431372549019607</v>
      </c>
      <c r="F56" s="72">
        <v>1</v>
      </c>
      <c r="G56" s="72">
        <f>IF(prodnorm83&gt;0,1/ROUND(prodnorm83,4),0)</f>
        <v>0</v>
      </c>
      <c r="H56" s="74">
        <f>ROUND(dagwerk83,4+2)</f>
        <v>0</v>
      </c>
      <c r="I56" s="60">
        <f>ROUND(uurtarief83,2)</f>
        <v>0</v>
      </c>
      <c r="J56" s="72">
        <v>180</v>
      </c>
      <c r="K56" s="72">
        <v>0</v>
      </c>
      <c r="L56" s="72">
        <v>0</v>
      </c>
      <c r="M56" s="72">
        <v>0</v>
      </c>
      <c r="N56" s="72">
        <v>0</v>
      </c>
      <c r="O56" s="72">
        <v>0</v>
      </c>
      <c r="P56" s="72">
        <v>0</v>
      </c>
      <c r="Q56" s="72">
        <v>0</v>
      </c>
      <c r="R56" s="72">
        <v>0</v>
      </c>
      <c r="S56" s="72">
        <v>0</v>
      </c>
      <c r="T56" s="72">
        <v>0</v>
      </c>
      <c r="U56" s="72">
        <v>0</v>
      </c>
      <c r="V56" s="72">
        <v>0</v>
      </c>
      <c r="W56" s="72">
        <v>0</v>
      </c>
      <c r="X56" s="72">
        <v>0</v>
      </c>
      <c r="Y56" s="72">
        <v>0</v>
      </c>
      <c r="Z56" s="72">
        <v>0</v>
      </c>
      <c r="AA56" s="72">
        <v>0</v>
      </c>
      <c r="AB56" s="72">
        <v>0</v>
      </c>
      <c r="AC56" s="72">
        <v>0</v>
      </c>
      <c r="AD56" s="72">
        <v>0</v>
      </c>
      <c r="AE56" s="72">
        <v>0</v>
      </c>
      <c r="AF56" s="72">
        <v>0</v>
      </c>
      <c r="AG56" s="72">
        <v>0</v>
      </c>
      <c r="AH56" s="72">
        <v>0</v>
      </c>
      <c r="AI56" s="72">
        <v>0</v>
      </c>
      <c r="AJ56" s="72">
        <v>0</v>
      </c>
      <c r="AK56" s="72">
        <v>0</v>
      </c>
    </row>
    <row r="57" spans="1:37" x14ac:dyDescent="0.2">
      <c r="A57" s="56" t="s">
        <v>287</v>
      </c>
      <c r="B57" s="56" t="s">
        <v>10</v>
      </c>
      <c r="C57" s="56" t="s">
        <v>708</v>
      </c>
      <c r="D57" s="56" t="s">
        <v>246</v>
      </c>
      <c r="E57" s="72">
        <f>IF(B57="","",VLOOKUP(B57,dagsoorttabel1,2,FALSE))</f>
        <v>1</v>
      </c>
      <c r="F57" s="72">
        <v>1</v>
      </c>
      <c r="G57" s="72">
        <f>IF(prodnorm84&gt;0,1/ROUND(prodnorm84,4),0)</f>
        <v>0</v>
      </c>
      <c r="H57" s="74">
        <f>ROUND(dagwerk84,4+2)</f>
        <v>0</v>
      </c>
      <c r="I57" s="60">
        <f>ROUND(uurtarief84,2)</f>
        <v>0</v>
      </c>
      <c r="J57" s="72">
        <v>0</v>
      </c>
      <c r="K57" s="72">
        <v>14.4</v>
      </c>
      <c r="L57" s="72">
        <v>0</v>
      </c>
      <c r="M57" s="72">
        <v>0</v>
      </c>
      <c r="N57" s="72">
        <v>0</v>
      </c>
      <c r="O57" s="72">
        <v>0</v>
      </c>
      <c r="P57" s="72">
        <v>0</v>
      </c>
      <c r="Q57" s="72">
        <v>0</v>
      </c>
      <c r="R57" s="72">
        <v>0</v>
      </c>
      <c r="S57" s="72">
        <v>0</v>
      </c>
      <c r="T57" s="72">
        <v>0</v>
      </c>
      <c r="U57" s="72">
        <v>0</v>
      </c>
      <c r="V57" s="72">
        <v>0</v>
      </c>
      <c r="W57" s="72">
        <v>0</v>
      </c>
      <c r="X57" s="72">
        <v>0</v>
      </c>
      <c r="Y57" s="72">
        <v>0</v>
      </c>
      <c r="Z57" s="72">
        <v>0</v>
      </c>
      <c r="AA57" s="72">
        <v>0</v>
      </c>
      <c r="AB57" s="72">
        <v>0</v>
      </c>
      <c r="AC57" s="72">
        <v>0</v>
      </c>
      <c r="AD57" s="72">
        <v>0</v>
      </c>
      <c r="AE57" s="72">
        <v>0</v>
      </c>
      <c r="AF57" s="72">
        <v>0</v>
      </c>
      <c r="AG57" s="72">
        <v>0</v>
      </c>
      <c r="AH57" s="72">
        <v>0</v>
      </c>
      <c r="AI57" s="72">
        <v>0</v>
      </c>
      <c r="AJ57" s="72">
        <v>0</v>
      </c>
      <c r="AK57" s="72">
        <v>0</v>
      </c>
    </row>
    <row r="58" spans="1:37" x14ac:dyDescent="0.2">
      <c r="A58" s="56" t="s">
        <v>289</v>
      </c>
      <c r="B58" s="56" t="s">
        <v>10</v>
      </c>
      <c r="C58" s="56" t="s">
        <v>708</v>
      </c>
      <c r="D58" s="56" t="s">
        <v>246</v>
      </c>
      <c r="E58" s="72">
        <f>IF(B58="","",VLOOKUP(B58,dagsoorttabel1,2,FALSE))</f>
        <v>1</v>
      </c>
      <c r="F58" s="72">
        <v>1</v>
      </c>
      <c r="G58" s="72">
        <f>IF(prodnorm85&gt;0,1/ROUND(prodnorm85,4),0)</f>
        <v>0</v>
      </c>
      <c r="H58" s="74">
        <f>ROUND(dagwerk85,4+2)</f>
        <v>0</v>
      </c>
      <c r="I58" s="60">
        <f>ROUND(uurtarief85,2)</f>
        <v>0</v>
      </c>
      <c r="J58" s="72">
        <v>0</v>
      </c>
      <c r="K58" s="72">
        <v>14.4</v>
      </c>
      <c r="L58" s="72">
        <v>0</v>
      </c>
      <c r="M58" s="72">
        <v>0</v>
      </c>
      <c r="N58" s="72">
        <v>0</v>
      </c>
      <c r="O58" s="72">
        <v>0</v>
      </c>
      <c r="P58" s="72">
        <v>0</v>
      </c>
      <c r="Q58" s="72">
        <v>0</v>
      </c>
      <c r="R58" s="72">
        <v>0</v>
      </c>
      <c r="S58" s="72">
        <v>0</v>
      </c>
      <c r="T58" s="72">
        <v>0</v>
      </c>
      <c r="U58" s="72">
        <v>0</v>
      </c>
      <c r="V58" s="72">
        <v>0</v>
      </c>
      <c r="W58" s="72">
        <v>0</v>
      </c>
      <c r="X58" s="72">
        <v>0</v>
      </c>
      <c r="Y58" s="72">
        <v>0</v>
      </c>
      <c r="Z58" s="72">
        <v>0</v>
      </c>
      <c r="AA58" s="72">
        <v>0</v>
      </c>
      <c r="AB58" s="72">
        <v>0</v>
      </c>
      <c r="AC58" s="72">
        <v>0</v>
      </c>
      <c r="AD58" s="72">
        <v>0</v>
      </c>
      <c r="AE58" s="72">
        <v>0</v>
      </c>
      <c r="AF58" s="72">
        <v>0</v>
      </c>
      <c r="AG58" s="72">
        <v>0</v>
      </c>
      <c r="AH58" s="72">
        <v>0</v>
      </c>
      <c r="AI58" s="72">
        <v>0</v>
      </c>
      <c r="AJ58" s="72">
        <v>0</v>
      </c>
      <c r="AK58" s="72">
        <v>0</v>
      </c>
    </row>
    <row r="59" spans="1:37" x14ac:dyDescent="0.2">
      <c r="A59" s="56" t="s">
        <v>291</v>
      </c>
      <c r="B59" s="56" t="s">
        <v>13</v>
      </c>
      <c r="C59" s="56" t="s">
        <v>708</v>
      </c>
      <c r="D59" s="56" t="s">
        <v>246</v>
      </c>
      <c r="E59" s="72">
        <f>IF(B59="","",VLOOKUP(B59,dagsoorttabel1,2,FALSE))</f>
        <v>0.78431372549019607</v>
      </c>
      <c r="F59" s="72">
        <v>1</v>
      </c>
      <c r="G59" s="72">
        <f>IF(prodnorm86&gt;0,1/ROUND(prodnorm86,4),0)</f>
        <v>0</v>
      </c>
      <c r="H59" s="74">
        <f>ROUND(dagwerk86,4+2)</f>
        <v>0</v>
      </c>
      <c r="I59" s="60">
        <f>ROUND(uurtarief86,2)</f>
        <v>0</v>
      </c>
      <c r="J59" s="72">
        <v>499.5</v>
      </c>
      <c r="K59" s="72">
        <v>0</v>
      </c>
      <c r="L59" s="72">
        <v>0</v>
      </c>
      <c r="M59" s="72">
        <v>0</v>
      </c>
      <c r="N59" s="72">
        <v>0</v>
      </c>
      <c r="O59" s="72">
        <v>0</v>
      </c>
      <c r="P59" s="72">
        <v>0</v>
      </c>
      <c r="Q59" s="72">
        <v>0</v>
      </c>
      <c r="R59" s="72">
        <v>0</v>
      </c>
      <c r="S59" s="72">
        <v>0</v>
      </c>
      <c r="T59" s="72">
        <v>0</v>
      </c>
      <c r="U59" s="72">
        <v>0</v>
      </c>
      <c r="V59" s="72">
        <v>0</v>
      </c>
      <c r="W59" s="72">
        <v>0</v>
      </c>
      <c r="X59" s="72">
        <v>0</v>
      </c>
      <c r="Y59" s="72">
        <v>0</v>
      </c>
      <c r="Z59" s="72">
        <v>0</v>
      </c>
      <c r="AA59" s="72">
        <v>0</v>
      </c>
      <c r="AB59" s="72">
        <v>0</v>
      </c>
      <c r="AC59" s="72">
        <v>0</v>
      </c>
      <c r="AD59" s="72">
        <v>0</v>
      </c>
      <c r="AE59" s="72">
        <v>0</v>
      </c>
      <c r="AF59" s="72">
        <v>0</v>
      </c>
      <c r="AG59" s="72">
        <v>0</v>
      </c>
      <c r="AH59" s="72">
        <v>0</v>
      </c>
      <c r="AI59" s="72">
        <v>0</v>
      </c>
      <c r="AJ59" s="72">
        <v>0</v>
      </c>
      <c r="AK59" s="72">
        <v>0</v>
      </c>
    </row>
    <row r="60" spans="1:37" x14ac:dyDescent="0.2">
      <c r="A60" s="56" t="s">
        <v>291</v>
      </c>
      <c r="B60" s="56" t="s">
        <v>10</v>
      </c>
      <c r="C60" s="56" t="s">
        <v>708</v>
      </c>
      <c r="D60" s="56" t="s">
        <v>246</v>
      </c>
      <c r="E60" s="72">
        <f>IF(B60="","",VLOOKUP(B60,dagsoorttabel1,2,FALSE))</f>
        <v>1</v>
      </c>
      <c r="F60" s="72">
        <v>1</v>
      </c>
      <c r="G60" s="72">
        <f>IF(prodnorm87&gt;0,1/ROUND(prodnorm87,4),0)</f>
        <v>0</v>
      </c>
      <c r="H60" s="74">
        <f>ROUND(dagwerk87,4+2)</f>
        <v>0</v>
      </c>
      <c r="I60" s="60">
        <f>ROUND(uurtarief87,2)</f>
        <v>0</v>
      </c>
      <c r="J60" s="72">
        <v>0</v>
      </c>
      <c r="K60" s="72">
        <v>81.25</v>
      </c>
      <c r="L60" s="72">
        <v>0</v>
      </c>
      <c r="M60" s="72">
        <v>0</v>
      </c>
      <c r="N60" s="72">
        <v>0</v>
      </c>
      <c r="O60" s="72">
        <v>0</v>
      </c>
      <c r="P60" s="72">
        <v>0</v>
      </c>
      <c r="Q60" s="72">
        <v>0</v>
      </c>
      <c r="R60" s="72">
        <v>0</v>
      </c>
      <c r="S60" s="72">
        <v>0</v>
      </c>
      <c r="T60" s="72">
        <v>0</v>
      </c>
      <c r="U60" s="72">
        <v>0</v>
      </c>
      <c r="V60" s="72">
        <v>0</v>
      </c>
      <c r="W60" s="72">
        <v>0</v>
      </c>
      <c r="X60" s="72">
        <v>0</v>
      </c>
      <c r="Y60" s="72">
        <v>0</v>
      </c>
      <c r="Z60" s="72">
        <v>0</v>
      </c>
      <c r="AA60" s="72">
        <v>0</v>
      </c>
      <c r="AB60" s="72">
        <v>0</v>
      </c>
      <c r="AC60" s="72">
        <v>0</v>
      </c>
      <c r="AD60" s="72">
        <v>0</v>
      </c>
      <c r="AE60" s="72">
        <v>0</v>
      </c>
      <c r="AF60" s="72">
        <v>0</v>
      </c>
      <c r="AG60" s="72">
        <v>0</v>
      </c>
      <c r="AH60" s="72">
        <v>0</v>
      </c>
      <c r="AI60" s="72">
        <v>0</v>
      </c>
      <c r="AJ60" s="72">
        <v>0</v>
      </c>
      <c r="AK60" s="72">
        <v>0</v>
      </c>
    </row>
    <row r="61" spans="1:37" x14ac:dyDescent="0.2">
      <c r="A61" s="61" t="s">
        <v>293</v>
      </c>
      <c r="B61" s="61" t="s">
        <v>19</v>
      </c>
      <c r="C61" s="61" t="s">
        <v>708</v>
      </c>
      <c r="D61" s="61" t="s">
        <v>294</v>
      </c>
      <c r="E61" s="75">
        <f>IF(B61="","",VLOOKUP(B61,dagsoorttabel1,2,FALSE))</f>
        <v>0.23529411764705882</v>
      </c>
      <c r="F61" s="75">
        <v>1</v>
      </c>
      <c r="G61" s="75">
        <v>1</v>
      </c>
      <c r="H61" s="85">
        <f>ROUND(dagwerk30,4+2)</f>
        <v>0</v>
      </c>
      <c r="I61" s="65">
        <f>ROUND(uurtarief30,2)</f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5">
        <v>0</v>
      </c>
      <c r="P61" s="75">
        <v>0</v>
      </c>
      <c r="Q61" s="75">
        <v>0</v>
      </c>
      <c r="R61" s="75">
        <v>0</v>
      </c>
      <c r="S61" s="75">
        <v>0</v>
      </c>
      <c r="T61" s="75">
        <v>0</v>
      </c>
      <c r="U61" s="75">
        <v>0</v>
      </c>
      <c r="V61" s="75">
        <v>0</v>
      </c>
      <c r="W61" s="75">
        <v>0</v>
      </c>
      <c r="X61" s="75">
        <v>0</v>
      </c>
      <c r="Y61" s="75">
        <v>0</v>
      </c>
      <c r="Z61" s="75">
        <v>0</v>
      </c>
      <c r="AA61" s="75">
        <v>1</v>
      </c>
      <c r="AB61" s="75">
        <v>0</v>
      </c>
      <c r="AC61" s="75">
        <v>0</v>
      </c>
      <c r="AD61" s="75">
        <v>0</v>
      </c>
      <c r="AE61" s="75">
        <v>0</v>
      </c>
      <c r="AF61" s="75">
        <v>0</v>
      </c>
      <c r="AG61" s="75">
        <v>0</v>
      </c>
      <c r="AH61" s="75">
        <v>0</v>
      </c>
      <c r="AI61" s="75">
        <v>0</v>
      </c>
      <c r="AJ61" s="75">
        <v>0</v>
      </c>
      <c r="AK61" s="75">
        <v>0</v>
      </c>
    </row>
    <row r="62" spans="1:37" x14ac:dyDescent="0.2">
      <c r="A62" s="78" t="s">
        <v>297</v>
      </c>
      <c r="B62" s="79"/>
      <c r="C62" s="79"/>
      <c r="D62" s="79"/>
      <c r="E62" s="79"/>
      <c r="F62" s="79"/>
      <c r="G62" s="79"/>
      <c r="H62" s="79"/>
      <c r="I62" s="79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</row>
    <row r="64" spans="1:37" x14ac:dyDescent="0.2">
      <c r="A64" s="51" t="s">
        <v>299</v>
      </c>
      <c r="B64" s="51" t="s">
        <v>31</v>
      </c>
      <c r="C64" s="51" t="s">
        <v>709</v>
      </c>
      <c r="D64" s="51" t="s">
        <v>246</v>
      </c>
      <c r="E64" s="69">
        <f>IF(B64="","",VLOOKUP(B64,dagsoorttabel2,2,FALSE))</f>
        <v>3.75</v>
      </c>
      <c r="F64" s="69">
        <v>1</v>
      </c>
      <c r="G64" s="69">
        <f>IF(prodnorm89&gt;0,1/ROUND(prodnorm89,4),0)</f>
        <v>0</v>
      </c>
      <c r="H64" s="71">
        <f>ROUND(dagwerk89,4+2)</f>
        <v>0</v>
      </c>
      <c r="I64" s="55">
        <f>ROUND(uurtarief89,2)</f>
        <v>0</v>
      </c>
      <c r="J64" s="69">
        <v>0</v>
      </c>
      <c r="K64" s="69">
        <v>0</v>
      </c>
      <c r="L64" s="69">
        <v>612.35</v>
      </c>
      <c r="M64" s="69">
        <v>0</v>
      </c>
      <c r="N64" s="69">
        <v>0</v>
      </c>
      <c r="O64" s="69">
        <v>0</v>
      </c>
      <c r="P64" s="69">
        <v>0</v>
      </c>
      <c r="Q64" s="69">
        <v>0</v>
      </c>
      <c r="R64" s="69">
        <v>0</v>
      </c>
      <c r="S64" s="69">
        <v>0</v>
      </c>
      <c r="T64" s="69">
        <v>0</v>
      </c>
      <c r="U64" s="69">
        <v>0</v>
      </c>
      <c r="V64" s="69">
        <v>0</v>
      </c>
      <c r="W64" s="69">
        <v>0</v>
      </c>
      <c r="X64" s="69">
        <v>0</v>
      </c>
      <c r="Y64" s="69">
        <v>0</v>
      </c>
      <c r="Z64" s="69">
        <v>0</v>
      </c>
      <c r="AA64" s="69">
        <v>0</v>
      </c>
      <c r="AB64" s="69">
        <v>0</v>
      </c>
      <c r="AC64" s="69">
        <v>0</v>
      </c>
      <c r="AD64" s="69">
        <v>0</v>
      </c>
      <c r="AE64" s="69">
        <v>0</v>
      </c>
      <c r="AF64" s="69">
        <v>0</v>
      </c>
      <c r="AG64" s="69">
        <v>0</v>
      </c>
      <c r="AH64" s="69">
        <v>0</v>
      </c>
      <c r="AI64" s="69">
        <v>0</v>
      </c>
      <c r="AJ64" s="69">
        <v>0</v>
      </c>
      <c r="AK64" s="69">
        <v>0</v>
      </c>
    </row>
    <row r="65" spans="1:37" x14ac:dyDescent="0.2">
      <c r="A65" s="56" t="s">
        <v>301</v>
      </c>
      <c r="B65" s="56" t="s">
        <v>31</v>
      </c>
      <c r="C65" s="56" t="s">
        <v>709</v>
      </c>
      <c r="D65" s="56" t="s">
        <v>246</v>
      </c>
      <c r="E65" s="72">
        <f>IF(B65="","",VLOOKUP(B65,dagsoorttabel2,2,FALSE))</f>
        <v>3.75</v>
      </c>
      <c r="F65" s="72">
        <v>1</v>
      </c>
      <c r="G65" s="72">
        <f>IF(prodnorm90&gt;0,1/ROUND(prodnorm90,4),0)</f>
        <v>0</v>
      </c>
      <c r="H65" s="74">
        <f>ROUND(dagwerk90,4+2)</f>
        <v>0</v>
      </c>
      <c r="I65" s="60">
        <f>ROUND(uurtarief90,2)</f>
        <v>0</v>
      </c>
      <c r="J65" s="72">
        <v>0</v>
      </c>
      <c r="K65" s="72">
        <v>0</v>
      </c>
      <c r="L65" s="72">
        <v>107</v>
      </c>
      <c r="M65" s="72">
        <v>0</v>
      </c>
      <c r="N65" s="72">
        <v>0</v>
      </c>
      <c r="O65" s="72">
        <v>0</v>
      </c>
      <c r="P65" s="72">
        <v>0</v>
      </c>
      <c r="Q65" s="72">
        <v>0</v>
      </c>
      <c r="R65" s="72">
        <v>0</v>
      </c>
      <c r="S65" s="72">
        <v>0</v>
      </c>
      <c r="T65" s="72">
        <v>0</v>
      </c>
      <c r="U65" s="72">
        <v>0</v>
      </c>
      <c r="V65" s="72">
        <v>0</v>
      </c>
      <c r="W65" s="72">
        <v>0</v>
      </c>
      <c r="X65" s="72">
        <v>0</v>
      </c>
      <c r="Y65" s="72">
        <v>0</v>
      </c>
      <c r="Z65" s="72">
        <v>0</v>
      </c>
      <c r="AA65" s="72">
        <v>0</v>
      </c>
      <c r="AB65" s="72">
        <v>0</v>
      </c>
      <c r="AC65" s="72">
        <v>0</v>
      </c>
      <c r="AD65" s="72">
        <v>0</v>
      </c>
      <c r="AE65" s="72">
        <v>0</v>
      </c>
      <c r="AF65" s="72">
        <v>0</v>
      </c>
      <c r="AG65" s="72">
        <v>0</v>
      </c>
      <c r="AH65" s="72">
        <v>0</v>
      </c>
      <c r="AI65" s="72">
        <v>0</v>
      </c>
      <c r="AJ65" s="72">
        <v>0</v>
      </c>
      <c r="AK65" s="72">
        <v>0</v>
      </c>
    </row>
    <row r="66" spans="1:37" x14ac:dyDescent="0.2">
      <c r="A66" s="56" t="s">
        <v>303</v>
      </c>
      <c r="B66" s="56" t="s">
        <v>31</v>
      </c>
      <c r="C66" s="56" t="s">
        <v>709</v>
      </c>
      <c r="D66" s="56" t="s">
        <v>246</v>
      </c>
      <c r="E66" s="72">
        <f>IF(B66="","",VLOOKUP(B66,dagsoorttabel2,2,FALSE))</f>
        <v>3.75</v>
      </c>
      <c r="F66" s="72">
        <v>1</v>
      </c>
      <c r="G66" s="72">
        <f>IF(prodnorm91&gt;0,1/ROUND(prodnorm91,4),0)</f>
        <v>0</v>
      </c>
      <c r="H66" s="74">
        <f>ROUND(dagwerk91,4+2)</f>
        <v>0</v>
      </c>
      <c r="I66" s="60">
        <f>ROUND(uurtarief91,2)</f>
        <v>0</v>
      </c>
      <c r="J66" s="72">
        <v>0</v>
      </c>
      <c r="K66" s="72">
        <v>0</v>
      </c>
      <c r="L66" s="72">
        <v>34</v>
      </c>
      <c r="M66" s="72">
        <v>0</v>
      </c>
      <c r="N66" s="72">
        <v>0</v>
      </c>
      <c r="O66" s="72">
        <v>0</v>
      </c>
      <c r="P66" s="72">
        <v>0</v>
      </c>
      <c r="Q66" s="72">
        <v>0</v>
      </c>
      <c r="R66" s="72">
        <v>0</v>
      </c>
      <c r="S66" s="72">
        <v>0</v>
      </c>
      <c r="T66" s="72">
        <v>0</v>
      </c>
      <c r="U66" s="72">
        <v>0</v>
      </c>
      <c r="V66" s="72">
        <v>0</v>
      </c>
      <c r="W66" s="72">
        <v>0</v>
      </c>
      <c r="X66" s="72">
        <v>0</v>
      </c>
      <c r="Y66" s="72">
        <v>0</v>
      </c>
      <c r="Z66" s="72">
        <v>0</v>
      </c>
      <c r="AA66" s="72">
        <v>0</v>
      </c>
      <c r="AB66" s="72">
        <v>0</v>
      </c>
      <c r="AC66" s="72">
        <v>0</v>
      </c>
      <c r="AD66" s="72">
        <v>0</v>
      </c>
      <c r="AE66" s="72">
        <v>0</v>
      </c>
      <c r="AF66" s="72">
        <v>0</v>
      </c>
      <c r="AG66" s="72">
        <v>0</v>
      </c>
      <c r="AH66" s="72">
        <v>0</v>
      </c>
      <c r="AI66" s="72">
        <v>0</v>
      </c>
      <c r="AJ66" s="72">
        <v>0</v>
      </c>
      <c r="AK66" s="72">
        <v>0</v>
      </c>
    </row>
    <row r="67" spans="1:37" x14ac:dyDescent="0.2">
      <c r="A67" s="56" t="s">
        <v>304</v>
      </c>
      <c r="B67" s="56" t="s">
        <v>31</v>
      </c>
      <c r="C67" s="56" t="s">
        <v>709</v>
      </c>
      <c r="D67" s="56" t="s">
        <v>246</v>
      </c>
      <c r="E67" s="72">
        <f>IF(B67="","",VLOOKUP(B67,dagsoorttabel2,2,FALSE))</f>
        <v>3.75</v>
      </c>
      <c r="F67" s="72">
        <v>1</v>
      </c>
      <c r="G67" s="72">
        <f>IF(prodnorm92&gt;0,1/ROUND(prodnorm92,4),0)</f>
        <v>0</v>
      </c>
      <c r="H67" s="74">
        <f>ROUND(dagwerk92,4+2)</f>
        <v>0</v>
      </c>
      <c r="I67" s="60">
        <f>ROUND(uurtarief92,2)</f>
        <v>0</v>
      </c>
      <c r="J67" s="72">
        <v>0</v>
      </c>
      <c r="K67" s="72">
        <v>0</v>
      </c>
      <c r="L67" s="72">
        <v>1.54</v>
      </c>
      <c r="M67" s="72">
        <v>0</v>
      </c>
      <c r="N67" s="72">
        <v>0</v>
      </c>
      <c r="O67" s="72">
        <v>0</v>
      </c>
      <c r="P67" s="72">
        <v>0</v>
      </c>
      <c r="Q67" s="72">
        <v>0</v>
      </c>
      <c r="R67" s="72">
        <v>0</v>
      </c>
      <c r="S67" s="72">
        <v>0</v>
      </c>
      <c r="T67" s="72">
        <v>0</v>
      </c>
      <c r="U67" s="72">
        <v>0</v>
      </c>
      <c r="V67" s="72">
        <v>0</v>
      </c>
      <c r="W67" s="72">
        <v>0</v>
      </c>
      <c r="X67" s="72">
        <v>0</v>
      </c>
      <c r="Y67" s="72">
        <v>0</v>
      </c>
      <c r="Z67" s="72">
        <v>0</v>
      </c>
      <c r="AA67" s="72">
        <v>0</v>
      </c>
      <c r="AB67" s="72">
        <v>0</v>
      </c>
      <c r="AC67" s="72">
        <v>0</v>
      </c>
      <c r="AD67" s="72">
        <v>0</v>
      </c>
      <c r="AE67" s="72">
        <v>0</v>
      </c>
      <c r="AF67" s="72">
        <v>0</v>
      </c>
      <c r="AG67" s="72">
        <v>0</v>
      </c>
      <c r="AH67" s="72">
        <v>0</v>
      </c>
      <c r="AI67" s="72">
        <v>0</v>
      </c>
      <c r="AJ67" s="72">
        <v>0</v>
      </c>
      <c r="AK67" s="72">
        <v>0</v>
      </c>
    </row>
    <row r="68" spans="1:37" x14ac:dyDescent="0.2">
      <c r="A68" s="56" t="s">
        <v>305</v>
      </c>
      <c r="B68" s="56" t="s">
        <v>31</v>
      </c>
      <c r="C68" s="56" t="s">
        <v>709</v>
      </c>
      <c r="D68" s="56" t="s">
        <v>246</v>
      </c>
      <c r="E68" s="72">
        <f>IF(B68="","",VLOOKUP(B68,dagsoorttabel2,2,FALSE))</f>
        <v>3.75</v>
      </c>
      <c r="F68" s="72">
        <v>1</v>
      </c>
      <c r="G68" s="72">
        <f>IF(prodnorm93&gt;0,1/ROUND(prodnorm93,4),0)</f>
        <v>0</v>
      </c>
      <c r="H68" s="74">
        <f>ROUND(dagwerk93,4+2)</f>
        <v>0</v>
      </c>
      <c r="I68" s="60">
        <f>ROUND(uurtarief93,2)</f>
        <v>0</v>
      </c>
      <c r="J68" s="72">
        <v>0</v>
      </c>
      <c r="K68" s="72">
        <v>0</v>
      </c>
      <c r="L68" s="72">
        <v>4637</v>
      </c>
      <c r="M68" s="72">
        <v>0</v>
      </c>
      <c r="N68" s="72">
        <v>0</v>
      </c>
      <c r="O68" s="72">
        <v>0</v>
      </c>
      <c r="P68" s="72">
        <v>0</v>
      </c>
      <c r="Q68" s="72">
        <v>0</v>
      </c>
      <c r="R68" s="72">
        <v>0</v>
      </c>
      <c r="S68" s="72">
        <v>0</v>
      </c>
      <c r="T68" s="72">
        <v>0</v>
      </c>
      <c r="U68" s="72">
        <v>0</v>
      </c>
      <c r="V68" s="72">
        <v>0</v>
      </c>
      <c r="W68" s="72">
        <v>0</v>
      </c>
      <c r="X68" s="72">
        <v>0</v>
      </c>
      <c r="Y68" s="72">
        <v>0</v>
      </c>
      <c r="Z68" s="72">
        <v>0</v>
      </c>
      <c r="AA68" s="72">
        <v>0</v>
      </c>
      <c r="AB68" s="72">
        <v>0</v>
      </c>
      <c r="AC68" s="72">
        <v>0</v>
      </c>
      <c r="AD68" s="72">
        <v>0</v>
      </c>
      <c r="AE68" s="72">
        <v>0</v>
      </c>
      <c r="AF68" s="72">
        <v>0</v>
      </c>
      <c r="AG68" s="72">
        <v>0</v>
      </c>
      <c r="AH68" s="72">
        <v>0</v>
      </c>
      <c r="AI68" s="72">
        <v>0</v>
      </c>
      <c r="AJ68" s="72">
        <v>0</v>
      </c>
      <c r="AK68" s="72">
        <v>0</v>
      </c>
    </row>
    <row r="69" spans="1:37" x14ac:dyDescent="0.2">
      <c r="A69" s="56" t="s">
        <v>307</v>
      </c>
      <c r="B69" s="56" t="s">
        <v>31</v>
      </c>
      <c r="C69" s="56" t="s">
        <v>709</v>
      </c>
      <c r="D69" s="56" t="s">
        <v>246</v>
      </c>
      <c r="E69" s="72">
        <f>IF(B69="","",VLOOKUP(B69,dagsoorttabel2,2,FALSE))</f>
        <v>3.75</v>
      </c>
      <c r="F69" s="72">
        <v>1</v>
      </c>
      <c r="G69" s="72">
        <f>IF(prodnorm94&gt;0,1/ROUND(prodnorm94,4),0)</f>
        <v>0</v>
      </c>
      <c r="H69" s="74">
        <f>ROUND(dagwerk94,4+2)</f>
        <v>0</v>
      </c>
      <c r="I69" s="60">
        <f>ROUND(uurtarief94,2)</f>
        <v>0</v>
      </c>
      <c r="J69" s="72">
        <v>0</v>
      </c>
      <c r="K69" s="72">
        <v>0</v>
      </c>
      <c r="L69" s="72">
        <v>227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2">
        <v>0</v>
      </c>
      <c r="T69" s="72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2">
        <v>0</v>
      </c>
      <c r="AE69" s="72">
        <v>0</v>
      </c>
      <c r="AF69" s="72">
        <v>0</v>
      </c>
      <c r="AG69" s="72">
        <v>0</v>
      </c>
      <c r="AH69" s="72">
        <v>0</v>
      </c>
      <c r="AI69" s="72">
        <v>0</v>
      </c>
      <c r="AJ69" s="72">
        <v>0</v>
      </c>
      <c r="AK69" s="72">
        <v>0</v>
      </c>
    </row>
    <row r="70" spans="1:37" x14ac:dyDescent="0.2">
      <c r="A70" s="56" t="s">
        <v>309</v>
      </c>
      <c r="B70" s="56" t="s">
        <v>31</v>
      </c>
      <c r="C70" s="56" t="s">
        <v>709</v>
      </c>
      <c r="D70" s="56" t="s">
        <v>246</v>
      </c>
      <c r="E70" s="72">
        <f>IF(B70="","",VLOOKUP(B70,dagsoorttabel2,2,FALSE))</f>
        <v>3.75</v>
      </c>
      <c r="F70" s="72">
        <v>1</v>
      </c>
      <c r="G70" s="72">
        <f>IF(prodnorm95&gt;0,1/ROUND(prodnorm95,4),0)</f>
        <v>0</v>
      </c>
      <c r="H70" s="74">
        <f>ROUND(dagwerk95,4+2)</f>
        <v>0</v>
      </c>
      <c r="I70" s="60">
        <f>ROUND(uurtarief95,2)</f>
        <v>0</v>
      </c>
      <c r="J70" s="72">
        <v>0</v>
      </c>
      <c r="K70" s="72">
        <v>0</v>
      </c>
      <c r="L70" s="72">
        <v>555</v>
      </c>
      <c r="M70" s="72">
        <v>0</v>
      </c>
      <c r="N70" s="72">
        <v>0</v>
      </c>
      <c r="O70" s="72">
        <v>0</v>
      </c>
      <c r="P70" s="72">
        <v>0</v>
      </c>
      <c r="Q70" s="72">
        <v>0</v>
      </c>
      <c r="R70" s="72">
        <v>0</v>
      </c>
      <c r="S70" s="72">
        <v>0</v>
      </c>
      <c r="T70" s="72">
        <v>0</v>
      </c>
      <c r="U70" s="72">
        <v>0</v>
      </c>
      <c r="V70" s="72">
        <v>0</v>
      </c>
      <c r="W70" s="72">
        <v>0</v>
      </c>
      <c r="X70" s="72">
        <v>0</v>
      </c>
      <c r="Y70" s="72">
        <v>0</v>
      </c>
      <c r="Z70" s="72">
        <v>0</v>
      </c>
      <c r="AA70" s="72">
        <v>0</v>
      </c>
      <c r="AB70" s="72">
        <v>0</v>
      </c>
      <c r="AC70" s="72">
        <v>0</v>
      </c>
      <c r="AD70" s="72">
        <v>0</v>
      </c>
      <c r="AE70" s="72">
        <v>0</v>
      </c>
      <c r="AF70" s="72">
        <v>0</v>
      </c>
      <c r="AG70" s="72">
        <v>0</v>
      </c>
      <c r="AH70" s="72">
        <v>0</v>
      </c>
      <c r="AI70" s="72">
        <v>0</v>
      </c>
      <c r="AJ70" s="72">
        <v>0</v>
      </c>
      <c r="AK70" s="72">
        <v>0</v>
      </c>
    </row>
    <row r="71" spans="1:37" x14ac:dyDescent="0.2">
      <c r="A71" s="56" t="s">
        <v>310</v>
      </c>
      <c r="B71" s="56" t="s">
        <v>31</v>
      </c>
      <c r="C71" s="56" t="s">
        <v>709</v>
      </c>
      <c r="D71" s="56" t="s">
        <v>246</v>
      </c>
      <c r="E71" s="72">
        <f>IF(B71="","",VLOOKUP(B71,dagsoorttabel2,2,FALSE))</f>
        <v>3.75</v>
      </c>
      <c r="F71" s="72">
        <v>1</v>
      </c>
      <c r="G71" s="72">
        <f>IF(prodnorm96&gt;0,1/ROUND(prodnorm96,4),0)</f>
        <v>0</v>
      </c>
      <c r="H71" s="74">
        <f>ROUND(dagwerk96,4+2)</f>
        <v>0</v>
      </c>
      <c r="I71" s="60">
        <f>ROUND(uurtarief96,2)</f>
        <v>0</v>
      </c>
      <c r="J71" s="72">
        <v>0</v>
      </c>
      <c r="K71" s="72">
        <v>0</v>
      </c>
      <c r="L71" s="72">
        <v>16</v>
      </c>
      <c r="M71" s="72">
        <v>0</v>
      </c>
      <c r="N71" s="72">
        <v>0</v>
      </c>
      <c r="O71" s="72">
        <v>0</v>
      </c>
      <c r="P71" s="72">
        <v>0</v>
      </c>
      <c r="Q71" s="72">
        <v>0</v>
      </c>
      <c r="R71" s="72">
        <v>0</v>
      </c>
      <c r="S71" s="72">
        <v>0</v>
      </c>
      <c r="T71" s="72">
        <v>0</v>
      </c>
      <c r="U71" s="72">
        <v>0</v>
      </c>
      <c r="V71" s="72">
        <v>0</v>
      </c>
      <c r="W71" s="72">
        <v>0</v>
      </c>
      <c r="X71" s="72">
        <v>0</v>
      </c>
      <c r="Y71" s="72">
        <v>0</v>
      </c>
      <c r="Z71" s="72">
        <v>0</v>
      </c>
      <c r="AA71" s="72">
        <v>0</v>
      </c>
      <c r="AB71" s="72">
        <v>0</v>
      </c>
      <c r="AC71" s="72">
        <v>0</v>
      </c>
      <c r="AD71" s="72">
        <v>0</v>
      </c>
      <c r="AE71" s="72">
        <v>0</v>
      </c>
      <c r="AF71" s="72">
        <v>0</v>
      </c>
      <c r="AG71" s="72">
        <v>0</v>
      </c>
      <c r="AH71" s="72">
        <v>0</v>
      </c>
      <c r="AI71" s="72">
        <v>0</v>
      </c>
      <c r="AJ71" s="72">
        <v>0</v>
      </c>
      <c r="AK71" s="72">
        <v>0</v>
      </c>
    </row>
    <row r="72" spans="1:37" x14ac:dyDescent="0.2">
      <c r="A72" s="56" t="s">
        <v>312</v>
      </c>
      <c r="B72" s="56" t="s">
        <v>31</v>
      </c>
      <c r="C72" s="56" t="s">
        <v>709</v>
      </c>
      <c r="D72" s="56" t="s">
        <v>246</v>
      </c>
      <c r="E72" s="72">
        <f>IF(B72="","",VLOOKUP(B72,dagsoorttabel2,2,FALSE))</f>
        <v>3.75</v>
      </c>
      <c r="F72" s="72">
        <v>1</v>
      </c>
      <c r="G72" s="72">
        <f>IF(prodnorm97&gt;0,1/ROUND(prodnorm97,4),0)</f>
        <v>0</v>
      </c>
      <c r="H72" s="74">
        <f>ROUND(dagwerk97,4+2)</f>
        <v>0</v>
      </c>
      <c r="I72" s="60">
        <f>ROUND(uurtarief97,2)</f>
        <v>0</v>
      </c>
      <c r="J72" s="72">
        <v>0</v>
      </c>
      <c r="K72" s="72">
        <v>0</v>
      </c>
      <c r="L72" s="72">
        <v>92.34</v>
      </c>
      <c r="M72" s="72">
        <v>0</v>
      </c>
      <c r="N72" s="72">
        <v>0</v>
      </c>
      <c r="O72" s="72">
        <v>0</v>
      </c>
      <c r="P72" s="72">
        <v>0</v>
      </c>
      <c r="Q72" s="72">
        <v>0</v>
      </c>
      <c r="R72" s="72">
        <v>0</v>
      </c>
      <c r="S72" s="72">
        <v>0</v>
      </c>
      <c r="T72" s="72">
        <v>0</v>
      </c>
      <c r="U72" s="72">
        <v>0</v>
      </c>
      <c r="V72" s="72">
        <v>0</v>
      </c>
      <c r="W72" s="72">
        <v>0</v>
      </c>
      <c r="X72" s="72">
        <v>0</v>
      </c>
      <c r="Y72" s="72">
        <v>0</v>
      </c>
      <c r="Z72" s="72">
        <v>0</v>
      </c>
      <c r="AA72" s="72">
        <v>0</v>
      </c>
      <c r="AB72" s="72">
        <v>0</v>
      </c>
      <c r="AC72" s="72">
        <v>0</v>
      </c>
      <c r="AD72" s="72">
        <v>0</v>
      </c>
      <c r="AE72" s="72">
        <v>0</v>
      </c>
      <c r="AF72" s="72">
        <v>0</v>
      </c>
      <c r="AG72" s="72">
        <v>0</v>
      </c>
      <c r="AH72" s="72">
        <v>0</v>
      </c>
      <c r="AI72" s="72">
        <v>0</v>
      </c>
      <c r="AJ72" s="72">
        <v>0</v>
      </c>
      <c r="AK72" s="72">
        <v>0</v>
      </c>
    </row>
    <row r="73" spans="1:37" x14ac:dyDescent="0.2">
      <c r="A73" s="56" t="s">
        <v>313</v>
      </c>
      <c r="B73" s="56" t="s">
        <v>31</v>
      </c>
      <c r="C73" s="56" t="s">
        <v>709</v>
      </c>
      <c r="D73" s="56" t="s">
        <v>246</v>
      </c>
      <c r="E73" s="72">
        <f>IF(B73="","",VLOOKUP(B73,dagsoorttabel2,2,FALSE))</f>
        <v>3.75</v>
      </c>
      <c r="F73" s="72">
        <v>1</v>
      </c>
      <c r="G73" s="72">
        <f>IF(prodnorm98&gt;0,1/ROUND(prodnorm98,4),0)</f>
        <v>0</v>
      </c>
      <c r="H73" s="74">
        <f>ROUND(dagwerk98,4+2)</f>
        <v>0</v>
      </c>
      <c r="I73" s="60">
        <f>ROUND(uurtarief98,2)</f>
        <v>0</v>
      </c>
      <c r="J73" s="72">
        <v>0</v>
      </c>
      <c r="K73" s="72">
        <v>0</v>
      </c>
      <c r="L73" s="72">
        <v>112.03999999999999</v>
      </c>
      <c r="M73" s="72">
        <v>0</v>
      </c>
      <c r="N73" s="72">
        <v>0</v>
      </c>
      <c r="O73" s="72">
        <v>0</v>
      </c>
      <c r="P73" s="72">
        <v>0</v>
      </c>
      <c r="Q73" s="72">
        <v>0</v>
      </c>
      <c r="R73" s="72">
        <v>0</v>
      </c>
      <c r="S73" s="72">
        <v>0</v>
      </c>
      <c r="T73" s="72">
        <v>0</v>
      </c>
      <c r="U73" s="72">
        <v>0</v>
      </c>
      <c r="V73" s="72">
        <v>0</v>
      </c>
      <c r="W73" s="72">
        <v>0</v>
      </c>
      <c r="X73" s="72">
        <v>0</v>
      </c>
      <c r="Y73" s="72">
        <v>0</v>
      </c>
      <c r="Z73" s="72">
        <v>0</v>
      </c>
      <c r="AA73" s="72">
        <v>0</v>
      </c>
      <c r="AB73" s="72">
        <v>0</v>
      </c>
      <c r="AC73" s="72">
        <v>0</v>
      </c>
      <c r="AD73" s="72">
        <v>0</v>
      </c>
      <c r="AE73" s="72">
        <v>0</v>
      </c>
      <c r="AF73" s="72">
        <v>0</v>
      </c>
      <c r="AG73" s="72">
        <v>0</v>
      </c>
      <c r="AH73" s="72">
        <v>0</v>
      </c>
      <c r="AI73" s="72">
        <v>0</v>
      </c>
      <c r="AJ73" s="72">
        <v>0</v>
      </c>
      <c r="AK73" s="72">
        <v>0</v>
      </c>
    </row>
    <row r="74" spans="1:37" x14ac:dyDescent="0.2">
      <c r="A74" s="61" t="s">
        <v>314</v>
      </c>
      <c r="B74" s="61" t="s">
        <v>31</v>
      </c>
      <c r="C74" s="61" t="s">
        <v>709</v>
      </c>
      <c r="D74" s="61" t="s">
        <v>246</v>
      </c>
      <c r="E74" s="75">
        <f>IF(B74="","",VLOOKUP(B74,dagsoorttabel2,2,FALSE))</f>
        <v>3.75</v>
      </c>
      <c r="F74" s="75">
        <v>1</v>
      </c>
      <c r="G74" s="75">
        <f>IF(prodnorm99&gt;0,1/ROUND(prodnorm99,4),0)</f>
        <v>0</v>
      </c>
      <c r="H74" s="85">
        <f>ROUND(dagwerk99,4+2)</f>
        <v>0</v>
      </c>
      <c r="I74" s="65">
        <f>ROUND(uurtarief99,2)</f>
        <v>0</v>
      </c>
      <c r="J74" s="75">
        <v>0</v>
      </c>
      <c r="K74" s="75">
        <v>0</v>
      </c>
      <c r="L74" s="75">
        <v>914.24</v>
      </c>
      <c r="M74" s="75">
        <v>0</v>
      </c>
      <c r="N74" s="75">
        <v>0</v>
      </c>
      <c r="O74" s="75">
        <v>0</v>
      </c>
      <c r="P74" s="75">
        <v>0</v>
      </c>
      <c r="Q74" s="75">
        <v>0</v>
      </c>
      <c r="R74" s="75">
        <v>0</v>
      </c>
      <c r="S74" s="75">
        <v>0</v>
      </c>
      <c r="T74" s="75">
        <v>0</v>
      </c>
      <c r="U74" s="75">
        <v>0</v>
      </c>
      <c r="V74" s="75">
        <v>0</v>
      </c>
      <c r="W74" s="75">
        <v>0</v>
      </c>
      <c r="X74" s="75">
        <v>0</v>
      </c>
      <c r="Y74" s="75">
        <v>0</v>
      </c>
      <c r="Z74" s="75">
        <v>0</v>
      </c>
      <c r="AA74" s="75">
        <v>0</v>
      </c>
      <c r="AB74" s="75">
        <v>0</v>
      </c>
      <c r="AC74" s="75">
        <v>0</v>
      </c>
      <c r="AD74" s="75">
        <v>0</v>
      </c>
      <c r="AE74" s="75">
        <v>0</v>
      </c>
      <c r="AF74" s="75">
        <v>0</v>
      </c>
      <c r="AG74" s="75">
        <v>0</v>
      </c>
      <c r="AH74" s="75">
        <v>0</v>
      </c>
      <c r="AI74" s="75">
        <v>0</v>
      </c>
      <c r="AJ74" s="75">
        <v>0</v>
      </c>
      <c r="AK74" s="75">
        <v>0</v>
      </c>
    </row>
    <row r="75" spans="1:37" x14ac:dyDescent="0.2">
      <c r="A75" s="78" t="s">
        <v>316</v>
      </c>
      <c r="B75" s="79"/>
      <c r="C75" s="79"/>
      <c r="D75" s="79"/>
      <c r="E75" s="79"/>
      <c r="F75" s="79"/>
      <c r="G75" s="79"/>
      <c r="H75" s="79"/>
      <c r="I75" s="79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</row>
    <row r="77" spans="1:37" x14ac:dyDescent="0.2">
      <c r="A77" s="51" t="s">
        <v>318</v>
      </c>
      <c r="B77" s="51" t="s">
        <v>35</v>
      </c>
      <c r="C77" s="51" t="s">
        <v>710</v>
      </c>
      <c r="D77" s="51" t="s">
        <v>246</v>
      </c>
      <c r="E77" s="69">
        <f>IF(B77="","",VLOOKUP(B77,dagsoorttabel3,2,FALSE))</f>
        <v>0.68627450980392157</v>
      </c>
      <c r="F77" s="69">
        <v>1</v>
      </c>
      <c r="G77" s="69">
        <f>IF(prodnorm103&gt;0,1/ROUND(prodnorm103,4),0)</f>
        <v>0</v>
      </c>
      <c r="H77" s="71">
        <f>ROUND(dagwerk103,4+2)</f>
        <v>0</v>
      </c>
      <c r="I77" s="55">
        <f>ROUND(uurtarief103,2)</f>
        <v>0</v>
      </c>
      <c r="J77" s="69">
        <v>0</v>
      </c>
      <c r="K77" s="69">
        <v>0</v>
      </c>
      <c r="L77" s="69">
        <v>0</v>
      </c>
      <c r="M77" s="69">
        <v>0</v>
      </c>
      <c r="N77" s="69">
        <v>0</v>
      </c>
      <c r="O77" s="69">
        <v>0</v>
      </c>
      <c r="P77" s="69">
        <v>0</v>
      </c>
      <c r="Q77" s="69">
        <v>0</v>
      </c>
      <c r="R77" s="69">
        <v>0</v>
      </c>
      <c r="S77" s="69">
        <v>0</v>
      </c>
      <c r="T77" s="69">
        <v>0</v>
      </c>
      <c r="U77" s="69">
        <v>0</v>
      </c>
      <c r="V77" s="69">
        <v>0</v>
      </c>
      <c r="W77" s="69">
        <v>0</v>
      </c>
      <c r="X77" s="69">
        <v>0</v>
      </c>
      <c r="Y77" s="69">
        <v>0</v>
      </c>
      <c r="Z77" s="69">
        <v>0</v>
      </c>
      <c r="AA77" s="69">
        <v>0</v>
      </c>
      <c r="AB77" s="69">
        <v>0</v>
      </c>
      <c r="AC77" s="69">
        <v>0</v>
      </c>
      <c r="AD77" s="69">
        <v>14.7</v>
      </c>
      <c r="AE77" s="69">
        <v>0</v>
      </c>
      <c r="AF77" s="69">
        <v>0</v>
      </c>
      <c r="AG77" s="69">
        <v>0</v>
      </c>
      <c r="AH77" s="69">
        <v>0</v>
      </c>
      <c r="AI77" s="69">
        <v>0</v>
      </c>
      <c r="AJ77" s="69">
        <v>0</v>
      </c>
      <c r="AK77" s="69">
        <v>0</v>
      </c>
    </row>
    <row r="78" spans="1:37" x14ac:dyDescent="0.2">
      <c r="A78" s="56" t="s">
        <v>318</v>
      </c>
      <c r="B78" s="56" t="s">
        <v>34</v>
      </c>
      <c r="C78" s="56" t="s">
        <v>710</v>
      </c>
      <c r="D78" s="56" t="s">
        <v>246</v>
      </c>
      <c r="E78" s="72">
        <f>IF(B78="","",VLOOKUP(B78,dagsoorttabel3,2,FALSE))</f>
        <v>0.78431372549019607</v>
      </c>
      <c r="F78" s="72">
        <v>1</v>
      </c>
      <c r="G78" s="72">
        <f>IF(prodnorm104&gt;0,1/ROUND(prodnorm104,4),0)</f>
        <v>0</v>
      </c>
      <c r="H78" s="74">
        <f>ROUND(dagwerk104,4+2)</f>
        <v>0</v>
      </c>
      <c r="I78" s="60">
        <f>ROUND(uurtarief104,2)</f>
        <v>0</v>
      </c>
      <c r="J78" s="72">
        <v>0</v>
      </c>
      <c r="K78" s="72">
        <v>0</v>
      </c>
      <c r="L78" s="72">
        <v>612.35</v>
      </c>
      <c r="M78" s="72">
        <v>0</v>
      </c>
      <c r="N78" s="72">
        <v>0</v>
      </c>
      <c r="O78" s="72">
        <v>0</v>
      </c>
      <c r="P78" s="72">
        <v>0</v>
      </c>
      <c r="Q78" s="72">
        <v>0</v>
      </c>
      <c r="R78" s="72">
        <v>0</v>
      </c>
      <c r="S78" s="72">
        <v>0</v>
      </c>
      <c r="T78" s="72">
        <v>0</v>
      </c>
      <c r="U78" s="72">
        <v>0</v>
      </c>
      <c r="V78" s="72">
        <v>0</v>
      </c>
      <c r="W78" s="72">
        <v>0</v>
      </c>
      <c r="X78" s="72">
        <v>0</v>
      </c>
      <c r="Y78" s="72">
        <v>0</v>
      </c>
      <c r="Z78" s="72">
        <v>0</v>
      </c>
      <c r="AA78" s="72">
        <v>0</v>
      </c>
      <c r="AB78" s="72">
        <v>0</v>
      </c>
      <c r="AC78" s="72">
        <v>0</v>
      </c>
      <c r="AD78" s="72">
        <v>0</v>
      </c>
      <c r="AE78" s="72">
        <v>0</v>
      </c>
      <c r="AF78" s="72">
        <v>0</v>
      </c>
      <c r="AG78" s="72">
        <v>0</v>
      </c>
      <c r="AH78" s="72">
        <v>0</v>
      </c>
      <c r="AI78" s="72">
        <v>0</v>
      </c>
      <c r="AJ78" s="72">
        <v>0</v>
      </c>
      <c r="AK78" s="72">
        <v>0</v>
      </c>
    </row>
    <row r="79" spans="1:37" x14ac:dyDescent="0.2">
      <c r="A79" s="56" t="s">
        <v>319</v>
      </c>
      <c r="B79" s="56" t="s">
        <v>35</v>
      </c>
      <c r="C79" s="56" t="s">
        <v>710</v>
      </c>
      <c r="D79" s="56" t="s">
        <v>246</v>
      </c>
      <c r="E79" s="72">
        <f>IF(B79="","",VLOOKUP(B79,dagsoorttabel3,2,FALSE))</f>
        <v>0.68627450980392157</v>
      </c>
      <c r="F79" s="72">
        <v>1</v>
      </c>
      <c r="G79" s="72">
        <f>IF(prodnorm105&gt;0,1/ROUND(prodnorm105,4),0)</f>
        <v>0</v>
      </c>
      <c r="H79" s="74">
        <f>ROUND(dagwerk105,4+2)</f>
        <v>0</v>
      </c>
      <c r="I79" s="60">
        <f>ROUND(uurtarief105,2)</f>
        <v>0</v>
      </c>
      <c r="J79" s="72">
        <v>0</v>
      </c>
      <c r="K79" s="72">
        <v>0</v>
      </c>
      <c r="L79" s="72">
        <v>0</v>
      </c>
      <c r="M79" s="72">
        <v>0</v>
      </c>
      <c r="N79" s="72">
        <v>0</v>
      </c>
      <c r="O79" s="72">
        <v>0</v>
      </c>
      <c r="P79" s="72">
        <v>0</v>
      </c>
      <c r="Q79" s="72">
        <v>0</v>
      </c>
      <c r="R79" s="72">
        <v>0</v>
      </c>
      <c r="S79" s="72">
        <v>0</v>
      </c>
      <c r="T79" s="72">
        <v>0</v>
      </c>
      <c r="U79" s="72">
        <v>0</v>
      </c>
      <c r="V79" s="72">
        <v>0</v>
      </c>
      <c r="W79" s="72">
        <v>0</v>
      </c>
      <c r="X79" s="72">
        <v>0</v>
      </c>
      <c r="Y79" s="72">
        <v>0</v>
      </c>
      <c r="Z79" s="72">
        <v>0</v>
      </c>
      <c r="AA79" s="72">
        <v>0</v>
      </c>
      <c r="AB79" s="72">
        <v>0</v>
      </c>
      <c r="AC79" s="72">
        <v>0</v>
      </c>
      <c r="AD79" s="72">
        <v>70.2</v>
      </c>
      <c r="AE79" s="72">
        <v>0</v>
      </c>
      <c r="AF79" s="72">
        <v>0</v>
      </c>
      <c r="AG79" s="72">
        <v>0</v>
      </c>
      <c r="AH79" s="72">
        <v>0</v>
      </c>
      <c r="AI79" s="72">
        <v>0</v>
      </c>
      <c r="AJ79" s="72">
        <v>0</v>
      </c>
      <c r="AK79" s="72">
        <v>0</v>
      </c>
    </row>
    <row r="80" spans="1:37" x14ac:dyDescent="0.2">
      <c r="A80" s="56" t="s">
        <v>319</v>
      </c>
      <c r="B80" s="56" t="s">
        <v>34</v>
      </c>
      <c r="C80" s="56" t="s">
        <v>710</v>
      </c>
      <c r="D80" s="56" t="s">
        <v>246</v>
      </c>
      <c r="E80" s="72">
        <f>IF(B80="","",VLOOKUP(B80,dagsoorttabel3,2,FALSE))</f>
        <v>0.78431372549019607</v>
      </c>
      <c r="F80" s="72">
        <v>1</v>
      </c>
      <c r="G80" s="72">
        <f>IF(prodnorm106&gt;0,1/ROUND(prodnorm106,4),0)</f>
        <v>0</v>
      </c>
      <c r="H80" s="74">
        <f>ROUND(dagwerk106,4+2)</f>
        <v>0</v>
      </c>
      <c r="I80" s="60">
        <f>ROUND(uurtarief106,2)</f>
        <v>0</v>
      </c>
      <c r="J80" s="72">
        <v>0</v>
      </c>
      <c r="K80" s="72">
        <v>0</v>
      </c>
      <c r="L80" s="72">
        <v>107</v>
      </c>
      <c r="M80" s="72">
        <v>0</v>
      </c>
      <c r="N80" s="72">
        <v>0</v>
      </c>
      <c r="O80" s="72">
        <v>0</v>
      </c>
      <c r="P80" s="72">
        <v>0</v>
      </c>
      <c r="Q80" s="72">
        <v>0</v>
      </c>
      <c r="R80" s="72">
        <v>0</v>
      </c>
      <c r="S80" s="72">
        <v>0</v>
      </c>
      <c r="T80" s="72">
        <v>0</v>
      </c>
      <c r="U80" s="72">
        <v>0</v>
      </c>
      <c r="V80" s="72">
        <v>0</v>
      </c>
      <c r="W80" s="72">
        <v>0</v>
      </c>
      <c r="X80" s="72">
        <v>0</v>
      </c>
      <c r="Y80" s="72">
        <v>0</v>
      </c>
      <c r="Z80" s="72">
        <v>0</v>
      </c>
      <c r="AA80" s="72">
        <v>0</v>
      </c>
      <c r="AB80" s="72">
        <v>0</v>
      </c>
      <c r="AC80" s="72">
        <v>0</v>
      </c>
      <c r="AD80" s="72">
        <v>0</v>
      </c>
      <c r="AE80" s="72">
        <v>0</v>
      </c>
      <c r="AF80" s="72">
        <v>0</v>
      </c>
      <c r="AG80" s="72">
        <v>0</v>
      </c>
      <c r="AH80" s="72">
        <v>0</v>
      </c>
      <c r="AI80" s="72">
        <v>0</v>
      </c>
      <c r="AJ80" s="72">
        <v>0</v>
      </c>
      <c r="AK80" s="72">
        <v>0</v>
      </c>
    </row>
    <row r="81" spans="1:37" x14ac:dyDescent="0.2">
      <c r="A81" s="56" t="s">
        <v>320</v>
      </c>
      <c r="B81" s="56" t="s">
        <v>35</v>
      </c>
      <c r="C81" s="56" t="s">
        <v>710</v>
      </c>
      <c r="D81" s="56" t="s">
        <v>246</v>
      </c>
      <c r="E81" s="72">
        <f>IF(B81="","",VLOOKUP(B81,dagsoorttabel3,2,FALSE))</f>
        <v>0.68627450980392157</v>
      </c>
      <c r="F81" s="72">
        <v>1</v>
      </c>
      <c r="G81" s="72">
        <f>IF(prodnorm107&gt;0,1/ROUND(prodnorm107,4),0)</f>
        <v>0</v>
      </c>
      <c r="H81" s="74">
        <f>ROUND(dagwerk107,4+2)</f>
        <v>0</v>
      </c>
      <c r="I81" s="60">
        <f>ROUND(uurtarief107,2)</f>
        <v>0</v>
      </c>
      <c r="J81" s="72">
        <v>0</v>
      </c>
      <c r="K81" s="72">
        <v>0</v>
      </c>
      <c r="L81" s="72">
        <v>0</v>
      </c>
      <c r="M81" s="72">
        <v>0</v>
      </c>
      <c r="N81" s="72">
        <v>0</v>
      </c>
      <c r="O81" s="72">
        <v>0</v>
      </c>
      <c r="P81" s="72">
        <v>0</v>
      </c>
      <c r="Q81" s="72">
        <v>0</v>
      </c>
      <c r="R81" s="72">
        <v>0</v>
      </c>
      <c r="S81" s="72">
        <v>0</v>
      </c>
      <c r="T81" s="72">
        <v>0</v>
      </c>
      <c r="U81" s="72">
        <v>0</v>
      </c>
      <c r="V81" s="72">
        <v>0</v>
      </c>
      <c r="W81" s="72">
        <v>0</v>
      </c>
      <c r="X81" s="72">
        <v>0</v>
      </c>
      <c r="Y81" s="72">
        <v>0</v>
      </c>
      <c r="Z81" s="72">
        <v>0</v>
      </c>
      <c r="AA81" s="72">
        <v>0</v>
      </c>
      <c r="AB81" s="72">
        <v>0</v>
      </c>
      <c r="AC81" s="72">
        <v>0</v>
      </c>
      <c r="AD81" s="72">
        <v>42.8</v>
      </c>
      <c r="AE81" s="72">
        <v>0</v>
      </c>
      <c r="AF81" s="72">
        <v>0</v>
      </c>
      <c r="AG81" s="72">
        <v>0</v>
      </c>
      <c r="AH81" s="72">
        <v>0</v>
      </c>
      <c r="AI81" s="72">
        <v>0</v>
      </c>
      <c r="AJ81" s="72">
        <v>0</v>
      </c>
      <c r="AK81" s="72">
        <v>0</v>
      </c>
    </row>
    <row r="82" spans="1:37" x14ac:dyDescent="0.2">
      <c r="A82" s="56" t="s">
        <v>320</v>
      </c>
      <c r="B82" s="56" t="s">
        <v>34</v>
      </c>
      <c r="C82" s="56" t="s">
        <v>710</v>
      </c>
      <c r="D82" s="56" t="s">
        <v>246</v>
      </c>
      <c r="E82" s="72">
        <f>IF(B82="","",VLOOKUP(B82,dagsoorttabel3,2,FALSE))</f>
        <v>0.78431372549019607</v>
      </c>
      <c r="F82" s="72">
        <v>1</v>
      </c>
      <c r="G82" s="72">
        <f>IF(prodnorm108&gt;0,1/ROUND(prodnorm108,4),0)</f>
        <v>0</v>
      </c>
      <c r="H82" s="74">
        <f>ROUND(dagwerk108,4+2)</f>
        <v>0</v>
      </c>
      <c r="I82" s="60">
        <f>ROUND(uurtarief108,2)</f>
        <v>0</v>
      </c>
      <c r="J82" s="72">
        <v>0</v>
      </c>
      <c r="K82" s="72">
        <v>0</v>
      </c>
      <c r="L82" s="72">
        <v>34</v>
      </c>
      <c r="M82" s="72">
        <v>0</v>
      </c>
      <c r="N82" s="72">
        <v>0</v>
      </c>
      <c r="O82" s="72">
        <v>0</v>
      </c>
      <c r="P82" s="72">
        <v>0</v>
      </c>
      <c r="Q82" s="72">
        <v>0</v>
      </c>
      <c r="R82" s="72">
        <v>0</v>
      </c>
      <c r="S82" s="72">
        <v>0</v>
      </c>
      <c r="T82" s="72">
        <v>0</v>
      </c>
      <c r="U82" s="72">
        <v>0</v>
      </c>
      <c r="V82" s="72">
        <v>0</v>
      </c>
      <c r="W82" s="72">
        <v>0</v>
      </c>
      <c r="X82" s="72">
        <v>0</v>
      </c>
      <c r="Y82" s="72">
        <v>0</v>
      </c>
      <c r="Z82" s="72">
        <v>0</v>
      </c>
      <c r="AA82" s="72">
        <v>0</v>
      </c>
      <c r="AB82" s="72">
        <v>0</v>
      </c>
      <c r="AC82" s="72">
        <v>0</v>
      </c>
      <c r="AD82" s="72">
        <v>0</v>
      </c>
      <c r="AE82" s="72">
        <v>0</v>
      </c>
      <c r="AF82" s="72">
        <v>0</v>
      </c>
      <c r="AG82" s="72">
        <v>0</v>
      </c>
      <c r="AH82" s="72">
        <v>0</v>
      </c>
      <c r="AI82" s="72">
        <v>0</v>
      </c>
      <c r="AJ82" s="72">
        <v>0</v>
      </c>
      <c r="AK82" s="72">
        <v>0</v>
      </c>
    </row>
    <row r="83" spans="1:37" x14ac:dyDescent="0.2">
      <c r="A83" s="56" t="s">
        <v>321</v>
      </c>
      <c r="B83" s="56" t="s">
        <v>35</v>
      </c>
      <c r="C83" s="56" t="s">
        <v>710</v>
      </c>
      <c r="D83" s="56" t="s">
        <v>246</v>
      </c>
      <c r="E83" s="72">
        <f>IF(B83="","",VLOOKUP(B83,dagsoorttabel3,2,FALSE))</f>
        <v>0.68627450980392157</v>
      </c>
      <c r="F83" s="72">
        <v>1</v>
      </c>
      <c r="G83" s="72">
        <f>IF(prodnorm109&gt;0,1/ROUND(prodnorm109,4),0)</f>
        <v>0</v>
      </c>
      <c r="H83" s="74">
        <f>ROUND(dagwerk109,4+2)</f>
        <v>0</v>
      </c>
      <c r="I83" s="60">
        <f>ROUND(uurtarief109,2)</f>
        <v>0</v>
      </c>
      <c r="J83" s="72">
        <v>0</v>
      </c>
      <c r="K83" s="72">
        <v>0</v>
      </c>
      <c r="L83" s="72">
        <v>0</v>
      </c>
      <c r="M83" s="72">
        <v>0</v>
      </c>
      <c r="N83" s="72">
        <v>0</v>
      </c>
      <c r="O83" s="72">
        <v>0</v>
      </c>
      <c r="P83" s="72">
        <v>0</v>
      </c>
      <c r="Q83" s="72">
        <v>0</v>
      </c>
      <c r="R83" s="72">
        <v>0</v>
      </c>
      <c r="S83" s="72">
        <v>0</v>
      </c>
      <c r="T83" s="72">
        <v>0</v>
      </c>
      <c r="U83" s="72">
        <v>0</v>
      </c>
      <c r="V83" s="72">
        <v>0</v>
      </c>
      <c r="W83" s="72">
        <v>0</v>
      </c>
      <c r="X83" s="72">
        <v>0</v>
      </c>
      <c r="Y83" s="72">
        <v>0</v>
      </c>
      <c r="Z83" s="72">
        <v>0</v>
      </c>
      <c r="AA83" s="72">
        <v>0</v>
      </c>
      <c r="AB83" s="72">
        <v>0</v>
      </c>
      <c r="AC83" s="72">
        <v>0</v>
      </c>
      <c r="AD83" s="72">
        <v>4</v>
      </c>
      <c r="AE83" s="72">
        <v>0</v>
      </c>
      <c r="AF83" s="72">
        <v>0</v>
      </c>
      <c r="AG83" s="72">
        <v>0</v>
      </c>
      <c r="AH83" s="72">
        <v>0</v>
      </c>
      <c r="AI83" s="72">
        <v>0</v>
      </c>
      <c r="AJ83" s="72">
        <v>0</v>
      </c>
      <c r="AK83" s="72">
        <v>0</v>
      </c>
    </row>
    <row r="84" spans="1:37" x14ac:dyDescent="0.2">
      <c r="A84" s="56" t="s">
        <v>321</v>
      </c>
      <c r="B84" s="56" t="s">
        <v>34</v>
      </c>
      <c r="C84" s="56" t="s">
        <v>710</v>
      </c>
      <c r="D84" s="56" t="s">
        <v>246</v>
      </c>
      <c r="E84" s="72">
        <f>IF(B84="","",VLOOKUP(B84,dagsoorttabel3,2,FALSE))</f>
        <v>0.78431372549019607</v>
      </c>
      <c r="F84" s="72">
        <v>1</v>
      </c>
      <c r="G84" s="72">
        <f>IF(prodnorm110&gt;0,1/ROUND(prodnorm110,4),0)</f>
        <v>0</v>
      </c>
      <c r="H84" s="74">
        <f>ROUND(dagwerk110,4+2)</f>
        <v>0</v>
      </c>
      <c r="I84" s="60">
        <f>ROUND(uurtarief110,2)</f>
        <v>0</v>
      </c>
      <c r="J84" s="72">
        <v>0</v>
      </c>
      <c r="K84" s="72">
        <v>0</v>
      </c>
      <c r="L84" s="72">
        <v>1.54</v>
      </c>
      <c r="M84" s="72">
        <v>0</v>
      </c>
      <c r="N84" s="72">
        <v>0</v>
      </c>
      <c r="O84" s="72">
        <v>0</v>
      </c>
      <c r="P84" s="72">
        <v>0</v>
      </c>
      <c r="Q84" s="72">
        <v>0</v>
      </c>
      <c r="R84" s="72">
        <v>0</v>
      </c>
      <c r="S84" s="72">
        <v>0</v>
      </c>
      <c r="T84" s="72">
        <v>0</v>
      </c>
      <c r="U84" s="72">
        <v>0</v>
      </c>
      <c r="V84" s="72">
        <v>0</v>
      </c>
      <c r="W84" s="72">
        <v>0</v>
      </c>
      <c r="X84" s="72">
        <v>0</v>
      </c>
      <c r="Y84" s="72">
        <v>0</v>
      </c>
      <c r="Z84" s="72">
        <v>0</v>
      </c>
      <c r="AA84" s="72">
        <v>0</v>
      </c>
      <c r="AB84" s="72">
        <v>0</v>
      </c>
      <c r="AC84" s="72">
        <v>0</v>
      </c>
      <c r="AD84" s="72">
        <v>0</v>
      </c>
      <c r="AE84" s="72">
        <v>0</v>
      </c>
      <c r="AF84" s="72">
        <v>0</v>
      </c>
      <c r="AG84" s="72">
        <v>0</v>
      </c>
      <c r="AH84" s="72">
        <v>0</v>
      </c>
      <c r="AI84" s="72">
        <v>0</v>
      </c>
      <c r="AJ84" s="72">
        <v>0</v>
      </c>
      <c r="AK84" s="72">
        <v>0</v>
      </c>
    </row>
    <row r="85" spans="1:37" x14ac:dyDescent="0.2">
      <c r="A85" s="56" t="s">
        <v>322</v>
      </c>
      <c r="B85" s="56" t="s">
        <v>35</v>
      </c>
      <c r="C85" s="56" t="s">
        <v>710</v>
      </c>
      <c r="D85" s="56" t="s">
        <v>246</v>
      </c>
      <c r="E85" s="72">
        <f>IF(B85="","",VLOOKUP(B85,dagsoorttabel3,2,FALSE))</f>
        <v>0.68627450980392157</v>
      </c>
      <c r="F85" s="72">
        <v>1</v>
      </c>
      <c r="G85" s="72">
        <f>IF(prodnorm111&gt;0,1/ROUND(prodnorm111,4),0)</f>
        <v>0</v>
      </c>
      <c r="H85" s="74">
        <f>ROUND(dagwerk111,4+2)</f>
        <v>0</v>
      </c>
      <c r="I85" s="60">
        <f>ROUND(uurtarief111,2)</f>
        <v>0</v>
      </c>
      <c r="J85" s="72">
        <v>0</v>
      </c>
      <c r="K85" s="72">
        <v>0</v>
      </c>
      <c r="L85" s="72">
        <v>0</v>
      </c>
      <c r="M85" s="72">
        <v>0</v>
      </c>
      <c r="N85" s="72">
        <v>0</v>
      </c>
      <c r="O85" s="72">
        <v>0</v>
      </c>
      <c r="P85" s="72">
        <v>0</v>
      </c>
      <c r="Q85" s="72">
        <v>0</v>
      </c>
      <c r="R85" s="72">
        <v>0</v>
      </c>
      <c r="S85" s="72">
        <v>0</v>
      </c>
      <c r="T85" s="72">
        <v>0</v>
      </c>
      <c r="U85" s="72">
        <v>0</v>
      </c>
      <c r="V85" s="72">
        <v>0</v>
      </c>
      <c r="W85" s="72">
        <v>0</v>
      </c>
      <c r="X85" s="72">
        <v>0</v>
      </c>
      <c r="Y85" s="72">
        <v>0</v>
      </c>
      <c r="Z85" s="72">
        <v>0</v>
      </c>
      <c r="AA85" s="72">
        <v>0</v>
      </c>
      <c r="AB85" s="72">
        <v>0</v>
      </c>
      <c r="AC85" s="72">
        <v>0</v>
      </c>
      <c r="AD85" s="72">
        <v>1699.9</v>
      </c>
      <c r="AE85" s="72">
        <v>0</v>
      </c>
      <c r="AF85" s="72">
        <v>0</v>
      </c>
      <c r="AG85" s="72">
        <v>0</v>
      </c>
      <c r="AH85" s="72">
        <v>0</v>
      </c>
      <c r="AI85" s="72">
        <v>0</v>
      </c>
      <c r="AJ85" s="72">
        <v>0</v>
      </c>
      <c r="AK85" s="72">
        <v>0</v>
      </c>
    </row>
    <row r="86" spans="1:37" x14ac:dyDescent="0.2">
      <c r="A86" s="56" t="s">
        <v>322</v>
      </c>
      <c r="B86" s="56" t="s">
        <v>34</v>
      </c>
      <c r="C86" s="56" t="s">
        <v>710</v>
      </c>
      <c r="D86" s="56" t="s">
        <v>246</v>
      </c>
      <c r="E86" s="72">
        <f>IF(B86="","",VLOOKUP(B86,dagsoorttabel3,2,FALSE))</f>
        <v>0.78431372549019607</v>
      </c>
      <c r="F86" s="72">
        <v>1</v>
      </c>
      <c r="G86" s="72">
        <f>IF(prodnorm112&gt;0,1/ROUND(prodnorm112,4),0)</f>
        <v>0</v>
      </c>
      <c r="H86" s="74">
        <f>ROUND(dagwerk112,4+2)</f>
        <v>0</v>
      </c>
      <c r="I86" s="60">
        <f>ROUND(uurtarief112,2)</f>
        <v>0</v>
      </c>
      <c r="J86" s="72">
        <v>0</v>
      </c>
      <c r="K86" s="72">
        <v>0</v>
      </c>
      <c r="L86" s="72">
        <v>4637</v>
      </c>
      <c r="M86" s="72">
        <v>0</v>
      </c>
      <c r="N86" s="72">
        <v>0</v>
      </c>
      <c r="O86" s="72">
        <v>0</v>
      </c>
      <c r="P86" s="72">
        <v>0</v>
      </c>
      <c r="Q86" s="72">
        <v>0</v>
      </c>
      <c r="R86" s="72">
        <v>0</v>
      </c>
      <c r="S86" s="72">
        <v>0</v>
      </c>
      <c r="T86" s="72">
        <v>0</v>
      </c>
      <c r="U86" s="72">
        <v>0</v>
      </c>
      <c r="V86" s="72">
        <v>0</v>
      </c>
      <c r="W86" s="72">
        <v>0</v>
      </c>
      <c r="X86" s="72">
        <v>0</v>
      </c>
      <c r="Y86" s="72">
        <v>0</v>
      </c>
      <c r="Z86" s="72">
        <v>0</v>
      </c>
      <c r="AA86" s="72">
        <v>0</v>
      </c>
      <c r="AB86" s="72">
        <v>0</v>
      </c>
      <c r="AC86" s="72">
        <v>0</v>
      </c>
      <c r="AD86" s="72">
        <v>0</v>
      </c>
      <c r="AE86" s="72">
        <v>0</v>
      </c>
      <c r="AF86" s="72">
        <v>0</v>
      </c>
      <c r="AG86" s="72">
        <v>0</v>
      </c>
      <c r="AH86" s="72">
        <v>0</v>
      </c>
      <c r="AI86" s="72">
        <v>0</v>
      </c>
      <c r="AJ86" s="72">
        <v>0</v>
      </c>
      <c r="AK86" s="72">
        <v>0</v>
      </c>
    </row>
    <row r="87" spans="1:37" x14ac:dyDescent="0.2">
      <c r="A87" s="56" t="s">
        <v>323</v>
      </c>
      <c r="B87" s="56" t="s">
        <v>35</v>
      </c>
      <c r="C87" s="56" t="s">
        <v>710</v>
      </c>
      <c r="D87" s="56" t="s">
        <v>246</v>
      </c>
      <c r="E87" s="72">
        <f>IF(B87="","",VLOOKUP(B87,dagsoorttabel3,2,FALSE))</f>
        <v>0.68627450980392157</v>
      </c>
      <c r="F87" s="72">
        <v>1</v>
      </c>
      <c r="G87" s="72">
        <f>IF(prodnorm113&gt;0,1/ROUND(prodnorm113,4),0)</f>
        <v>0</v>
      </c>
      <c r="H87" s="74">
        <f>ROUND(dagwerk113,4+2)</f>
        <v>0</v>
      </c>
      <c r="I87" s="60">
        <f>ROUND(uurtarief113,2)</f>
        <v>0</v>
      </c>
      <c r="J87" s="72">
        <v>0</v>
      </c>
      <c r="K87" s="72">
        <v>0</v>
      </c>
      <c r="L87" s="72">
        <v>0</v>
      </c>
      <c r="M87" s="72">
        <v>0</v>
      </c>
      <c r="N87" s="72">
        <v>0</v>
      </c>
      <c r="O87" s="72">
        <v>0</v>
      </c>
      <c r="P87" s="72">
        <v>0</v>
      </c>
      <c r="Q87" s="72">
        <v>0</v>
      </c>
      <c r="R87" s="72">
        <v>0</v>
      </c>
      <c r="S87" s="72">
        <v>0</v>
      </c>
      <c r="T87" s="72">
        <v>0</v>
      </c>
      <c r="U87" s="72">
        <v>0</v>
      </c>
      <c r="V87" s="72">
        <v>0</v>
      </c>
      <c r="W87" s="72">
        <v>0</v>
      </c>
      <c r="X87" s="72">
        <v>0</v>
      </c>
      <c r="Y87" s="72">
        <v>0</v>
      </c>
      <c r="Z87" s="72">
        <v>0</v>
      </c>
      <c r="AA87" s="72">
        <v>0</v>
      </c>
      <c r="AB87" s="72">
        <v>0</v>
      </c>
      <c r="AC87" s="72">
        <v>0</v>
      </c>
      <c r="AD87" s="72">
        <v>226.20000000000002</v>
      </c>
      <c r="AE87" s="72">
        <v>0</v>
      </c>
      <c r="AF87" s="72">
        <v>0</v>
      </c>
      <c r="AG87" s="72">
        <v>0</v>
      </c>
      <c r="AH87" s="72">
        <v>0</v>
      </c>
      <c r="AI87" s="72">
        <v>0</v>
      </c>
      <c r="AJ87" s="72">
        <v>0</v>
      </c>
      <c r="AK87" s="72">
        <v>0</v>
      </c>
    </row>
    <row r="88" spans="1:37" x14ac:dyDescent="0.2">
      <c r="A88" s="56" t="s">
        <v>323</v>
      </c>
      <c r="B88" s="56" t="s">
        <v>34</v>
      </c>
      <c r="C88" s="56" t="s">
        <v>710</v>
      </c>
      <c r="D88" s="56" t="s">
        <v>246</v>
      </c>
      <c r="E88" s="72">
        <f>IF(B88="","",VLOOKUP(B88,dagsoorttabel3,2,FALSE))</f>
        <v>0.78431372549019607</v>
      </c>
      <c r="F88" s="72">
        <v>1</v>
      </c>
      <c r="G88" s="72">
        <f>IF(prodnorm114&gt;0,1/ROUND(prodnorm114,4),0)</f>
        <v>0</v>
      </c>
      <c r="H88" s="74">
        <f>ROUND(dagwerk114,4+2)</f>
        <v>0</v>
      </c>
      <c r="I88" s="60">
        <f>ROUND(uurtarief114,2)</f>
        <v>0</v>
      </c>
      <c r="J88" s="72">
        <v>0</v>
      </c>
      <c r="K88" s="72">
        <v>0</v>
      </c>
      <c r="L88" s="72">
        <v>227</v>
      </c>
      <c r="M88" s="72">
        <v>0</v>
      </c>
      <c r="N88" s="72">
        <v>0</v>
      </c>
      <c r="O88" s="72">
        <v>0</v>
      </c>
      <c r="P88" s="72">
        <v>0</v>
      </c>
      <c r="Q88" s="72">
        <v>0</v>
      </c>
      <c r="R88" s="72">
        <v>0</v>
      </c>
      <c r="S88" s="72">
        <v>0</v>
      </c>
      <c r="T88" s="72">
        <v>0</v>
      </c>
      <c r="U88" s="72">
        <v>0</v>
      </c>
      <c r="V88" s="72">
        <v>0</v>
      </c>
      <c r="W88" s="72">
        <v>0</v>
      </c>
      <c r="X88" s="72">
        <v>0</v>
      </c>
      <c r="Y88" s="72">
        <v>0</v>
      </c>
      <c r="Z88" s="72">
        <v>0</v>
      </c>
      <c r="AA88" s="72">
        <v>0</v>
      </c>
      <c r="AB88" s="72">
        <v>0</v>
      </c>
      <c r="AC88" s="72">
        <v>0</v>
      </c>
      <c r="AD88" s="72">
        <v>0</v>
      </c>
      <c r="AE88" s="72">
        <v>0</v>
      </c>
      <c r="AF88" s="72">
        <v>0</v>
      </c>
      <c r="AG88" s="72">
        <v>0</v>
      </c>
      <c r="AH88" s="72">
        <v>0</v>
      </c>
      <c r="AI88" s="72">
        <v>0</v>
      </c>
      <c r="AJ88" s="72">
        <v>0</v>
      </c>
      <c r="AK88" s="72">
        <v>0</v>
      </c>
    </row>
    <row r="89" spans="1:37" x14ac:dyDescent="0.2">
      <c r="A89" s="56" t="s">
        <v>324</v>
      </c>
      <c r="B89" s="56" t="s">
        <v>34</v>
      </c>
      <c r="C89" s="56" t="s">
        <v>710</v>
      </c>
      <c r="D89" s="56" t="s">
        <v>246</v>
      </c>
      <c r="E89" s="72">
        <f>IF(B89="","",VLOOKUP(B89,dagsoorttabel3,2,FALSE))</f>
        <v>0.78431372549019607</v>
      </c>
      <c r="F89" s="72">
        <v>1</v>
      </c>
      <c r="G89" s="72">
        <f>IF(prodnorm115&gt;0,1/ROUND(prodnorm115,4),0)</f>
        <v>0</v>
      </c>
      <c r="H89" s="74">
        <f>ROUND(dagwerk115,4+2)</f>
        <v>0</v>
      </c>
      <c r="I89" s="60">
        <f>ROUND(uurtarief115,2)</f>
        <v>0</v>
      </c>
      <c r="J89" s="72">
        <v>0</v>
      </c>
      <c r="K89" s="72">
        <v>0</v>
      </c>
      <c r="L89" s="72">
        <v>555</v>
      </c>
      <c r="M89" s="72">
        <v>0</v>
      </c>
      <c r="N89" s="72">
        <v>0</v>
      </c>
      <c r="O89" s="72">
        <v>0</v>
      </c>
      <c r="P89" s="72">
        <v>0</v>
      </c>
      <c r="Q89" s="72">
        <v>0</v>
      </c>
      <c r="R89" s="72">
        <v>0</v>
      </c>
      <c r="S89" s="72">
        <v>0</v>
      </c>
      <c r="T89" s="72">
        <v>0</v>
      </c>
      <c r="U89" s="72">
        <v>0</v>
      </c>
      <c r="V89" s="72">
        <v>0</v>
      </c>
      <c r="W89" s="72">
        <v>0</v>
      </c>
      <c r="X89" s="72">
        <v>0</v>
      </c>
      <c r="Y89" s="72">
        <v>0</v>
      </c>
      <c r="Z89" s="72">
        <v>0</v>
      </c>
      <c r="AA89" s="72">
        <v>0</v>
      </c>
      <c r="AB89" s="72">
        <v>0</v>
      </c>
      <c r="AC89" s="72">
        <v>0</v>
      </c>
      <c r="AD89" s="72">
        <v>0</v>
      </c>
      <c r="AE89" s="72">
        <v>0</v>
      </c>
      <c r="AF89" s="72">
        <v>0</v>
      </c>
      <c r="AG89" s="72">
        <v>0</v>
      </c>
      <c r="AH89" s="72">
        <v>0</v>
      </c>
      <c r="AI89" s="72">
        <v>0</v>
      </c>
      <c r="AJ89" s="72">
        <v>0</v>
      </c>
      <c r="AK89" s="72">
        <v>0</v>
      </c>
    </row>
    <row r="90" spans="1:37" x14ac:dyDescent="0.2">
      <c r="A90" s="56" t="s">
        <v>325</v>
      </c>
      <c r="B90" s="56" t="s">
        <v>34</v>
      </c>
      <c r="C90" s="56" t="s">
        <v>710</v>
      </c>
      <c r="D90" s="56" t="s">
        <v>246</v>
      </c>
      <c r="E90" s="72">
        <f>IF(B90="","",VLOOKUP(B90,dagsoorttabel3,2,FALSE))</f>
        <v>0.78431372549019607</v>
      </c>
      <c r="F90" s="72">
        <v>1</v>
      </c>
      <c r="G90" s="72">
        <f>IF(prodnorm116&gt;0,1/ROUND(prodnorm116,4),0)</f>
        <v>0</v>
      </c>
      <c r="H90" s="74">
        <f>ROUND(dagwerk116,4+2)</f>
        <v>0</v>
      </c>
      <c r="I90" s="60">
        <f>ROUND(uurtarief116,2)</f>
        <v>0</v>
      </c>
      <c r="J90" s="72">
        <v>0</v>
      </c>
      <c r="K90" s="72">
        <v>0</v>
      </c>
      <c r="L90" s="72">
        <v>16</v>
      </c>
      <c r="M90" s="72">
        <v>0</v>
      </c>
      <c r="N90" s="72">
        <v>0</v>
      </c>
      <c r="O90" s="72">
        <v>0</v>
      </c>
      <c r="P90" s="72">
        <v>0</v>
      </c>
      <c r="Q90" s="72">
        <v>0</v>
      </c>
      <c r="R90" s="72">
        <v>0</v>
      </c>
      <c r="S90" s="72">
        <v>0</v>
      </c>
      <c r="T90" s="72">
        <v>0</v>
      </c>
      <c r="U90" s="72">
        <v>0</v>
      </c>
      <c r="V90" s="72">
        <v>0</v>
      </c>
      <c r="W90" s="72">
        <v>0</v>
      </c>
      <c r="X90" s="72">
        <v>0</v>
      </c>
      <c r="Y90" s="72">
        <v>0</v>
      </c>
      <c r="Z90" s="72">
        <v>0</v>
      </c>
      <c r="AA90" s="72">
        <v>0</v>
      </c>
      <c r="AB90" s="72">
        <v>0</v>
      </c>
      <c r="AC90" s="72">
        <v>0</v>
      </c>
      <c r="AD90" s="72">
        <v>0</v>
      </c>
      <c r="AE90" s="72">
        <v>0</v>
      </c>
      <c r="AF90" s="72">
        <v>0</v>
      </c>
      <c r="AG90" s="72">
        <v>0</v>
      </c>
      <c r="AH90" s="72">
        <v>0</v>
      </c>
      <c r="AI90" s="72">
        <v>0</v>
      </c>
      <c r="AJ90" s="72">
        <v>0</v>
      </c>
      <c r="AK90" s="72">
        <v>0</v>
      </c>
    </row>
    <row r="91" spans="1:37" x14ac:dyDescent="0.2">
      <c r="A91" s="56" t="s">
        <v>326</v>
      </c>
      <c r="B91" s="56" t="s">
        <v>35</v>
      </c>
      <c r="C91" s="56" t="s">
        <v>710</v>
      </c>
      <c r="D91" s="56" t="s">
        <v>246</v>
      </c>
      <c r="E91" s="72">
        <f>IF(B91="","",VLOOKUP(B91,dagsoorttabel3,2,FALSE))</f>
        <v>0.68627450980392157</v>
      </c>
      <c r="F91" s="72">
        <v>1</v>
      </c>
      <c r="G91" s="72">
        <f>IF(prodnorm117&gt;0,1/ROUND(prodnorm117,4),0)</f>
        <v>0</v>
      </c>
      <c r="H91" s="74">
        <f>ROUND(dagwerk117,4+2)</f>
        <v>0</v>
      </c>
      <c r="I91" s="60">
        <f>ROUND(uurtarief117,2)</f>
        <v>0</v>
      </c>
      <c r="J91" s="72">
        <v>0</v>
      </c>
      <c r="K91" s="72">
        <v>0</v>
      </c>
      <c r="L91" s="72">
        <v>0</v>
      </c>
      <c r="M91" s="72">
        <v>0</v>
      </c>
      <c r="N91" s="72">
        <v>0</v>
      </c>
      <c r="O91" s="72">
        <v>0</v>
      </c>
      <c r="P91" s="72">
        <v>0</v>
      </c>
      <c r="Q91" s="72">
        <v>0</v>
      </c>
      <c r="R91" s="72">
        <v>0</v>
      </c>
      <c r="S91" s="72">
        <v>0</v>
      </c>
      <c r="T91" s="72">
        <v>0</v>
      </c>
      <c r="U91" s="72">
        <v>0</v>
      </c>
      <c r="V91" s="72">
        <v>0</v>
      </c>
      <c r="W91" s="72">
        <v>0</v>
      </c>
      <c r="X91" s="72">
        <v>0</v>
      </c>
      <c r="Y91" s="72">
        <v>0</v>
      </c>
      <c r="Z91" s="72">
        <v>0</v>
      </c>
      <c r="AA91" s="72">
        <v>0</v>
      </c>
      <c r="AB91" s="72">
        <v>0</v>
      </c>
      <c r="AC91" s="72">
        <v>0</v>
      </c>
      <c r="AD91" s="72">
        <v>24.599999999999998</v>
      </c>
      <c r="AE91" s="72">
        <v>0</v>
      </c>
      <c r="AF91" s="72">
        <v>0</v>
      </c>
      <c r="AG91" s="72">
        <v>0</v>
      </c>
      <c r="AH91" s="72">
        <v>0</v>
      </c>
      <c r="AI91" s="72">
        <v>0</v>
      </c>
      <c r="AJ91" s="72">
        <v>0</v>
      </c>
      <c r="AK91" s="72">
        <v>0</v>
      </c>
    </row>
    <row r="92" spans="1:37" x14ac:dyDescent="0.2">
      <c r="A92" s="56" t="s">
        <v>326</v>
      </c>
      <c r="B92" s="56" t="s">
        <v>34</v>
      </c>
      <c r="C92" s="56" t="s">
        <v>710</v>
      </c>
      <c r="D92" s="56" t="s">
        <v>246</v>
      </c>
      <c r="E92" s="72">
        <f>IF(B92="","",VLOOKUP(B92,dagsoorttabel3,2,FALSE))</f>
        <v>0.78431372549019607</v>
      </c>
      <c r="F92" s="72">
        <v>1</v>
      </c>
      <c r="G92" s="72">
        <f>IF(prodnorm118&gt;0,1/ROUND(prodnorm118,4),0)</f>
        <v>0</v>
      </c>
      <c r="H92" s="74">
        <f>ROUND(dagwerk118,4+2)</f>
        <v>0</v>
      </c>
      <c r="I92" s="60">
        <f>ROUND(uurtarief118,2)</f>
        <v>0</v>
      </c>
      <c r="J92" s="72">
        <v>0</v>
      </c>
      <c r="K92" s="72">
        <v>0</v>
      </c>
      <c r="L92" s="72">
        <v>92.34</v>
      </c>
      <c r="M92" s="72">
        <v>0</v>
      </c>
      <c r="N92" s="72">
        <v>0</v>
      </c>
      <c r="O92" s="72">
        <v>0</v>
      </c>
      <c r="P92" s="72">
        <v>0</v>
      </c>
      <c r="Q92" s="72">
        <v>0</v>
      </c>
      <c r="R92" s="72">
        <v>0</v>
      </c>
      <c r="S92" s="72">
        <v>0</v>
      </c>
      <c r="T92" s="72">
        <v>0</v>
      </c>
      <c r="U92" s="72">
        <v>0</v>
      </c>
      <c r="V92" s="72">
        <v>0</v>
      </c>
      <c r="W92" s="72">
        <v>0</v>
      </c>
      <c r="X92" s="72">
        <v>0</v>
      </c>
      <c r="Y92" s="72">
        <v>0</v>
      </c>
      <c r="Z92" s="72">
        <v>0</v>
      </c>
      <c r="AA92" s="72">
        <v>0</v>
      </c>
      <c r="AB92" s="72">
        <v>0</v>
      </c>
      <c r="AC92" s="72">
        <v>0</v>
      </c>
      <c r="AD92" s="72">
        <v>0</v>
      </c>
      <c r="AE92" s="72">
        <v>0</v>
      </c>
      <c r="AF92" s="72">
        <v>0</v>
      </c>
      <c r="AG92" s="72">
        <v>0</v>
      </c>
      <c r="AH92" s="72">
        <v>0</v>
      </c>
      <c r="AI92" s="72">
        <v>0</v>
      </c>
      <c r="AJ92" s="72">
        <v>0</v>
      </c>
      <c r="AK92" s="72">
        <v>0</v>
      </c>
    </row>
    <row r="93" spans="1:37" x14ac:dyDescent="0.2">
      <c r="A93" s="56" t="s">
        <v>327</v>
      </c>
      <c r="B93" s="56" t="s">
        <v>35</v>
      </c>
      <c r="C93" s="56" t="s">
        <v>710</v>
      </c>
      <c r="D93" s="56" t="s">
        <v>246</v>
      </c>
      <c r="E93" s="72">
        <f>IF(B93="","",VLOOKUP(B93,dagsoorttabel3,2,FALSE))</f>
        <v>0.68627450980392157</v>
      </c>
      <c r="F93" s="72">
        <v>1</v>
      </c>
      <c r="G93" s="72">
        <f>IF(prodnorm119&gt;0,1/ROUND(prodnorm119,4),0)</f>
        <v>0</v>
      </c>
      <c r="H93" s="74">
        <f>ROUND(dagwerk119,4+2)</f>
        <v>0</v>
      </c>
      <c r="I93" s="60">
        <f>ROUND(uurtarief119,2)</f>
        <v>0</v>
      </c>
      <c r="J93" s="72">
        <v>0</v>
      </c>
      <c r="K93" s="72">
        <v>0</v>
      </c>
      <c r="L93" s="72">
        <v>0</v>
      </c>
      <c r="M93" s="72">
        <v>0</v>
      </c>
      <c r="N93" s="72">
        <v>0</v>
      </c>
      <c r="O93" s="72">
        <v>0</v>
      </c>
      <c r="P93" s="72">
        <v>0</v>
      </c>
      <c r="Q93" s="72">
        <v>0</v>
      </c>
      <c r="R93" s="72">
        <v>0</v>
      </c>
      <c r="S93" s="72">
        <v>0</v>
      </c>
      <c r="T93" s="72">
        <v>0</v>
      </c>
      <c r="U93" s="72">
        <v>0</v>
      </c>
      <c r="V93" s="72">
        <v>0</v>
      </c>
      <c r="W93" s="72">
        <v>0</v>
      </c>
      <c r="X93" s="72">
        <v>0</v>
      </c>
      <c r="Y93" s="72">
        <v>0</v>
      </c>
      <c r="Z93" s="72">
        <v>0</v>
      </c>
      <c r="AA93" s="72">
        <v>0</v>
      </c>
      <c r="AB93" s="72">
        <v>0</v>
      </c>
      <c r="AC93" s="72">
        <v>0</v>
      </c>
      <c r="AD93" s="72">
        <v>26</v>
      </c>
      <c r="AE93" s="72">
        <v>0</v>
      </c>
      <c r="AF93" s="72">
        <v>0</v>
      </c>
      <c r="AG93" s="72">
        <v>0</v>
      </c>
      <c r="AH93" s="72">
        <v>0</v>
      </c>
      <c r="AI93" s="72">
        <v>0</v>
      </c>
      <c r="AJ93" s="72">
        <v>0</v>
      </c>
      <c r="AK93" s="72">
        <v>0</v>
      </c>
    </row>
    <row r="94" spans="1:37" x14ac:dyDescent="0.2">
      <c r="A94" s="56" t="s">
        <v>327</v>
      </c>
      <c r="B94" s="56" t="s">
        <v>34</v>
      </c>
      <c r="C94" s="56" t="s">
        <v>710</v>
      </c>
      <c r="D94" s="56" t="s">
        <v>246</v>
      </c>
      <c r="E94" s="72">
        <f>IF(B94="","",VLOOKUP(B94,dagsoorttabel3,2,FALSE))</f>
        <v>0.78431372549019607</v>
      </c>
      <c r="F94" s="72">
        <v>1</v>
      </c>
      <c r="G94" s="72">
        <f>IF(prodnorm120&gt;0,1/ROUND(prodnorm120,4),0)</f>
        <v>0</v>
      </c>
      <c r="H94" s="74">
        <f>ROUND(dagwerk120,4+2)</f>
        <v>0</v>
      </c>
      <c r="I94" s="60">
        <f>ROUND(uurtarief120,2)</f>
        <v>0</v>
      </c>
      <c r="J94" s="72">
        <v>0</v>
      </c>
      <c r="K94" s="72">
        <v>0</v>
      </c>
      <c r="L94" s="72">
        <v>112.03999999999999</v>
      </c>
      <c r="M94" s="72">
        <v>0</v>
      </c>
      <c r="N94" s="72">
        <v>0</v>
      </c>
      <c r="O94" s="72">
        <v>0</v>
      </c>
      <c r="P94" s="72">
        <v>0</v>
      </c>
      <c r="Q94" s="72">
        <v>0</v>
      </c>
      <c r="R94" s="72">
        <v>0</v>
      </c>
      <c r="S94" s="72">
        <v>0</v>
      </c>
      <c r="T94" s="72">
        <v>0</v>
      </c>
      <c r="U94" s="72">
        <v>0</v>
      </c>
      <c r="V94" s="72">
        <v>0</v>
      </c>
      <c r="W94" s="72">
        <v>0</v>
      </c>
      <c r="X94" s="72">
        <v>0</v>
      </c>
      <c r="Y94" s="72">
        <v>0</v>
      </c>
      <c r="Z94" s="72">
        <v>0</v>
      </c>
      <c r="AA94" s="72">
        <v>0</v>
      </c>
      <c r="AB94" s="72">
        <v>0</v>
      </c>
      <c r="AC94" s="72">
        <v>0</v>
      </c>
      <c r="AD94" s="72">
        <v>0</v>
      </c>
      <c r="AE94" s="72">
        <v>0</v>
      </c>
      <c r="AF94" s="72">
        <v>0</v>
      </c>
      <c r="AG94" s="72">
        <v>0</v>
      </c>
      <c r="AH94" s="72">
        <v>0</v>
      </c>
      <c r="AI94" s="72">
        <v>0</v>
      </c>
      <c r="AJ94" s="72">
        <v>0</v>
      </c>
      <c r="AK94" s="72">
        <v>0</v>
      </c>
    </row>
    <row r="95" spans="1:37" x14ac:dyDescent="0.2">
      <c r="A95" s="56" t="s">
        <v>328</v>
      </c>
      <c r="B95" s="56" t="s">
        <v>35</v>
      </c>
      <c r="C95" s="56" t="s">
        <v>710</v>
      </c>
      <c r="D95" s="56" t="s">
        <v>246</v>
      </c>
      <c r="E95" s="72">
        <f>IF(B95="","",VLOOKUP(B95,dagsoorttabel3,2,FALSE))</f>
        <v>0.68627450980392157</v>
      </c>
      <c r="F95" s="72">
        <v>1</v>
      </c>
      <c r="G95" s="72">
        <f>IF(prodnorm121&gt;0,1/ROUND(prodnorm121,4),0)</f>
        <v>0</v>
      </c>
      <c r="H95" s="74">
        <f>ROUND(dagwerk121,4+2)</f>
        <v>0</v>
      </c>
      <c r="I95" s="60">
        <f>ROUND(uurtarief121,2)</f>
        <v>0</v>
      </c>
      <c r="J95" s="72">
        <v>0</v>
      </c>
      <c r="K95" s="72">
        <v>0</v>
      </c>
      <c r="L95" s="72">
        <v>0</v>
      </c>
      <c r="M95" s="72">
        <v>0</v>
      </c>
      <c r="N95" s="72">
        <v>0</v>
      </c>
      <c r="O95" s="72">
        <v>0</v>
      </c>
      <c r="P95" s="72">
        <v>0</v>
      </c>
      <c r="Q95" s="72">
        <v>0</v>
      </c>
      <c r="R95" s="72">
        <v>0</v>
      </c>
      <c r="S95" s="72">
        <v>0</v>
      </c>
      <c r="T95" s="72">
        <v>0</v>
      </c>
      <c r="U95" s="72">
        <v>0</v>
      </c>
      <c r="V95" s="72">
        <v>0</v>
      </c>
      <c r="W95" s="72">
        <v>0</v>
      </c>
      <c r="X95" s="72">
        <v>0</v>
      </c>
      <c r="Y95" s="72">
        <v>0</v>
      </c>
      <c r="Z95" s="72">
        <v>0</v>
      </c>
      <c r="AA95" s="72">
        <v>0</v>
      </c>
      <c r="AB95" s="72">
        <v>0</v>
      </c>
      <c r="AC95" s="72">
        <v>0</v>
      </c>
      <c r="AD95" s="72">
        <v>601.4</v>
      </c>
      <c r="AE95" s="72">
        <v>0</v>
      </c>
      <c r="AF95" s="72">
        <v>0</v>
      </c>
      <c r="AG95" s="72">
        <v>0</v>
      </c>
      <c r="AH95" s="72">
        <v>0</v>
      </c>
      <c r="AI95" s="72">
        <v>0</v>
      </c>
      <c r="AJ95" s="72">
        <v>0</v>
      </c>
      <c r="AK95" s="72">
        <v>0</v>
      </c>
    </row>
    <row r="96" spans="1:37" x14ac:dyDescent="0.2">
      <c r="A96" s="56" t="s">
        <v>328</v>
      </c>
      <c r="B96" s="56" t="s">
        <v>34</v>
      </c>
      <c r="C96" s="56" t="s">
        <v>710</v>
      </c>
      <c r="D96" s="56" t="s">
        <v>246</v>
      </c>
      <c r="E96" s="72">
        <f>IF(B96="","",VLOOKUP(B96,dagsoorttabel3,2,FALSE))</f>
        <v>0.78431372549019607</v>
      </c>
      <c r="F96" s="72">
        <v>1</v>
      </c>
      <c r="G96" s="72">
        <f>IF(prodnorm122&gt;0,1/ROUND(prodnorm122,4),0)</f>
        <v>0</v>
      </c>
      <c r="H96" s="74">
        <f>ROUND(dagwerk122,4+2)</f>
        <v>0</v>
      </c>
      <c r="I96" s="60">
        <f>ROUND(uurtarief122,2)</f>
        <v>0</v>
      </c>
      <c r="J96" s="72">
        <v>0</v>
      </c>
      <c r="K96" s="72">
        <v>0</v>
      </c>
      <c r="L96" s="72">
        <v>914.24</v>
      </c>
      <c r="M96" s="72">
        <v>0</v>
      </c>
      <c r="N96" s="72">
        <v>0</v>
      </c>
      <c r="O96" s="72">
        <v>0</v>
      </c>
      <c r="P96" s="72">
        <v>0</v>
      </c>
      <c r="Q96" s="72">
        <v>0</v>
      </c>
      <c r="R96" s="72">
        <v>0</v>
      </c>
      <c r="S96" s="72">
        <v>0</v>
      </c>
      <c r="T96" s="72">
        <v>0</v>
      </c>
      <c r="U96" s="72">
        <v>0</v>
      </c>
      <c r="V96" s="72">
        <v>0</v>
      </c>
      <c r="W96" s="72">
        <v>0</v>
      </c>
      <c r="X96" s="72">
        <v>0</v>
      </c>
      <c r="Y96" s="72">
        <v>0</v>
      </c>
      <c r="Z96" s="72">
        <v>0</v>
      </c>
      <c r="AA96" s="72">
        <v>0</v>
      </c>
      <c r="AB96" s="72">
        <v>0</v>
      </c>
      <c r="AC96" s="72">
        <v>0</v>
      </c>
      <c r="AD96" s="72">
        <v>0</v>
      </c>
      <c r="AE96" s="72">
        <v>0</v>
      </c>
      <c r="AF96" s="72">
        <v>0</v>
      </c>
      <c r="AG96" s="72">
        <v>0</v>
      </c>
      <c r="AH96" s="72">
        <v>0</v>
      </c>
      <c r="AI96" s="72">
        <v>0</v>
      </c>
      <c r="AJ96" s="72">
        <v>0</v>
      </c>
      <c r="AK96" s="72">
        <v>0</v>
      </c>
    </row>
    <row r="97" spans="1:37" x14ac:dyDescent="0.2">
      <c r="A97" s="61" t="s">
        <v>329</v>
      </c>
      <c r="B97" s="61" t="s">
        <v>36</v>
      </c>
      <c r="C97" s="61" t="s">
        <v>710</v>
      </c>
      <c r="D97" s="61" t="s">
        <v>294</v>
      </c>
      <c r="E97" s="75">
        <f>IF(B97="","",VLOOKUP(B97,dagsoorttabel3,2,FALSE))</f>
        <v>0.49019607843137253</v>
      </c>
      <c r="F97" s="75">
        <v>1</v>
      </c>
      <c r="G97" s="75">
        <v>1</v>
      </c>
      <c r="H97" s="85">
        <f>ROUND(dagwerk102,4+2)</f>
        <v>0</v>
      </c>
      <c r="I97" s="65">
        <f>ROUND(uurtarief102,2)</f>
        <v>0</v>
      </c>
      <c r="J97" s="75">
        <v>0</v>
      </c>
      <c r="K97" s="75">
        <v>0</v>
      </c>
      <c r="L97" s="75">
        <v>0</v>
      </c>
      <c r="M97" s="75">
        <v>0</v>
      </c>
      <c r="N97" s="75">
        <v>0</v>
      </c>
      <c r="O97" s="75">
        <v>0</v>
      </c>
      <c r="P97" s="75">
        <v>0</v>
      </c>
      <c r="Q97" s="75">
        <v>0</v>
      </c>
      <c r="R97" s="75">
        <v>0</v>
      </c>
      <c r="S97" s="75">
        <v>0</v>
      </c>
      <c r="T97" s="75">
        <v>0</v>
      </c>
      <c r="U97" s="75">
        <v>0</v>
      </c>
      <c r="V97" s="75">
        <v>0</v>
      </c>
      <c r="W97" s="75">
        <v>0</v>
      </c>
      <c r="X97" s="75">
        <v>0</v>
      </c>
      <c r="Y97" s="75">
        <v>0</v>
      </c>
      <c r="Z97" s="75">
        <v>0</v>
      </c>
      <c r="AA97" s="75">
        <v>1</v>
      </c>
      <c r="AB97" s="75">
        <v>0</v>
      </c>
      <c r="AC97" s="75">
        <v>0</v>
      </c>
      <c r="AD97" s="75">
        <v>0</v>
      </c>
      <c r="AE97" s="75">
        <v>0</v>
      </c>
      <c r="AF97" s="75">
        <v>0</v>
      </c>
      <c r="AG97" s="75">
        <v>0</v>
      </c>
      <c r="AH97" s="75">
        <v>0</v>
      </c>
      <c r="AI97" s="75">
        <v>0</v>
      </c>
      <c r="AJ97" s="75">
        <v>0</v>
      </c>
      <c r="AK97" s="75">
        <v>0</v>
      </c>
    </row>
    <row r="98" spans="1:37" x14ac:dyDescent="0.2">
      <c r="A98" s="78" t="s">
        <v>331</v>
      </c>
      <c r="B98" s="79"/>
      <c r="C98" s="79"/>
      <c r="D98" s="79"/>
      <c r="E98" s="79"/>
      <c r="F98" s="79"/>
      <c r="G98" s="79"/>
      <c r="H98" s="79"/>
      <c r="I98" s="79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G98" s="116"/>
      <c r="AH98" s="116"/>
      <c r="AI98" s="116"/>
      <c r="AJ98" s="116"/>
      <c r="AK98" s="116"/>
    </row>
  </sheetData>
  <sheetProtection algorithmName="SHA-512" hashValue="6yI+kyqj+12XUDXWLel1U7gHfGQwceBa5kz1dy2peCwHCB3Y/qEK+gLHaqFz6ewY5LY+T/Ei1yRtsHTNtbT5Iw==" saltValue="sp0HJTySYBV62BDuYSwijA==" spinCount="100000" sheet="1" objects="1" scenarios="1" autoFilter="0"/>
  <pageMargins left="0.7" right="0.7" top="0.75" bottom="0.75" header="0.3" footer="0.3"/>
  <pageSetup scale="70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232AA-125F-4005-9AAB-BCD8937B7CF9}">
  <dimension ref="A1:S49"/>
  <sheetViews>
    <sheetView workbookViewId="0"/>
  </sheetViews>
  <sheetFormatPr defaultRowHeight="12.6" x14ac:dyDescent="0.2"/>
  <cols>
    <col min="1" max="1" width="8.6328125" customWidth="1"/>
    <col min="2" max="2" width="28.6328125" customWidth="1"/>
    <col min="3" max="4" width="15.6328125" customWidth="1"/>
    <col min="5" max="5" width="6.1796875" customWidth="1"/>
    <col min="6" max="6" width="10.6328125" customWidth="1"/>
    <col min="7" max="7" width="11.6328125" customWidth="1"/>
    <col min="8" max="11" width="12.1796875" customWidth="1"/>
    <col min="12" max="15" width="11.6328125" customWidth="1"/>
    <col min="16" max="17" width="12.6328125" customWidth="1"/>
    <col min="18" max="18" width="14.6328125" customWidth="1"/>
    <col min="19" max="19" width="13.6328125" customWidth="1"/>
  </cols>
  <sheetData>
    <row r="1" spans="1:19" x14ac:dyDescent="0.2">
      <c r="A1" s="1" t="str">
        <f>CONCATENATE("Bijlage F.2.6: ",tabeltype," objecten")</f>
        <v>Bijlage F.2.6: Invultabel objecten</v>
      </c>
    </row>
    <row r="3" spans="1:19" ht="50.4" x14ac:dyDescent="0.2">
      <c r="A3" s="40" t="s">
        <v>334</v>
      </c>
      <c r="B3" s="40" t="s">
        <v>711</v>
      </c>
      <c r="C3" s="40" t="s">
        <v>712</v>
      </c>
      <c r="D3" s="40" t="s">
        <v>713</v>
      </c>
      <c r="E3" s="40" t="s">
        <v>7</v>
      </c>
      <c r="F3" s="40" t="s">
        <v>714</v>
      </c>
      <c r="G3" s="40" t="s">
        <v>241</v>
      </c>
      <c r="H3" s="40" t="s">
        <v>715</v>
      </c>
      <c r="I3" s="40" t="s">
        <v>716</v>
      </c>
      <c r="J3" s="40" t="s">
        <v>717</v>
      </c>
      <c r="K3" s="40" t="s">
        <v>718</v>
      </c>
      <c r="L3" s="40" t="s">
        <v>719</v>
      </c>
      <c r="M3" s="40" t="s">
        <v>242</v>
      </c>
      <c r="N3" s="40" t="s">
        <v>720</v>
      </c>
      <c r="O3" s="40" t="s">
        <v>721</v>
      </c>
      <c r="P3" s="40" t="s">
        <v>722</v>
      </c>
      <c r="Q3" s="40" t="s">
        <v>243</v>
      </c>
      <c r="R3" s="40" t="s">
        <v>244</v>
      </c>
      <c r="S3" s="40" t="s">
        <v>723</v>
      </c>
    </row>
    <row r="4" spans="1:19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3"/>
    </row>
    <row r="5" spans="1:19" x14ac:dyDescent="0.2">
      <c r="A5" s="44" t="s">
        <v>105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6"/>
    </row>
    <row r="6" spans="1:19" x14ac:dyDescent="0.2">
      <c r="A6" s="51" t="s">
        <v>344</v>
      </c>
      <c r="B6" s="51" t="s">
        <v>724</v>
      </c>
      <c r="C6" s="51" t="s">
        <v>725</v>
      </c>
      <c r="D6" s="51" t="s">
        <v>726</v>
      </c>
      <c r="E6" s="117" t="s">
        <v>13</v>
      </c>
      <c r="F6" s="118">
        <f>gemuurtarief1</f>
        <v>0</v>
      </c>
      <c r="G6" s="69">
        <f>SUMPRODUCT(taakfreqtabel1,uurfactortabel1,kengetaltabel1,object1_opptabel1)</f>
        <v>0</v>
      </c>
      <c r="H6" s="69">
        <f>G6*(1/VLOOKUP(E6,dagsoorttabel1,2,FALSE))</f>
        <v>0</v>
      </c>
      <c r="I6" s="69">
        <f>SUMPRODUCT(dagwerktabel1,taakfreqtabel1,uurfactortabel1,kengetaltabel1,object1_opptabel1)*(1/VLOOKUP(E6,dagsoorttabel1,2,FALSE))</f>
        <v>0</v>
      </c>
      <c r="J6" s="53"/>
      <c r="K6" s="69">
        <f>I6+J6</f>
        <v>0</v>
      </c>
      <c r="L6" s="69">
        <f>G6+J6*VLOOKUP(E6,dagsoorttabel1,2,FALSE)</f>
        <v>0</v>
      </c>
      <c r="M6" s="55">
        <f>SUMPRODUCT(taakfreqtabel1,kengetaltabel1,tarieftabel1,object1_opptabel1)</f>
        <v>0</v>
      </c>
      <c r="N6" s="55">
        <f>F6*J6*VLOOKUP(E6,dagsoorttabel1,2,FALSE)</f>
        <v>0</v>
      </c>
      <c r="O6" s="55">
        <f>SUM(M6:N6)</f>
        <v>0</v>
      </c>
      <c r="P6" s="69">
        <f>K6*dagenperjaar1*VLOOKUP(E6,dagsoorttabel1,2,FALSE)</f>
        <v>0</v>
      </c>
      <c r="Q6" s="69">
        <f>L6*dagenperjaar1</f>
        <v>0</v>
      </c>
      <c r="R6" s="55">
        <f>O6*dagenperjaar1</f>
        <v>0</v>
      </c>
      <c r="S6" s="55">
        <f>R6/12</f>
        <v>0</v>
      </c>
    </row>
    <row r="7" spans="1:19" x14ac:dyDescent="0.2">
      <c r="A7" s="56" t="s">
        <v>405</v>
      </c>
      <c r="B7" s="56" t="s">
        <v>727</v>
      </c>
      <c r="C7" s="56" t="s">
        <v>728</v>
      </c>
      <c r="D7" s="56" t="s">
        <v>726</v>
      </c>
      <c r="E7" s="119" t="s">
        <v>10</v>
      </c>
      <c r="F7" s="120">
        <f>gemuurtarief1</f>
        <v>0</v>
      </c>
      <c r="G7" s="72">
        <f>SUMPRODUCT(taakfreqtabel1,uurfactortabel1,kengetaltabel1,object2_opptabel1)</f>
        <v>0</v>
      </c>
      <c r="H7" s="72">
        <f>G7*(1/VLOOKUP(E7,dagsoorttabel1,2,FALSE))</f>
        <v>0</v>
      </c>
      <c r="I7" s="72">
        <f>SUMPRODUCT(dagwerktabel1,taakfreqtabel1,uurfactortabel1,kengetaltabel1,object2_opptabel1)*(1/VLOOKUP(E7,dagsoorttabel1,2,FALSE))</f>
        <v>0</v>
      </c>
      <c r="J7" s="58"/>
      <c r="K7" s="72">
        <f>I7+J7</f>
        <v>0</v>
      </c>
      <c r="L7" s="72">
        <f>G7+J7*VLOOKUP(E7,dagsoorttabel1,2,FALSE)</f>
        <v>0</v>
      </c>
      <c r="M7" s="60">
        <f>SUMPRODUCT(taakfreqtabel1,kengetaltabel1,tarieftabel1,object2_opptabel1)</f>
        <v>0</v>
      </c>
      <c r="N7" s="60">
        <f>F7*J7*VLOOKUP(E7,dagsoorttabel1,2,FALSE)</f>
        <v>0</v>
      </c>
      <c r="O7" s="60">
        <f>SUM(M7:N7)</f>
        <v>0</v>
      </c>
      <c r="P7" s="72">
        <f>K7*dagenperjaar1*VLOOKUP(E7,dagsoorttabel1,2,FALSE)</f>
        <v>0</v>
      </c>
      <c r="Q7" s="72">
        <f>L7*dagenperjaar1</f>
        <v>0</v>
      </c>
      <c r="R7" s="60">
        <f>O7*dagenperjaar1</f>
        <v>0</v>
      </c>
      <c r="S7" s="60">
        <f>R7/12</f>
        <v>0</v>
      </c>
    </row>
    <row r="8" spans="1:19" x14ac:dyDescent="0.2">
      <c r="A8" s="56" t="s">
        <v>417</v>
      </c>
      <c r="B8" s="56" t="s">
        <v>729</v>
      </c>
      <c r="C8" s="56" t="s">
        <v>730</v>
      </c>
      <c r="D8" s="56" t="s">
        <v>726</v>
      </c>
      <c r="E8" s="119" t="s">
        <v>13</v>
      </c>
      <c r="F8" s="120">
        <f>gemuurtarief1</f>
        <v>0</v>
      </c>
      <c r="G8" s="72">
        <f>SUMPRODUCT(taakfreqtabel1,uurfactortabel1,kengetaltabel1,object3_opptabel1)</f>
        <v>0</v>
      </c>
      <c r="H8" s="72">
        <f>G8*(1/VLOOKUP(E8,dagsoorttabel1,2,FALSE))</f>
        <v>0</v>
      </c>
      <c r="I8" s="72">
        <f>SUMPRODUCT(dagwerktabel1,taakfreqtabel1,uurfactortabel1,kengetaltabel1,object3_opptabel1)*(1/VLOOKUP(E8,dagsoorttabel1,2,FALSE))</f>
        <v>0</v>
      </c>
      <c r="J8" s="58"/>
      <c r="K8" s="72">
        <f>I8+J8</f>
        <v>0</v>
      </c>
      <c r="L8" s="72">
        <f>G8+J8*VLOOKUP(E8,dagsoorttabel1,2,FALSE)</f>
        <v>0</v>
      </c>
      <c r="M8" s="60">
        <f>SUMPRODUCT(taakfreqtabel1,kengetaltabel1,tarieftabel1,object3_opptabel1)</f>
        <v>0</v>
      </c>
      <c r="N8" s="60">
        <f>F8*J8*VLOOKUP(E8,dagsoorttabel1,2,FALSE)</f>
        <v>0</v>
      </c>
      <c r="O8" s="60">
        <f>SUM(M8:N8)</f>
        <v>0</v>
      </c>
      <c r="P8" s="72">
        <f>K8*dagenperjaar1*VLOOKUP(E8,dagsoorttabel1,2,FALSE)</f>
        <v>0</v>
      </c>
      <c r="Q8" s="72">
        <f>L8*dagenperjaar1</f>
        <v>0</v>
      </c>
      <c r="R8" s="60">
        <f>O8*dagenperjaar1</f>
        <v>0</v>
      </c>
      <c r="S8" s="60">
        <f>R8/12</f>
        <v>0</v>
      </c>
    </row>
    <row r="9" spans="1:19" x14ac:dyDescent="0.2">
      <c r="A9" s="56" t="s">
        <v>519</v>
      </c>
      <c r="B9" s="56" t="s">
        <v>731</v>
      </c>
      <c r="C9" s="56" t="s">
        <v>732</v>
      </c>
      <c r="D9" s="56" t="s">
        <v>726</v>
      </c>
      <c r="E9" s="119" t="s">
        <v>16</v>
      </c>
      <c r="F9" s="120">
        <f>gemuurtarief1</f>
        <v>0</v>
      </c>
      <c r="G9" s="72">
        <f>SUMPRODUCT(taakfreqtabel1,uurfactortabel1,kengetaltabel1,object4_opptabel1)</f>
        <v>0</v>
      </c>
      <c r="H9" s="72">
        <f>G9*(1/VLOOKUP(E9,dagsoorttabel1,2,FALSE))</f>
        <v>0</v>
      </c>
      <c r="I9" s="72">
        <f>SUMPRODUCT(dagwerktabel1,taakfreqtabel1,uurfactortabel1,kengetaltabel1,object4_opptabel1)*(1/VLOOKUP(E9,dagsoorttabel1,2,FALSE))</f>
        <v>0</v>
      </c>
      <c r="J9" s="58"/>
      <c r="K9" s="72">
        <f>I9+J9</f>
        <v>0</v>
      </c>
      <c r="L9" s="72">
        <f>G9+J9*VLOOKUP(E9,dagsoorttabel1,2,FALSE)</f>
        <v>0</v>
      </c>
      <c r="M9" s="60">
        <f>SUMPRODUCT(taakfreqtabel1,kengetaltabel1,tarieftabel1,object4_opptabel1)</f>
        <v>0</v>
      </c>
      <c r="N9" s="60">
        <f>F9*J9*VLOOKUP(E9,dagsoorttabel1,2,FALSE)</f>
        <v>0</v>
      </c>
      <c r="O9" s="60">
        <f>SUM(M9:N9)</f>
        <v>0</v>
      </c>
      <c r="P9" s="72">
        <f>K9*dagenperjaar1*VLOOKUP(E9,dagsoorttabel1,2,FALSE)</f>
        <v>0</v>
      </c>
      <c r="Q9" s="72">
        <f>L9*dagenperjaar1</f>
        <v>0</v>
      </c>
      <c r="R9" s="60">
        <f>O9*dagenperjaar1</f>
        <v>0</v>
      </c>
      <c r="S9" s="60">
        <f>R9/12</f>
        <v>0</v>
      </c>
    </row>
    <row r="10" spans="1:19" x14ac:dyDescent="0.2">
      <c r="A10" s="56" t="s">
        <v>545</v>
      </c>
      <c r="B10" s="56" t="s">
        <v>733</v>
      </c>
      <c r="C10" s="56" t="s">
        <v>734</v>
      </c>
      <c r="D10" s="56" t="s">
        <v>726</v>
      </c>
      <c r="E10" s="119" t="s">
        <v>11</v>
      </c>
      <c r="F10" s="120">
        <f>gemuurtarief1</f>
        <v>0</v>
      </c>
      <c r="G10" s="72">
        <f>SUMPRODUCT(taakfreqtabel1,uurfactortabel1,kengetaltabel1,object5_opptabel1)</f>
        <v>0</v>
      </c>
      <c r="H10" s="72">
        <f>G10*(1/VLOOKUP(E10,dagsoorttabel1,2,FALSE))</f>
        <v>0</v>
      </c>
      <c r="I10" s="72">
        <f>SUMPRODUCT(dagwerktabel1,taakfreqtabel1,uurfactortabel1,kengetaltabel1,object5_opptabel1)*(1/VLOOKUP(E10,dagsoorttabel1,2,FALSE))</f>
        <v>0</v>
      </c>
      <c r="J10" s="58"/>
      <c r="K10" s="72">
        <f>I10+J10</f>
        <v>0</v>
      </c>
      <c r="L10" s="72">
        <f>G10+J10*VLOOKUP(E10,dagsoorttabel1,2,FALSE)</f>
        <v>0</v>
      </c>
      <c r="M10" s="60">
        <f>SUMPRODUCT(taakfreqtabel1,kengetaltabel1,tarieftabel1,object5_opptabel1)</f>
        <v>0</v>
      </c>
      <c r="N10" s="60">
        <f>F10*J10*VLOOKUP(E10,dagsoorttabel1,2,FALSE)</f>
        <v>0</v>
      </c>
      <c r="O10" s="60">
        <f>SUM(M10:N10)</f>
        <v>0</v>
      </c>
      <c r="P10" s="72">
        <f>K10*dagenperjaar1*VLOOKUP(E10,dagsoorttabel1,2,FALSE)</f>
        <v>0</v>
      </c>
      <c r="Q10" s="72">
        <f>L10*dagenperjaar1</f>
        <v>0</v>
      </c>
      <c r="R10" s="60">
        <f>O10*dagenperjaar1</f>
        <v>0</v>
      </c>
      <c r="S10" s="60">
        <f>R10/12</f>
        <v>0</v>
      </c>
    </row>
    <row r="11" spans="1:19" x14ac:dyDescent="0.2">
      <c r="A11" s="56" t="s">
        <v>552</v>
      </c>
      <c r="B11" s="56" t="s">
        <v>735</v>
      </c>
      <c r="C11" s="56" t="s">
        <v>736</v>
      </c>
      <c r="D11" s="56" t="s">
        <v>726</v>
      </c>
      <c r="E11" s="119" t="s">
        <v>11</v>
      </c>
      <c r="F11" s="120">
        <f>gemuurtarief1</f>
        <v>0</v>
      </c>
      <c r="G11" s="72">
        <f>SUMPRODUCT(taakfreqtabel1,uurfactortabel1,kengetaltabel1,object6_opptabel1)</f>
        <v>0</v>
      </c>
      <c r="H11" s="72">
        <f>G11*(1/VLOOKUP(E11,dagsoorttabel1,2,FALSE))</f>
        <v>0</v>
      </c>
      <c r="I11" s="72">
        <f>SUMPRODUCT(dagwerktabel1,taakfreqtabel1,uurfactortabel1,kengetaltabel1,object6_opptabel1)*(1/VLOOKUP(E11,dagsoorttabel1,2,FALSE))</f>
        <v>0</v>
      </c>
      <c r="J11" s="58"/>
      <c r="K11" s="72">
        <f>I11+J11</f>
        <v>0</v>
      </c>
      <c r="L11" s="72">
        <f>G11+J11*VLOOKUP(E11,dagsoorttabel1,2,FALSE)</f>
        <v>0</v>
      </c>
      <c r="M11" s="60">
        <f>SUMPRODUCT(taakfreqtabel1,kengetaltabel1,tarieftabel1,object6_opptabel1)</f>
        <v>0</v>
      </c>
      <c r="N11" s="60">
        <f>F11*J11*VLOOKUP(E11,dagsoorttabel1,2,FALSE)</f>
        <v>0</v>
      </c>
      <c r="O11" s="60">
        <f>SUM(M11:N11)</f>
        <v>0</v>
      </c>
      <c r="P11" s="72">
        <f>K11*dagenperjaar1*VLOOKUP(E11,dagsoorttabel1,2,FALSE)</f>
        <v>0</v>
      </c>
      <c r="Q11" s="72">
        <f>L11*dagenperjaar1</f>
        <v>0</v>
      </c>
      <c r="R11" s="60">
        <f>O11*dagenperjaar1</f>
        <v>0</v>
      </c>
      <c r="S11" s="60">
        <f>R11/12</f>
        <v>0</v>
      </c>
    </row>
    <row r="12" spans="1:19" x14ac:dyDescent="0.2">
      <c r="A12" s="56" t="s">
        <v>554</v>
      </c>
      <c r="B12" s="56" t="s">
        <v>737</v>
      </c>
      <c r="C12" s="56" t="s">
        <v>738</v>
      </c>
      <c r="D12" s="56" t="s">
        <v>726</v>
      </c>
      <c r="E12" s="119" t="s">
        <v>11</v>
      </c>
      <c r="F12" s="120">
        <f>gemuurtarief1</f>
        <v>0</v>
      </c>
      <c r="G12" s="72">
        <f>SUMPRODUCT(taakfreqtabel1,uurfactortabel1,kengetaltabel1,object7_opptabel1)</f>
        <v>0</v>
      </c>
      <c r="H12" s="72">
        <f>G12*(1/VLOOKUP(E12,dagsoorttabel1,2,FALSE))</f>
        <v>0</v>
      </c>
      <c r="I12" s="72">
        <f>SUMPRODUCT(dagwerktabel1,taakfreqtabel1,uurfactortabel1,kengetaltabel1,object7_opptabel1)*(1/VLOOKUP(E12,dagsoorttabel1,2,FALSE))</f>
        <v>0</v>
      </c>
      <c r="J12" s="58"/>
      <c r="K12" s="72">
        <f>I12+J12</f>
        <v>0</v>
      </c>
      <c r="L12" s="72">
        <f>G12+J12*VLOOKUP(E12,dagsoorttabel1,2,FALSE)</f>
        <v>0</v>
      </c>
      <c r="M12" s="60">
        <f>SUMPRODUCT(taakfreqtabel1,kengetaltabel1,tarieftabel1,object7_opptabel1)</f>
        <v>0</v>
      </c>
      <c r="N12" s="60">
        <f>F12*J12*VLOOKUP(E12,dagsoorttabel1,2,FALSE)</f>
        <v>0</v>
      </c>
      <c r="O12" s="60">
        <f>SUM(M12:N12)</f>
        <v>0</v>
      </c>
      <c r="P12" s="72">
        <f>K12*dagenperjaar1*VLOOKUP(E12,dagsoorttabel1,2,FALSE)</f>
        <v>0</v>
      </c>
      <c r="Q12" s="72">
        <f>L12*dagenperjaar1</f>
        <v>0</v>
      </c>
      <c r="R12" s="60">
        <f>O12*dagenperjaar1</f>
        <v>0</v>
      </c>
      <c r="S12" s="60">
        <f>R12/12</f>
        <v>0</v>
      </c>
    </row>
    <row r="13" spans="1:19" x14ac:dyDescent="0.2">
      <c r="A13" s="56" t="s">
        <v>556</v>
      </c>
      <c r="B13" s="56" t="s">
        <v>739</v>
      </c>
      <c r="C13" s="56" t="s">
        <v>740</v>
      </c>
      <c r="D13" s="56" t="s">
        <v>726</v>
      </c>
      <c r="E13" s="119" t="s">
        <v>11</v>
      </c>
      <c r="F13" s="120">
        <f>gemuurtarief1</f>
        <v>0</v>
      </c>
      <c r="G13" s="72">
        <f>SUMPRODUCT(taakfreqtabel1,uurfactortabel1,kengetaltabel1,object8_opptabel1)</f>
        <v>0</v>
      </c>
      <c r="H13" s="72">
        <f>G13*(1/VLOOKUP(E13,dagsoorttabel1,2,FALSE))</f>
        <v>0</v>
      </c>
      <c r="I13" s="72">
        <f>SUMPRODUCT(dagwerktabel1,taakfreqtabel1,uurfactortabel1,kengetaltabel1,object8_opptabel1)*(1/VLOOKUP(E13,dagsoorttabel1,2,FALSE))</f>
        <v>0</v>
      </c>
      <c r="J13" s="58"/>
      <c r="K13" s="72">
        <f>I13+J13</f>
        <v>0</v>
      </c>
      <c r="L13" s="72">
        <f>G13+J13*VLOOKUP(E13,dagsoorttabel1,2,FALSE)</f>
        <v>0</v>
      </c>
      <c r="M13" s="60">
        <f>SUMPRODUCT(taakfreqtabel1,kengetaltabel1,tarieftabel1,object8_opptabel1)</f>
        <v>0</v>
      </c>
      <c r="N13" s="60">
        <f>F13*J13*VLOOKUP(E13,dagsoorttabel1,2,FALSE)</f>
        <v>0</v>
      </c>
      <c r="O13" s="60">
        <f>SUM(M13:N13)</f>
        <v>0</v>
      </c>
      <c r="P13" s="72">
        <f>K13*dagenperjaar1*VLOOKUP(E13,dagsoorttabel1,2,FALSE)</f>
        <v>0</v>
      </c>
      <c r="Q13" s="72">
        <f>L13*dagenperjaar1</f>
        <v>0</v>
      </c>
      <c r="R13" s="60">
        <f>O13*dagenperjaar1</f>
        <v>0</v>
      </c>
      <c r="S13" s="60">
        <f>R13/12</f>
        <v>0</v>
      </c>
    </row>
    <row r="14" spans="1:19" x14ac:dyDescent="0.2">
      <c r="A14" s="56" t="s">
        <v>558</v>
      </c>
      <c r="B14" s="56" t="s">
        <v>741</v>
      </c>
      <c r="C14" s="56" t="s">
        <v>742</v>
      </c>
      <c r="D14" s="56" t="s">
        <v>726</v>
      </c>
      <c r="E14" s="119" t="s">
        <v>11</v>
      </c>
      <c r="F14" s="120">
        <f>gemuurtarief1</f>
        <v>0</v>
      </c>
      <c r="G14" s="72">
        <f>SUMPRODUCT(taakfreqtabel1,uurfactortabel1,kengetaltabel1,object9_opptabel1)</f>
        <v>0</v>
      </c>
      <c r="H14" s="72">
        <f>G14*(1/VLOOKUP(E14,dagsoorttabel1,2,FALSE))</f>
        <v>0</v>
      </c>
      <c r="I14" s="72">
        <f>SUMPRODUCT(dagwerktabel1,taakfreqtabel1,uurfactortabel1,kengetaltabel1,object9_opptabel1)*(1/VLOOKUP(E14,dagsoorttabel1,2,FALSE))</f>
        <v>0</v>
      </c>
      <c r="J14" s="58"/>
      <c r="K14" s="72">
        <f>I14+J14</f>
        <v>0</v>
      </c>
      <c r="L14" s="72">
        <f>G14+J14*VLOOKUP(E14,dagsoorttabel1,2,FALSE)</f>
        <v>0</v>
      </c>
      <c r="M14" s="60">
        <f>SUMPRODUCT(taakfreqtabel1,kengetaltabel1,tarieftabel1,object9_opptabel1)</f>
        <v>0</v>
      </c>
      <c r="N14" s="60">
        <f>F14*J14*VLOOKUP(E14,dagsoorttabel1,2,FALSE)</f>
        <v>0</v>
      </c>
      <c r="O14" s="60">
        <f>SUM(M14:N14)</f>
        <v>0</v>
      </c>
      <c r="P14" s="72">
        <f>K14*dagenperjaar1*VLOOKUP(E14,dagsoorttabel1,2,FALSE)</f>
        <v>0</v>
      </c>
      <c r="Q14" s="72">
        <f>L14*dagenperjaar1</f>
        <v>0</v>
      </c>
      <c r="R14" s="60">
        <f>O14*dagenperjaar1</f>
        <v>0</v>
      </c>
      <c r="S14" s="60">
        <f>R14/12</f>
        <v>0</v>
      </c>
    </row>
    <row r="15" spans="1:19" x14ac:dyDescent="0.2">
      <c r="A15" s="56" t="s">
        <v>561</v>
      </c>
      <c r="B15" s="56" t="s">
        <v>743</v>
      </c>
      <c r="C15" s="56" t="s">
        <v>744</v>
      </c>
      <c r="D15" s="56" t="s">
        <v>726</v>
      </c>
      <c r="E15" s="119" t="s">
        <v>11</v>
      </c>
      <c r="F15" s="120">
        <f>gemuurtarief1</f>
        <v>0</v>
      </c>
      <c r="G15" s="72">
        <f>SUMPRODUCT(taakfreqtabel1,uurfactortabel1,kengetaltabel1,object10_opptabel1)</f>
        <v>0</v>
      </c>
      <c r="H15" s="72">
        <f>G15*(1/VLOOKUP(E15,dagsoorttabel1,2,FALSE))</f>
        <v>0</v>
      </c>
      <c r="I15" s="72">
        <f>SUMPRODUCT(dagwerktabel1,taakfreqtabel1,uurfactortabel1,kengetaltabel1,object10_opptabel1)*(1/VLOOKUP(E15,dagsoorttabel1,2,FALSE))</f>
        <v>0</v>
      </c>
      <c r="J15" s="58"/>
      <c r="K15" s="72">
        <f>I15+J15</f>
        <v>0</v>
      </c>
      <c r="L15" s="72">
        <f>G15+J15*VLOOKUP(E15,dagsoorttabel1,2,FALSE)</f>
        <v>0</v>
      </c>
      <c r="M15" s="60">
        <f>SUMPRODUCT(taakfreqtabel1,kengetaltabel1,tarieftabel1,object10_opptabel1)</f>
        <v>0</v>
      </c>
      <c r="N15" s="60">
        <f>F15*J15*VLOOKUP(E15,dagsoorttabel1,2,FALSE)</f>
        <v>0</v>
      </c>
      <c r="O15" s="60">
        <f>SUM(M15:N15)</f>
        <v>0</v>
      </c>
      <c r="P15" s="72">
        <f>K15*dagenperjaar1*VLOOKUP(E15,dagsoorttabel1,2,FALSE)</f>
        <v>0</v>
      </c>
      <c r="Q15" s="72">
        <f>L15*dagenperjaar1</f>
        <v>0</v>
      </c>
      <c r="R15" s="60">
        <f>O15*dagenperjaar1</f>
        <v>0</v>
      </c>
      <c r="S15" s="60">
        <f>R15/12</f>
        <v>0</v>
      </c>
    </row>
    <row r="16" spans="1:19" x14ac:dyDescent="0.2">
      <c r="A16" s="56" t="s">
        <v>564</v>
      </c>
      <c r="B16" s="56" t="s">
        <v>745</v>
      </c>
      <c r="C16" s="56" t="s">
        <v>746</v>
      </c>
      <c r="D16" s="56" t="s">
        <v>726</v>
      </c>
      <c r="E16" s="119" t="s">
        <v>11</v>
      </c>
      <c r="F16" s="120">
        <f>gemuurtarief1</f>
        <v>0</v>
      </c>
      <c r="G16" s="72">
        <f>SUMPRODUCT(taakfreqtabel1,uurfactortabel1,kengetaltabel1,object11_opptabel1)</f>
        <v>0</v>
      </c>
      <c r="H16" s="72">
        <f>G16*(1/VLOOKUP(E16,dagsoorttabel1,2,FALSE))</f>
        <v>0</v>
      </c>
      <c r="I16" s="72">
        <f>SUMPRODUCT(dagwerktabel1,taakfreqtabel1,uurfactortabel1,kengetaltabel1,object11_opptabel1)*(1/VLOOKUP(E16,dagsoorttabel1,2,FALSE))</f>
        <v>0</v>
      </c>
      <c r="J16" s="58"/>
      <c r="K16" s="72">
        <f>I16+J16</f>
        <v>0</v>
      </c>
      <c r="L16" s="72">
        <f>G16+J16*VLOOKUP(E16,dagsoorttabel1,2,FALSE)</f>
        <v>0</v>
      </c>
      <c r="M16" s="60">
        <f>SUMPRODUCT(taakfreqtabel1,kengetaltabel1,tarieftabel1,object11_opptabel1)</f>
        <v>0</v>
      </c>
      <c r="N16" s="60">
        <f>F16*J16*VLOOKUP(E16,dagsoorttabel1,2,FALSE)</f>
        <v>0</v>
      </c>
      <c r="O16" s="60">
        <f>SUM(M16:N16)</f>
        <v>0</v>
      </c>
      <c r="P16" s="72">
        <f>K16*dagenperjaar1*VLOOKUP(E16,dagsoorttabel1,2,FALSE)</f>
        <v>0</v>
      </c>
      <c r="Q16" s="72">
        <f>L16*dagenperjaar1</f>
        <v>0</v>
      </c>
      <c r="R16" s="60">
        <f>O16*dagenperjaar1</f>
        <v>0</v>
      </c>
      <c r="S16" s="60">
        <f>R16/12</f>
        <v>0</v>
      </c>
    </row>
    <row r="17" spans="1:19" x14ac:dyDescent="0.2">
      <c r="A17" s="56" t="s">
        <v>568</v>
      </c>
      <c r="B17" s="56" t="s">
        <v>747</v>
      </c>
      <c r="C17" s="56" t="s">
        <v>748</v>
      </c>
      <c r="D17" s="56" t="s">
        <v>726</v>
      </c>
      <c r="E17" s="119" t="s">
        <v>11</v>
      </c>
      <c r="F17" s="120">
        <f>gemuurtarief1</f>
        <v>0</v>
      </c>
      <c r="G17" s="72">
        <f>SUMPRODUCT(taakfreqtabel1,uurfactortabel1,kengetaltabel1,object12_opptabel1)</f>
        <v>0</v>
      </c>
      <c r="H17" s="72">
        <f>G17*(1/VLOOKUP(E17,dagsoorttabel1,2,FALSE))</f>
        <v>0</v>
      </c>
      <c r="I17" s="72">
        <f>SUMPRODUCT(dagwerktabel1,taakfreqtabel1,uurfactortabel1,kengetaltabel1,object12_opptabel1)*(1/VLOOKUP(E17,dagsoorttabel1,2,FALSE))</f>
        <v>0</v>
      </c>
      <c r="J17" s="58"/>
      <c r="K17" s="72">
        <f>I17+J17</f>
        <v>0</v>
      </c>
      <c r="L17" s="72">
        <f>G17+J17*VLOOKUP(E17,dagsoorttabel1,2,FALSE)</f>
        <v>0</v>
      </c>
      <c r="M17" s="60">
        <f>SUMPRODUCT(taakfreqtabel1,kengetaltabel1,tarieftabel1,object12_opptabel1)</f>
        <v>0</v>
      </c>
      <c r="N17" s="60">
        <f>F17*J17*VLOOKUP(E17,dagsoorttabel1,2,FALSE)</f>
        <v>0</v>
      </c>
      <c r="O17" s="60">
        <f>SUM(M17:N17)</f>
        <v>0</v>
      </c>
      <c r="P17" s="72">
        <f>K17*dagenperjaar1*VLOOKUP(E17,dagsoorttabel1,2,FALSE)</f>
        <v>0</v>
      </c>
      <c r="Q17" s="72">
        <f>L17*dagenperjaar1</f>
        <v>0</v>
      </c>
      <c r="R17" s="60">
        <f>O17*dagenperjaar1</f>
        <v>0</v>
      </c>
      <c r="S17" s="60">
        <f>R17/12</f>
        <v>0</v>
      </c>
    </row>
    <row r="18" spans="1:19" x14ac:dyDescent="0.2">
      <c r="A18" s="56" t="s">
        <v>570</v>
      </c>
      <c r="B18" s="56" t="s">
        <v>749</v>
      </c>
      <c r="C18" s="56" t="s">
        <v>750</v>
      </c>
      <c r="D18" s="56" t="s">
        <v>726</v>
      </c>
      <c r="E18" s="119" t="s">
        <v>11</v>
      </c>
      <c r="F18" s="120">
        <f>gemuurtarief1</f>
        <v>0</v>
      </c>
      <c r="G18" s="72">
        <f>SUMPRODUCT(taakfreqtabel1,uurfactortabel1,kengetaltabel1,object13_opptabel1)</f>
        <v>0</v>
      </c>
      <c r="H18" s="72">
        <f>G18*(1/VLOOKUP(E18,dagsoorttabel1,2,FALSE))</f>
        <v>0</v>
      </c>
      <c r="I18" s="72">
        <f>SUMPRODUCT(dagwerktabel1,taakfreqtabel1,uurfactortabel1,kengetaltabel1,object13_opptabel1)*(1/VLOOKUP(E18,dagsoorttabel1,2,FALSE))</f>
        <v>0</v>
      </c>
      <c r="J18" s="58"/>
      <c r="K18" s="72">
        <f>I18+J18</f>
        <v>0</v>
      </c>
      <c r="L18" s="72">
        <f>G18+J18*VLOOKUP(E18,dagsoorttabel1,2,FALSE)</f>
        <v>0</v>
      </c>
      <c r="M18" s="60">
        <f>SUMPRODUCT(taakfreqtabel1,kengetaltabel1,tarieftabel1,object13_opptabel1)</f>
        <v>0</v>
      </c>
      <c r="N18" s="60">
        <f>F18*J18*VLOOKUP(E18,dagsoorttabel1,2,FALSE)</f>
        <v>0</v>
      </c>
      <c r="O18" s="60">
        <f>SUM(M18:N18)</f>
        <v>0</v>
      </c>
      <c r="P18" s="72">
        <f>K18*dagenperjaar1*VLOOKUP(E18,dagsoorttabel1,2,FALSE)</f>
        <v>0</v>
      </c>
      <c r="Q18" s="72">
        <f>L18*dagenperjaar1</f>
        <v>0</v>
      </c>
      <c r="R18" s="60">
        <f>O18*dagenperjaar1</f>
        <v>0</v>
      </c>
      <c r="S18" s="60">
        <f>R18/12</f>
        <v>0</v>
      </c>
    </row>
    <row r="19" spans="1:19" x14ac:dyDescent="0.2">
      <c r="A19" s="56" t="s">
        <v>572</v>
      </c>
      <c r="B19" s="56" t="s">
        <v>751</v>
      </c>
      <c r="C19" s="56" t="s">
        <v>752</v>
      </c>
      <c r="D19" s="56" t="s">
        <v>726</v>
      </c>
      <c r="E19" s="119" t="s">
        <v>11</v>
      </c>
      <c r="F19" s="120">
        <f>gemuurtarief1</f>
        <v>0</v>
      </c>
      <c r="G19" s="72">
        <f>SUMPRODUCT(taakfreqtabel1,uurfactortabel1,kengetaltabel1,object14_opptabel1)</f>
        <v>0</v>
      </c>
      <c r="H19" s="72">
        <f>G19*(1/VLOOKUP(E19,dagsoorttabel1,2,FALSE))</f>
        <v>0</v>
      </c>
      <c r="I19" s="72">
        <f>SUMPRODUCT(dagwerktabel1,taakfreqtabel1,uurfactortabel1,kengetaltabel1,object14_opptabel1)*(1/VLOOKUP(E19,dagsoorttabel1,2,FALSE))</f>
        <v>0</v>
      </c>
      <c r="J19" s="58"/>
      <c r="K19" s="72">
        <f>I19+J19</f>
        <v>0</v>
      </c>
      <c r="L19" s="72">
        <f>G19+J19*VLOOKUP(E19,dagsoorttabel1,2,FALSE)</f>
        <v>0</v>
      </c>
      <c r="M19" s="60">
        <f>SUMPRODUCT(taakfreqtabel1,kengetaltabel1,tarieftabel1,object14_opptabel1)</f>
        <v>0</v>
      </c>
      <c r="N19" s="60">
        <f>F19*J19*VLOOKUP(E19,dagsoorttabel1,2,FALSE)</f>
        <v>0</v>
      </c>
      <c r="O19" s="60">
        <f>SUM(M19:N19)</f>
        <v>0</v>
      </c>
      <c r="P19" s="72">
        <f>K19*dagenperjaar1*VLOOKUP(E19,dagsoorttabel1,2,FALSE)</f>
        <v>0</v>
      </c>
      <c r="Q19" s="72">
        <f>L19*dagenperjaar1</f>
        <v>0</v>
      </c>
      <c r="R19" s="60">
        <f>O19*dagenperjaar1</f>
        <v>0</v>
      </c>
      <c r="S19" s="60">
        <f>R19/12</f>
        <v>0</v>
      </c>
    </row>
    <row r="20" spans="1:19" x14ac:dyDescent="0.2">
      <c r="A20" s="56" t="s">
        <v>574</v>
      </c>
      <c r="B20" s="56" t="s">
        <v>753</v>
      </c>
      <c r="C20" s="56" t="s">
        <v>754</v>
      </c>
      <c r="D20" s="56" t="s">
        <v>726</v>
      </c>
      <c r="E20" s="119" t="s">
        <v>11</v>
      </c>
      <c r="F20" s="120">
        <f>gemuurtarief1</f>
        <v>0</v>
      </c>
      <c r="G20" s="72">
        <f>SUMPRODUCT(taakfreqtabel1,uurfactortabel1,kengetaltabel1,object15_opptabel1)</f>
        <v>0</v>
      </c>
      <c r="H20" s="72">
        <f>G20*(1/VLOOKUP(E20,dagsoorttabel1,2,FALSE))</f>
        <v>0</v>
      </c>
      <c r="I20" s="72">
        <f>SUMPRODUCT(dagwerktabel1,taakfreqtabel1,uurfactortabel1,kengetaltabel1,object15_opptabel1)*(1/VLOOKUP(E20,dagsoorttabel1,2,FALSE))</f>
        <v>0</v>
      </c>
      <c r="J20" s="58"/>
      <c r="K20" s="72">
        <f>I20+J20</f>
        <v>0</v>
      </c>
      <c r="L20" s="72">
        <f>G20+J20*VLOOKUP(E20,dagsoorttabel1,2,FALSE)</f>
        <v>0</v>
      </c>
      <c r="M20" s="60">
        <f>SUMPRODUCT(taakfreqtabel1,kengetaltabel1,tarieftabel1,object15_opptabel1)</f>
        <v>0</v>
      </c>
      <c r="N20" s="60">
        <f>F20*J20*VLOOKUP(E20,dagsoorttabel1,2,FALSE)</f>
        <v>0</v>
      </c>
      <c r="O20" s="60">
        <f>SUM(M20:N20)</f>
        <v>0</v>
      </c>
      <c r="P20" s="72">
        <f>K20*dagenperjaar1*VLOOKUP(E20,dagsoorttabel1,2,FALSE)</f>
        <v>0</v>
      </c>
      <c r="Q20" s="72">
        <f>L20*dagenperjaar1</f>
        <v>0</v>
      </c>
      <c r="R20" s="60">
        <f>O20*dagenperjaar1</f>
        <v>0</v>
      </c>
      <c r="S20" s="60">
        <f>R20/12</f>
        <v>0</v>
      </c>
    </row>
    <row r="21" spans="1:19" x14ac:dyDescent="0.2">
      <c r="A21" s="56" t="s">
        <v>577</v>
      </c>
      <c r="B21" s="56" t="s">
        <v>755</v>
      </c>
      <c r="C21" s="56" t="s">
        <v>756</v>
      </c>
      <c r="D21" s="56" t="s">
        <v>726</v>
      </c>
      <c r="E21" s="119" t="s">
        <v>11</v>
      </c>
      <c r="F21" s="120">
        <f>gemuurtarief1</f>
        <v>0</v>
      </c>
      <c r="G21" s="72">
        <f>SUMPRODUCT(taakfreqtabel1,uurfactortabel1,kengetaltabel1,object16_opptabel1)</f>
        <v>0</v>
      </c>
      <c r="H21" s="72">
        <f>G21*(1/VLOOKUP(E21,dagsoorttabel1,2,FALSE))</f>
        <v>0</v>
      </c>
      <c r="I21" s="72">
        <f>SUMPRODUCT(dagwerktabel1,taakfreqtabel1,uurfactortabel1,kengetaltabel1,object16_opptabel1)*(1/VLOOKUP(E21,dagsoorttabel1,2,FALSE))</f>
        <v>0</v>
      </c>
      <c r="J21" s="58"/>
      <c r="K21" s="72">
        <f>I21+J21</f>
        <v>0</v>
      </c>
      <c r="L21" s="72">
        <f>G21+J21*VLOOKUP(E21,dagsoorttabel1,2,FALSE)</f>
        <v>0</v>
      </c>
      <c r="M21" s="60">
        <f>SUMPRODUCT(taakfreqtabel1,kengetaltabel1,tarieftabel1,object16_opptabel1)</f>
        <v>0</v>
      </c>
      <c r="N21" s="60">
        <f>F21*J21*VLOOKUP(E21,dagsoorttabel1,2,FALSE)</f>
        <v>0</v>
      </c>
      <c r="O21" s="60">
        <f>SUM(M21:N21)</f>
        <v>0</v>
      </c>
      <c r="P21" s="72">
        <f>K21*dagenperjaar1*VLOOKUP(E21,dagsoorttabel1,2,FALSE)</f>
        <v>0</v>
      </c>
      <c r="Q21" s="72">
        <f>L21*dagenperjaar1</f>
        <v>0</v>
      </c>
      <c r="R21" s="60">
        <f>O21*dagenperjaar1</f>
        <v>0</v>
      </c>
      <c r="S21" s="60">
        <f>R21/12</f>
        <v>0</v>
      </c>
    </row>
    <row r="22" spans="1:19" x14ac:dyDescent="0.2">
      <c r="A22" s="56" t="s">
        <v>582</v>
      </c>
      <c r="B22" s="56" t="s">
        <v>757</v>
      </c>
      <c r="C22" s="56" t="s">
        <v>758</v>
      </c>
      <c r="D22" s="56" t="s">
        <v>726</v>
      </c>
      <c r="E22" s="119" t="s">
        <v>11</v>
      </c>
      <c r="F22" s="120">
        <f>gemuurtarief1</f>
        <v>0</v>
      </c>
      <c r="G22" s="72">
        <f>SUMPRODUCT(taakfreqtabel1,uurfactortabel1,kengetaltabel1,object17_opptabel1)</f>
        <v>0</v>
      </c>
      <c r="H22" s="72">
        <f>G22*(1/VLOOKUP(E22,dagsoorttabel1,2,FALSE))</f>
        <v>0</v>
      </c>
      <c r="I22" s="72">
        <f>SUMPRODUCT(dagwerktabel1,taakfreqtabel1,uurfactortabel1,kengetaltabel1,object17_opptabel1)*(1/VLOOKUP(E22,dagsoorttabel1,2,FALSE))</f>
        <v>0</v>
      </c>
      <c r="J22" s="58"/>
      <c r="K22" s="72">
        <f>I22+J22</f>
        <v>0</v>
      </c>
      <c r="L22" s="72">
        <f>G22+J22*VLOOKUP(E22,dagsoorttabel1,2,FALSE)</f>
        <v>0</v>
      </c>
      <c r="M22" s="60">
        <f>SUMPRODUCT(taakfreqtabel1,kengetaltabel1,tarieftabel1,object17_opptabel1)</f>
        <v>0</v>
      </c>
      <c r="N22" s="60">
        <f>F22*J22*VLOOKUP(E22,dagsoorttabel1,2,FALSE)</f>
        <v>0</v>
      </c>
      <c r="O22" s="60">
        <f>SUM(M22:N22)</f>
        <v>0</v>
      </c>
      <c r="P22" s="72">
        <f>K22*dagenperjaar1*VLOOKUP(E22,dagsoorttabel1,2,FALSE)</f>
        <v>0</v>
      </c>
      <c r="Q22" s="72">
        <f>L22*dagenperjaar1</f>
        <v>0</v>
      </c>
      <c r="R22" s="60">
        <f>O22*dagenperjaar1</f>
        <v>0</v>
      </c>
      <c r="S22" s="60">
        <f>R22/12</f>
        <v>0</v>
      </c>
    </row>
    <row r="23" spans="1:19" x14ac:dyDescent="0.2">
      <c r="A23" s="56" t="s">
        <v>584</v>
      </c>
      <c r="B23" s="56" t="s">
        <v>759</v>
      </c>
      <c r="C23" s="56" t="s">
        <v>760</v>
      </c>
      <c r="D23" s="56" t="s">
        <v>726</v>
      </c>
      <c r="E23" s="119" t="s">
        <v>19</v>
      </c>
      <c r="F23" s="120">
        <f>gemuurtarief1</f>
        <v>0</v>
      </c>
      <c r="G23" s="72">
        <f>SUMPRODUCT(taakfreqtabel1,uurfactortabel1,kengetaltabel1,object18_opptabel1)</f>
        <v>0.23529411764705882</v>
      </c>
      <c r="H23" s="72">
        <f>G23*(1/VLOOKUP(E23,dagsoorttabel1,2,FALSE))</f>
        <v>1</v>
      </c>
      <c r="I23" s="72">
        <f>SUMPRODUCT(dagwerktabel1,taakfreqtabel1,uurfactortabel1,kengetaltabel1,object18_opptabel1)*(1/VLOOKUP(E23,dagsoorttabel1,2,FALSE))</f>
        <v>0</v>
      </c>
      <c r="J23" s="58"/>
      <c r="K23" s="72">
        <f>I23+J23</f>
        <v>0</v>
      </c>
      <c r="L23" s="72">
        <f>G23+J23*VLOOKUP(E23,dagsoorttabel1,2,FALSE)</f>
        <v>0.23529411764705882</v>
      </c>
      <c r="M23" s="60">
        <f>SUMPRODUCT(taakfreqtabel1,kengetaltabel1,tarieftabel1,object18_opptabel1)</f>
        <v>0</v>
      </c>
      <c r="N23" s="60">
        <f>F23*J23*VLOOKUP(E23,dagsoorttabel1,2,FALSE)</f>
        <v>0</v>
      </c>
      <c r="O23" s="60">
        <f>SUM(M23:N23)</f>
        <v>0</v>
      </c>
      <c r="P23" s="72">
        <f>K23*dagenperjaar1*VLOOKUP(E23,dagsoorttabel1,2,FALSE)</f>
        <v>0</v>
      </c>
      <c r="Q23" s="72">
        <f>L23*dagenperjaar1</f>
        <v>60</v>
      </c>
      <c r="R23" s="60">
        <f>O23*dagenperjaar1</f>
        <v>0</v>
      </c>
      <c r="S23" s="60">
        <f>R23/12</f>
        <v>0</v>
      </c>
    </row>
    <row r="24" spans="1:19" x14ac:dyDescent="0.2">
      <c r="A24" s="56" t="s">
        <v>588</v>
      </c>
      <c r="B24" s="56" t="s">
        <v>761</v>
      </c>
      <c r="C24" s="56" t="s">
        <v>762</v>
      </c>
      <c r="D24" s="56" t="s">
        <v>726</v>
      </c>
      <c r="E24" s="119" t="s">
        <v>11</v>
      </c>
      <c r="F24" s="120">
        <f>gemuurtarief1</f>
        <v>0</v>
      </c>
      <c r="G24" s="72">
        <f>SUMPRODUCT(taakfreqtabel1,uurfactortabel1,kengetaltabel1,object19_opptabel1)</f>
        <v>0</v>
      </c>
      <c r="H24" s="72">
        <f>G24*(1/VLOOKUP(E24,dagsoorttabel1,2,FALSE))</f>
        <v>0</v>
      </c>
      <c r="I24" s="72">
        <f>SUMPRODUCT(dagwerktabel1,taakfreqtabel1,uurfactortabel1,kengetaltabel1,object19_opptabel1)*(1/VLOOKUP(E24,dagsoorttabel1,2,FALSE))</f>
        <v>0</v>
      </c>
      <c r="J24" s="58"/>
      <c r="K24" s="72">
        <f>I24+J24</f>
        <v>0</v>
      </c>
      <c r="L24" s="72">
        <f>G24+J24*VLOOKUP(E24,dagsoorttabel1,2,FALSE)</f>
        <v>0</v>
      </c>
      <c r="M24" s="60">
        <f>SUMPRODUCT(taakfreqtabel1,kengetaltabel1,tarieftabel1,object19_opptabel1)</f>
        <v>0</v>
      </c>
      <c r="N24" s="60">
        <f>F24*J24*VLOOKUP(E24,dagsoorttabel1,2,FALSE)</f>
        <v>0</v>
      </c>
      <c r="O24" s="60">
        <f>SUM(M24:N24)</f>
        <v>0</v>
      </c>
      <c r="P24" s="72">
        <f>K24*dagenperjaar1*VLOOKUP(E24,dagsoorttabel1,2,FALSE)</f>
        <v>0</v>
      </c>
      <c r="Q24" s="72">
        <f>L24*dagenperjaar1</f>
        <v>0</v>
      </c>
      <c r="R24" s="60">
        <f>O24*dagenperjaar1</f>
        <v>0</v>
      </c>
      <c r="S24" s="60">
        <f>R24/12</f>
        <v>0</v>
      </c>
    </row>
    <row r="25" spans="1:19" x14ac:dyDescent="0.2">
      <c r="A25" s="56" t="s">
        <v>590</v>
      </c>
      <c r="B25" s="56" t="s">
        <v>763</v>
      </c>
      <c r="C25" s="56" t="s">
        <v>764</v>
      </c>
      <c r="D25" s="56" t="s">
        <v>726</v>
      </c>
      <c r="E25" s="119" t="s">
        <v>11</v>
      </c>
      <c r="F25" s="120">
        <f>gemuurtarief1</f>
        <v>0</v>
      </c>
      <c r="G25" s="72">
        <f>SUMPRODUCT(taakfreqtabel1,uurfactortabel1,kengetaltabel1,object20_opptabel1)</f>
        <v>0</v>
      </c>
      <c r="H25" s="72">
        <f>G25*(1/VLOOKUP(E25,dagsoorttabel1,2,FALSE))</f>
        <v>0</v>
      </c>
      <c r="I25" s="72">
        <f>SUMPRODUCT(dagwerktabel1,taakfreqtabel1,uurfactortabel1,kengetaltabel1,object20_opptabel1)*(1/VLOOKUP(E25,dagsoorttabel1,2,FALSE))</f>
        <v>0</v>
      </c>
      <c r="J25" s="58"/>
      <c r="K25" s="72">
        <f>I25+J25</f>
        <v>0</v>
      </c>
      <c r="L25" s="72">
        <f>G25+J25*VLOOKUP(E25,dagsoorttabel1,2,FALSE)</f>
        <v>0</v>
      </c>
      <c r="M25" s="60">
        <f>SUMPRODUCT(taakfreqtabel1,kengetaltabel1,tarieftabel1,object20_opptabel1)</f>
        <v>0</v>
      </c>
      <c r="N25" s="60">
        <f>F25*J25*VLOOKUP(E25,dagsoorttabel1,2,FALSE)</f>
        <v>0</v>
      </c>
      <c r="O25" s="60">
        <f>SUM(M25:N25)</f>
        <v>0</v>
      </c>
      <c r="P25" s="72">
        <f>K25*dagenperjaar1*VLOOKUP(E25,dagsoorttabel1,2,FALSE)</f>
        <v>0</v>
      </c>
      <c r="Q25" s="72">
        <f>L25*dagenperjaar1</f>
        <v>0</v>
      </c>
      <c r="R25" s="60">
        <f>O25*dagenperjaar1</f>
        <v>0</v>
      </c>
      <c r="S25" s="60">
        <f>R25/12</f>
        <v>0</v>
      </c>
    </row>
    <row r="26" spans="1:19" x14ac:dyDescent="0.2">
      <c r="A26" s="56" t="s">
        <v>616</v>
      </c>
      <c r="B26" s="56" t="s">
        <v>765</v>
      </c>
      <c r="C26" s="56" t="s">
        <v>766</v>
      </c>
      <c r="D26" s="56" t="s">
        <v>726</v>
      </c>
      <c r="E26" s="119" t="s">
        <v>14</v>
      </c>
      <c r="F26" s="120">
        <f>gemuurtarief1</f>
        <v>0</v>
      </c>
      <c r="G26" s="72">
        <f>SUMPRODUCT(taakfreqtabel1,uurfactortabel1,kengetaltabel1,object21_opptabel1)</f>
        <v>0</v>
      </c>
      <c r="H26" s="72">
        <f>G26*(1/VLOOKUP(E26,dagsoorttabel1,2,FALSE))</f>
        <v>0</v>
      </c>
      <c r="I26" s="72">
        <f>SUMPRODUCT(dagwerktabel1,taakfreqtabel1,uurfactortabel1,kengetaltabel1,object21_opptabel1)*(1/VLOOKUP(E26,dagsoorttabel1,2,FALSE))</f>
        <v>0</v>
      </c>
      <c r="J26" s="58"/>
      <c r="K26" s="72">
        <f>I26+J26</f>
        <v>0</v>
      </c>
      <c r="L26" s="72">
        <f>G26+J26*VLOOKUP(E26,dagsoorttabel1,2,FALSE)</f>
        <v>0</v>
      </c>
      <c r="M26" s="60">
        <f>SUMPRODUCT(taakfreqtabel1,kengetaltabel1,tarieftabel1,object21_opptabel1)</f>
        <v>0</v>
      </c>
      <c r="N26" s="60">
        <f>F26*J26*VLOOKUP(E26,dagsoorttabel1,2,FALSE)</f>
        <v>0</v>
      </c>
      <c r="O26" s="60">
        <f>SUM(M26:N26)</f>
        <v>0</v>
      </c>
      <c r="P26" s="72">
        <f>K26*dagenperjaar1*VLOOKUP(E26,dagsoorttabel1,2,FALSE)</f>
        <v>0</v>
      </c>
      <c r="Q26" s="72">
        <f>L26*dagenperjaar1</f>
        <v>0</v>
      </c>
      <c r="R26" s="60">
        <f>O26*dagenperjaar1</f>
        <v>0</v>
      </c>
      <c r="S26" s="60">
        <f>R26/12</f>
        <v>0</v>
      </c>
    </row>
    <row r="27" spans="1:19" x14ac:dyDescent="0.2">
      <c r="A27" s="56" t="s">
        <v>633</v>
      </c>
      <c r="B27" s="121" t="s">
        <v>767</v>
      </c>
      <c r="C27" s="56" t="s">
        <v>768</v>
      </c>
      <c r="D27" s="56" t="s">
        <v>769</v>
      </c>
      <c r="E27" s="119" t="s">
        <v>13</v>
      </c>
      <c r="F27" s="120">
        <f>gemuurtarief1</f>
        <v>0</v>
      </c>
      <c r="G27" s="72">
        <f>SUMPRODUCT(taakfreqtabel1,uurfactortabel1,kengetaltabel1,object22_opptabel1)</f>
        <v>0</v>
      </c>
      <c r="H27" s="72">
        <f>G27*(1/VLOOKUP(E27,dagsoorttabel1,2,FALSE))</f>
        <v>0</v>
      </c>
      <c r="I27" s="72">
        <f>SUMPRODUCT(dagwerktabel1,taakfreqtabel1,uurfactortabel1,kengetaltabel1,object22_opptabel1)*(1/VLOOKUP(E27,dagsoorttabel1,2,FALSE))</f>
        <v>0</v>
      </c>
      <c r="J27" s="58"/>
      <c r="K27" s="72">
        <f>I27+J27</f>
        <v>0</v>
      </c>
      <c r="L27" s="72">
        <f>G27+J27*VLOOKUP(E27,dagsoorttabel1,2,FALSE)</f>
        <v>0</v>
      </c>
      <c r="M27" s="60">
        <f>SUMPRODUCT(taakfreqtabel1,kengetaltabel1,tarieftabel1,object22_opptabel1)</f>
        <v>0</v>
      </c>
      <c r="N27" s="60">
        <f>F27*J27*VLOOKUP(E27,dagsoorttabel1,2,FALSE)</f>
        <v>0</v>
      </c>
      <c r="O27" s="60">
        <f>SUM(M27:N27)</f>
        <v>0</v>
      </c>
      <c r="P27" s="72">
        <f>K27*dagenperjaar1*VLOOKUP(E27,dagsoorttabel1,2,FALSE)</f>
        <v>0</v>
      </c>
      <c r="Q27" s="72">
        <f>L27*dagenperjaar1</f>
        <v>0</v>
      </c>
      <c r="R27" s="60">
        <f>O27*dagenperjaar1</f>
        <v>0</v>
      </c>
      <c r="S27" s="60">
        <f>R27/12</f>
        <v>0</v>
      </c>
    </row>
    <row r="28" spans="1:19" x14ac:dyDescent="0.2">
      <c r="A28" s="56" t="s">
        <v>635</v>
      </c>
      <c r="B28" s="56" t="s">
        <v>770</v>
      </c>
      <c r="C28" s="56" t="s">
        <v>771</v>
      </c>
      <c r="D28" s="56" t="s">
        <v>772</v>
      </c>
      <c r="E28" s="119" t="s">
        <v>13</v>
      </c>
      <c r="F28" s="120">
        <f>gemuurtarief1</f>
        <v>0</v>
      </c>
      <c r="G28" s="72">
        <f>SUMPRODUCT(taakfreqtabel1,uurfactortabel1,kengetaltabel1,object23_opptabel1)</f>
        <v>0</v>
      </c>
      <c r="H28" s="72">
        <f>G28*(1/VLOOKUP(E28,dagsoorttabel1,2,FALSE))</f>
        <v>0</v>
      </c>
      <c r="I28" s="72">
        <f>SUMPRODUCT(dagwerktabel1,taakfreqtabel1,uurfactortabel1,kengetaltabel1,object23_opptabel1)*(1/VLOOKUP(E28,dagsoorttabel1,2,FALSE))</f>
        <v>0</v>
      </c>
      <c r="J28" s="58"/>
      <c r="K28" s="72">
        <f>I28+J28</f>
        <v>0</v>
      </c>
      <c r="L28" s="72">
        <f>G28+J28*VLOOKUP(E28,dagsoorttabel1,2,FALSE)</f>
        <v>0</v>
      </c>
      <c r="M28" s="60">
        <f>SUMPRODUCT(taakfreqtabel1,kengetaltabel1,tarieftabel1,object23_opptabel1)</f>
        <v>0</v>
      </c>
      <c r="N28" s="60">
        <f>F28*J28*VLOOKUP(E28,dagsoorttabel1,2,FALSE)</f>
        <v>0</v>
      </c>
      <c r="O28" s="60">
        <f>SUM(M28:N28)</f>
        <v>0</v>
      </c>
      <c r="P28" s="72">
        <f>K28*dagenperjaar1*VLOOKUP(E28,dagsoorttabel1,2,FALSE)</f>
        <v>0</v>
      </c>
      <c r="Q28" s="72">
        <f>L28*dagenperjaar1</f>
        <v>0</v>
      </c>
      <c r="R28" s="60">
        <f>O28*dagenperjaar1</f>
        <v>0</v>
      </c>
      <c r="S28" s="60">
        <f>R28/12</f>
        <v>0</v>
      </c>
    </row>
    <row r="29" spans="1:19" x14ac:dyDescent="0.2">
      <c r="A29" s="56" t="s">
        <v>644</v>
      </c>
      <c r="B29" s="56" t="s">
        <v>773</v>
      </c>
      <c r="C29" s="56" t="s">
        <v>774</v>
      </c>
      <c r="D29" s="56" t="s">
        <v>772</v>
      </c>
      <c r="E29" s="119" t="s">
        <v>13</v>
      </c>
      <c r="F29" s="120">
        <f>gemuurtarief1</f>
        <v>0</v>
      </c>
      <c r="G29" s="72">
        <f>SUMPRODUCT(taakfreqtabel1,uurfactortabel1,kengetaltabel1,object24_opptabel1)</f>
        <v>0</v>
      </c>
      <c r="H29" s="72">
        <f>G29*(1/VLOOKUP(E29,dagsoorttabel1,2,FALSE))</f>
        <v>0</v>
      </c>
      <c r="I29" s="72">
        <f>SUMPRODUCT(dagwerktabel1,taakfreqtabel1,uurfactortabel1,kengetaltabel1,object24_opptabel1)*(1/VLOOKUP(E29,dagsoorttabel1,2,FALSE))</f>
        <v>0</v>
      </c>
      <c r="J29" s="58"/>
      <c r="K29" s="72">
        <f>I29+J29</f>
        <v>0</v>
      </c>
      <c r="L29" s="72">
        <f>G29+J29*VLOOKUP(E29,dagsoorttabel1,2,FALSE)</f>
        <v>0</v>
      </c>
      <c r="M29" s="60">
        <f>SUMPRODUCT(taakfreqtabel1,kengetaltabel1,tarieftabel1,object24_opptabel1)</f>
        <v>0</v>
      </c>
      <c r="N29" s="60">
        <f>F29*J29*VLOOKUP(E29,dagsoorttabel1,2,FALSE)</f>
        <v>0</v>
      </c>
      <c r="O29" s="60">
        <f>SUM(M29:N29)</f>
        <v>0</v>
      </c>
      <c r="P29" s="72">
        <f>K29*dagenperjaar1*VLOOKUP(E29,dagsoorttabel1,2,FALSE)</f>
        <v>0</v>
      </c>
      <c r="Q29" s="72">
        <f>L29*dagenperjaar1</f>
        <v>0</v>
      </c>
      <c r="R29" s="60">
        <f>O29*dagenperjaar1</f>
        <v>0</v>
      </c>
      <c r="S29" s="60">
        <f>R29/12</f>
        <v>0</v>
      </c>
    </row>
    <row r="30" spans="1:19" x14ac:dyDescent="0.2">
      <c r="A30" s="56" t="s">
        <v>647</v>
      </c>
      <c r="B30" s="56" t="s">
        <v>775</v>
      </c>
      <c r="C30" s="56" t="s">
        <v>776</v>
      </c>
      <c r="D30" s="56" t="s">
        <v>772</v>
      </c>
      <c r="E30" s="119" t="s">
        <v>13</v>
      </c>
      <c r="F30" s="120">
        <f>gemuurtarief1</f>
        <v>0</v>
      </c>
      <c r="G30" s="72">
        <f>SUMPRODUCT(taakfreqtabel1,uurfactortabel1,kengetaltabel1,object25_opptabel1)</f>
        <v>0</v>
      </c>
      <c r="H30" s="72">
        <f>G30*(1/VLOOKUP(E30,dagsoorttabel1,2,FALSE))</f>
        <v>0</v>
      </c>
      <c r="I30" s="72">
        <f>SUMPRODUCT(dagwerktabel1,taakfreqtabel1,uurfactortabel1,kengetaltabel1,object25_opptabel1)*(1/VLOOKUP(E30,dagsoorttabel1,2,FALSE))</f>
        <v>0</v>
      </c>
      <c r="J30" s="58"/>
      <c r="K30" s="72">
        <f>I30+J30</f>
        <v>0</v>
      </c>
      <c r="L30" s="72">
        <f>G30+J30*VLOOKUP(E30,dagsoorttabel1,2,FALSE)</f>
        <v>0</v>
      </c>
      <c r="M30" s="60">
        <f>SUMPRODUCT(taakfreqtabel1,kengetaltabel1,tarieftabel1,object25_opptabel1)</f>
        <v>0</v>
      </c>
      <c r="N30" s="60">
        <f>F30*J30*VLOOKUP(E30,dagsoorttabel1,2,FALSE)</f>
        <v>0</v>
      </c>
      <c r="O30" s="60">
        <f>SUM(M30:N30)</f>
        <v>0</v>
      </c>
      <c r="P30" s="72">
        <f>K30*dagenperjaar1*VLOOKUP(E30,dagsoorttabel1,2,FALSE)</f>
        <v>0</v>
      </c>
      <c r="Q30" s="72">
        <f>L30*dagenperjaar1</f>
        <v>0</v>
      </c>
      <c r="R30" s="60">
        <f>O30*dagenperjaar1</f>
        <v>0</v>
      </c>
      <c r="S30" s="60">
        <f>R30/12</f>
        <v>0</v>
      </c>
    </row>
    <row r="31" spans="1:19" x14ac:dyDescent="0.2">
      <c r="A31" s="56" t="s">
        <v>649</v>
      </c>
      <c r="B31" s="56" t="s">
        <v>777</v>
      </c>
      <c r="C31" s="56" t="s">
        <v>778</v>
      </c>
      <c r="D31" s="56" t="s">
        <v>779</v>
      </c>
      <c r="E31" s="119" t="s">
        <v>13</v>
      </c>
      <c r="F31" s="120">
        <f>gemuurtarief1</f>
        <v>0</v>
      </c>
      <c r="G31" s="72">
        <f>SUMPRODUCT(taakfreqtabel1,uurfactortabel1,kengetaltabel1,object26_opptabel1)</f>
        <v>0</v>
      </c>
      <c r="H31" s="72">
        <f>G31*(1/VLOOKUP(E31,dagsoorttabel1,2,FALSE))</f>
        <v>0</v>
      </c>
      <c r="I31" s="72">
        <f>SUMPRODUCT(dagwerktabel1,taakfreqtabel1,uurfactortabel1,kengetaltabel1,object26_opptabel1)*(1/VLOOKUP(E31,dagsoorttabel1,2,FALSE))</f>
        <v>0</v>
      </c>
      <c r="J31" s="58"/>
      <c r="K31" s="72">
        <f>I31+J31</f>
        <v>0</v>
      </c>
      <c r="L31" s="72">
        <f>G31+J31*VLOOKUP(E31,dagsoorttabel1,2,FALSE)</f>
        <v>0</v>
      </c>
      <c r="M31" s="60">
        <f>SUMPRODUCT(taakfreqtabel1,kengetaltabel1,tarieftabel1,object26_opptabel1)</f>
        <v>0</v>
      </c>
      <c r="N31" s="60">
        <f>F31*J31*VLOOKUP(E31,dagsoorttabel1,2,FALSE)</f>
        <v>0</v>
      </c>
      <c r="O31" s="60">
        <f>SUM(M31:N31)</f>
        <v>0</v>
      </c>
      <c r="P31" s="72">
        <f>K31*dagenperjaar1*VLOOKUP(E31,dagsoorttabel1,2,FALSE)</f>
        <v>0</v>
      </c>
      <c r="Q31" s="72">
        <f>L31*dagenperjaar1</f>
        <v>0</v>
      </c>
      <c r="R31" s="60">
        <f>O31*dagenperjaar1</f>
        <v>0</v>
      </c>
      <c r="S31" s="60">
        <f>R31/12</f>
        <v>0</v>
      </c>
    </row>
    <row r="32" spans="1:19" x14ac:dyDescent="0.2">
      <c r="A32" s="56" t="s">
        <v>651</v>
      </c>
      <c r="B32" s="56" t="s">
        <v>780</v>
      </c>
      <c r="C32" s="56" t="s">
        <v>781</v>
      </c>
      <c r="D32" s="56" t="s">
        <v>782</v>
      </c>
      <c r="E32" s="119" t="s">
        <v>13</v>
      </c>
      <c r="F32" s="120">
        <f>gemuurtarief1</f>
        <v>0</v>
      </c>
      <c r="G32" s="72">
        <f>SUMPRODUCT(taakfreqtabel1,uurfactortabel1,kengetaltabel1,object27_opptabel1)</f>
        <v>0</v>
      </c>
      <c r="H32" s="72">
        <f>G32*(1/VLOOKUP(E32,dagsoorttabel1,2,FALSE))</f>
        <v>0</v>
      </c>
      <c r="I32" s="72">
        <f>SUMPRODUCT(dagwerktabel1,taakfreqtabel1,uurfactortabel1,kengetaltabel1,object27_opptabel1)*(1/VLOOKUP(E32,dagsoorttabel1,2,FALSE))</f>
        <v>0</v>
      </c>
      <c r="J32" s="58"/>
      <c r="K32" s="72">
        <f>I32+J32</f>
        <v>0</v>
      </c>
      <c r="L32" s="72">
        <f>G32+J32*VLOOKUP(E32,dagsoorttabel1,2,FALSE)</f>
        <v>0</v>
      </c>
      <c r="M32" s="60">
        <f>SUMPRODUCT(taakfreqtabel1,kengetaltabel1,tarieftabel1,object27_opptabel1)</f>
        <v>0</v>
      </c>
      <c r="N32" s="60">
        <f>F32*J32*VLOOKUP(E32,dagsoorttabel1,2,FALSE)</f>
        <v>0</v>
      </c>
      <c r="O32" s="60">
        <f>SUM(M32:N32)</f>
        <v>0</v>
      </c>
      <c r="P32" s="72">
        <f>K32*dagenperjaar1*VLOOKUP(E32,dagsoorttabel1,2,FALSE)</f>
        <v>0</v>
      </c>
      <c r="Q32" s="72">
        <f>L32*dagenperjaar1</f>
        <v>0</v>
      </c>
      <c r="R32" s="60">
        <f>O32*dagenperjaar1</f>
        <v>0</v>
      </c>
      <c r="S32" s="60">
        <f>R32/12</f>
        <v>0</v>
      </c>
    </row>
    <row r="33" spans="1:19" x14ac:dyDescent="0.2">
      <c r="A33" s="61" t="s">
        <v>654</v>
      </c>
      <c r="B33" s="61" t="s">
        <v>783</v>
      </c>
      <c r="C33" s="61" t="s">
        <v>784</v>
      </c>
      <c r="D33" s="61" t="s">
        <v>785</v>
      </c>
      <c r="E33" s="122" t="s">
        <v>13</v>
      </c>
      <c r="F33" s="123">
        <f>gemuurtarief1</f>
        <v>0</v>
      </c>
      <c r="G33" s="75">
        <f>SUMPRODUCT(taakfreqtabel1,uurfactortabel1,kengetaltabel1,object28_opptabel1)</f>
        <v>0</v>
      </c>
      <c r="H33" s="75">
        <f>G33*(1/VLOOKUP(E33,dagsoorttabel1,2,FALSE))</f>
        <v>0</v>
      </c>
      <c r="I33" s="75">
        <f>SUMPRODUCT(dagwerktabel1,taakfreqtabel1,uurfactortabel1,kengetaltabel1,object28_opptabel1)*(1/VLOOKUP(E33,dagsoorttabel1,2,FALSE))</f>
        <v>0</v>
      </c>
      <c r="J33" s="63"/>
      <c r="K33" s="75">
        <f>I33+J33</f>
        <v>0</v>
      </c>
      <c r="L33" s="75">
        <f>G33+J33*VLOOKUP(E33,dagsoorttabel1,2,FALSE)</f>
        <v>0</v>
      </c>
      <c r="M33" s="65">
        <f>SUMPRODUCT(taakfreqtabel1,kengetaltabel1,tarieftabel1,object28_opptabel1)</f>
        <v>0</v>
      </c>
      <c r="N33" s="65">
        <f>F33*J33*VLOOKUP(E33,dagsoorttabel1,2,FALSE)</f>
        <v>0</v>
      </c>
      <c r="O33" s="65">
        <f>SUM(M33:N33)</f>
        <v>0</v>
      </c>
      <c r="P33" s="75">
        <f>K33*dagenperjaar1*VLOOKUP(E33,dagsoorttabel1,2,FALSE)</f>
        <v>0</v>
      </c>
      <c r="Q33" s="75">
        <f>L33*dagenperjaar1</f>
        <v>0</v>
      </c>
      <c r="R33" s="65">
        <f>O33*dagenperjaar1</f>
        <v>0</v>
      </c>
      <c r="S33" s="65">
        <f>R33/12</f>
        <v>0</v>
      </c>
    </row>
    <row r="34" spans="1:19" x14ac:dyDescent="0.2">
      <c r="A34" s="78" t="s">
        <v>297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80">
        <f>SUM(P6:P33)</f>
        <v>0</v>
      </c>
      <c r="Q34" s="80">
        <f>SUM(Q6:Q33)</f>
        <v>60</v>
      </c>
      <c r="R34" s="81">
        <f>SUM(R6:R33)</f>
        <v>0</v>
      </c>
      <c r="S34" s="82">
        <f>SUM(S6:S33)</f>
        <v>0</v>
      </c>
    </row>
    <row r="35" spans="1:19" x14ac:dyDescent="0.2">
      <c r="A35" s="83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84"/>
    </row>
    <row r="36" spans="1:19" x14ac:dyDescent="0.2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3"/>
    </row>
    <row r="37" spans="1:19" x14ac:dyDescent="0.2">
      <c r="A37" s="44" t="s">
        <v>191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6"/>
    </row>
    <row r="38" spans="1:19" x14ac:dyDescent="0.2">
      <c r="A38" s="124" t="s">
        <v>417</v>
      </c>
      <c r="B38" s="124" t="s">
        <v>729</v>
      </c>
      <c r="C38" s="124" t="s">
        <v>730</v>
      </c>
      <c r="D38" s="124" t="s">
        <v>726</v>
      </c>
      <c r="E38" s="125" t="s">
        <v>31</v>
      </c>
      <c r="F38" s="126">
        <f>gemuurtarief2</f>
        <v>0</v>
      </c>
      <c r="G38" s="127">
        <f>SUMPRODUCT(taakfreqtabel2,uurfactortabel2,kengetaltabel2,object3_opptabel2)</f>
        <v>0</v>
      </c>
      <c r="H38" s="127">
        <f>G38*(1/VLOOKUP(E38,dagsoorttabel2,2,FALSE))</f>
        <v>0</v>
      </c>
      <c r="I38" s="127">
        <f>SUMPRODUCT(dagwerktabel2,taakfreqtabel2,uurfactortabel2,kengetaltabel2,object3_opptabel2)*(1/VLOOKUP(E38,dagsoorttabel2,2,FALSE))</f>
        <v>0</v>
      </c>
      <c r="J38" s="128"/>
      <c r="K38" s="127">
        <f>I38+J38</f>
        <v>0</v>
      </c>
      <c r="L38" s="127">
        <f>G38+J38*VLOOKUP(E38,dagsoorttabel2,2,FALSE)</f>
        <v>0</v>
      </c>
      <c r="M38" s="129">
        <f>SUMPRODUCT(taakfreqtabel2,kengetaltabel2,tarieftabel2,object3_opptabel2)</f>
        <v>0</v>
      </c>
      <c r="N38" s="129">
        <f>F38*J38*VLOOKUP(E38,dagsoorttabel2,2,FALSE)</f>
        <v>0</v>
      </c>
      <c r="O38" s="129">
        <f>SUM(M38:N38)</f>
        <v>0</v>
      </c>
      <c r="P38" s="127">
        <f>K38*dagenperjaar2*VLOOKUP(E38,dagsoorttabel2,2,FALSE)</f>
        <v>0</v>
      </c>
      <c r="Q38" s="127">
        <f>L38*dagenperjaar2</f>
        <v>0</v>
      </c>
      <c r="R38" s="129">
        <f>O38*dagenperjaar2</f>
        <v>0</v>
      </c>
      <c r="S38" s="129">
        <f>R38/12</f>
        <v>0</v>
      </c>
    </row>
    <row r="39" spans="1:19" x14ac:dyDescent="0.2">
      <c r="A39" s="78" t="s">
        <v>316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80">
        <f>SUM(P38:P38)</f>
        <v>0</v>
      </c>
      <c r="Q39" s="80">
        <f>SUM(Q38:Q38)</f>
        <v>0</v>
      </c>
      <c r="R39" s="81">
        <f>SUM(R38:R38)</f>
        <v>0</v>
      </c>
      <c r="S39" s="82">
        <f>SUM(S38:S38)</f>
        <v>0</v>
      </c>
    </row>
    <row r="40" spans="1:19" x14ac:dyDescent="0.2">
      <c r="A40" s="83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84"/>
    </row>
    <row r="41" spans="1:19" x14ac:dyDescent="0.2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3"/>
    </row>
    <row r="42" spans="1:19" x14ac:dyDescent="0.2">
      <c r="A42" s="44" t="s">
        <v>214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6"/>
    </row>
    <row r="43" spans="1:19" x14ac:dyDescent="0.2">
      <c r="A43" s="51" t="s">
        <v>417</v>
      </c>
      <c r="B43" s="51" t="s">
        <v>729</v>
      </c>
      <c r="C43" s="51" t="s">
        <v>730</v>
      </c>
      <c r="D43" s="51" t="s">
        <v>726</v>
      </c>
      <c r="E43" s="117" t="s">
        <v>34</v>
      </c>
      <c r="F43" s="118">
        <f>gemuurtarief3</f>
        <v>0</v>
      </c>
      <c r="G43" s="69">
        <f>SUMPRODUCT(taakfreqtabel3,uurfactortabel3,kengetaltabel3,object3_opptabel3)</f>
        <v>0</v>
      </c>
      <c r="H43" s="69">
        <f>G43*(1/VLOOKUP(E43,dagsoorttabel3,2,FALSE))</f>
        <v>0</v>
      </c>
      <c r="I43" s="69">
        <f>SUMPRODUCT(dagwerktabel3,taakfreqtabel3,uurfactortabel3,kengetaltabel3,object3_opptabel3)*(1/VLOOKUP(E43,dagsoorttabel3,2,FALSE))</f>
        <v>0</v>
      </c>
      <c r="J43" s="53"/>
      <c r="K43" s="69">
        <f>I43+J43</f>
        <v>0</v>
      </c>
      <c r="L43" s="69">
        <f>G43+J43*VLOOKUP(E43,dagsoorttabel3,2,FALSE)</f>
        <v>0</v>
      </c>
      <c r="M43" s="55">
        <f>SUMPRODUCT(taakfreqtabel3,kengetaltabel3,tarieftabel3,object3_opptabel3)</f>
        <v>0</v>
      </c>
      <c r="N43" s="55">
        <f>F43*J43*VLOOKUP(E43,dagsoorttabel3,2,FALSE)</f>
        <v>0</v>
      </c>
      <c r="O43" s="55">
        <f>SUM(M43:N43)</f>
        <v>0</v>
      </c>
      <c r="P43" s="69">
        <f>K43*dagenperjaar3*VLOOKUP(E43,dagsoorttabel3,2,FALSE)</f>
        <v>0</v>
      </c>
      <c r="Q43" s="69">
        <f>L43*dagenperjaar3</f>
        <v>0</v>
      </c>
      <c r="R43" s="55">
        <f>O43*dagenperjaar3</f>
        <v>0</v>
      </c>
      <c r="S43" s="55">
        <f>R43/12</f>
        <v>0</v>
      </c>
    </row>
    <row r="44" spans="1:19" x14ac:dyDescent="0.2">
      <c r="A44" s="56" t="s">
        <v>584</v>
      </c>
      <c r="B44" s="56" t="s">
        <v>759</v>
      </c>
      <c r="C44" s="56" t="s">
        <v>760</v>
      </c>
      <c r="D44" s="56" t="s">
        <v>726</v>
      </c>
      <c r="E44" s="119" t="s">
        <v>36</v>
      </c>
      <c r="F44" s="120">
        <f>gemuurtarief3</f>
        <v>0</v>
      </c>
      <c r="G44" s="72">
        <f>SUMPRODUCT(taakfreqtabel3,uurfactortabel3,kengetaltabel3,object18_opptabel3)</f>
        <v>0.49019607843137253</v>
      </c>
      <c r="H44" s="72">
        <f>G44*(1/VLOOKUP(E44,dagsoorttabel3,2,FALSE))</f>
        <v>1</v>
      </c>
      <c r="I44" s="72">
        <f>SUMPRODUCT(dagwerktabel3,taakfreqtabel3,uurfactortabel3,kengetaltabel3,object18_opptabel3)*(1/VLOOKUP(E44,dagsoorttabel3,2,FALSE))</f>
        <v>0</v>
      </c>
      <c r="J44" s="58"/>
      <c r="K44" s="72">
        <f>I44+J44</f>
        <v>0</v>
      </c>
      <c r="L44" s="72">
        <f>G44+J44*VLOOKUP(E44,dagsoorttabel3,2,FALSE)</f>
        <v>0.49019607843137253</v>
      </c>
      <c r="M44" s="60">
        <f>SUMPRODUCT(taakfreqtabel3,kengetaltabel3,tarieftabel3,object18_opptabel3)</f>
        <v>0</v>
      </c>
      <c r="N44" s="60">
        <f>F44*J44*VLOOKUP(E44,dagsoorttabel3,2,FALSE)</f>
        <v>0</v>
      </c>
      <c r="O44" s="60">
        <f>SUM(M44:N44)</f>
        <v>0</v>
      </c>
      <c r="P44" s="72">
        <f>K44*dagenperjaar3*VLOOKUP(E44,dagsoorttabel3,2,FALSE)</f>
        <v>0</v>
      </c>
      <c r="Q44" s="72">
        <f>L44*dagenperjaar3</f>
        <v>50</v>
      </c>
      <c r="R44" s="60">
        <f>O44*dagenperjaar3</f>
        <v>0</v>
      </c>
      <c r="S44" s="60">
        <f>R44/12</f>
        <v>0</v>
      </c>
    </row>
    <row r="45" spans="1:19" x14ac:dyDescent="0.2">
      <c r="A45" s="61" t="s">
        <v>616</v>
      </c>
      <c r="B45" s="61" t="s">
        <v>765</v>
      </c>
      <c r="C45" s="61" t="s">
        <v>766</v>
      </c>
      <c r="D45" s="61" t="s">
        <v>726</v>
      </c>
      <c r="E45" s="122" t="s">
        <v>35</v>
      </c>
      <c r="F45" s="123">
        <f>gemuurtarief3</f>
        <v>0</v>
      </c>
      <c r="G45" s="75">
        <f>SUMPRODUCT(taakfreqtabel3,uurfactortabel3,kengetaltabel3,object21_opptabel3)</f>
        <v>0</v>
      </c>
      <c r="H45" s="75">
        <f>G45*(1/VLOOKUP(E45,dagsoorttabel3,2,FALSE))</f>
        <v>0</v>
      </c>
      <c r="I45" s="75">
        <f>SUMPRODUCT(dagwerktabel3,taakfreqtabel3,uurfactortabel3,kengetaltabel3,object21_opptabel3)*(1/VLOOKUP(E45,dagsoorttabel3,2,FALSE))</f>
        <v>0</v>
      </c>
      <c r="J45" s="63"/>
      <c r="K45" s="75">
        <f>I45+J45</f>
        <v>0</v>
      </c>
      <c r="L45" s="75">
        <f>G45+J45*VLOOKUP(E45,dagsoorttabel3,2,FALSE)</f>
        <v>0</v>
      </c>
      <c r="M45" s="65">
        <f>SUMPRODUCT(taakfreqtabel3,kengetaltabel3,tarieftabel3,object21_opptabel3)</f>
        <v>0</v>
      </c>
      <c r="N45" s="65">
        <f>F45*J45*VLOOKUP(E45,dagsoorttabel3,2,FALSE)</f>
        <v>0</v>
      </c>
      <c r="O45" s="65">
        <f>SUM(M45:N45)</f>
        <v>0</v>
      </c>
      <c r="P45" s="75">
        <f>K45*dagenperjaar3*VLOOKUP(E45,dagsoorttabel3,2,FALSE)</f>
        <v>0</v>
      </c>
      <c r="Q45" s="75">
        <f>L45*dagenperjaar3</f>
        <v>0</v>
      </c>
      <c r="R45" s="65">
        <f>O45*dagenperjaar3</f>
        <v>0</v>
      </c>
      <c r="S45" s="65">
        <f>R45/12</f>
        <v>0</v>
      </c>
    </row>
    <row r="46" spans="1:19" x14ac:dyDescent="0.2">
      <c r="A46" s="78" t="s">
        <v>331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80">
        <f>SUM(P43:P45)</f>
        <v>0</v>
      </c>
      <c r="Q46" s="80">
        <f>SUM(Q43:Q45)</f>
        <v>50</v>
      </c>
      <c r="R46" s="81">
        <f>SUM(R43:R45)</f>
        <v>0</v>
      </c>
      <c r="S46" s="82">
        <f>SUM(S43:S45)</f>
        <v>0</v>
      </c>
    </row>
    <row r="47" spans="1:19" x14ac:dyDescent="0.2">
      <c r="A47" s="83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84"/>
    </row>
    <row r="49" spans="1:19" x14ac:dyDescent="0.2">
      <c r="A49" s="78" t="s">
        <v>786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80">
        <f>urenjaartotaalhf1+urenjaartotaalhf2+urenjaartotaalhf3</f>
        <v>0</v>
      </c>
      <c r="Q49" s="80">
        <f>urenjaartotaal1+urenjaartotaal2+urenjaartotaal3</f>
        <v>110</v>
      </c>
      <c r="R49" s="81">
        <f>prijsjaartotaal1+prijsjaartotaal2+prijsjaartotaal3</f>
        <v>0</v>
      </c>
      <c r="S49" s="81">
        <f>prijsmaandtotaal1+prijsmaandtotaal2+prijsmaandtotaal3</f>
        <v>0</v>
      </c>
    </row>
  </sheetData>
  <sheetProtection algorithmName="SHA-512" hashValue="tWZZa9aXaWqVSUE028V8iZ3cp2wq9d1QKHLrHHnnJ/YXTTZ9SAUg0O/r8Rzt7xUvvCqxRNTMgBDPZbo+RWwiUA==" saltValue="7KHVJTV/OOA68ux9f1ZVJw==" spinCount="100000" sheet="1" objects="1" scenarios="1" autoFilter="0"/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17</vt:i4>
      </vt:variant>
      <vt:variant>
        <vt:lpstr>Benoemde bereiken</vt:lpstr>
      </vt:variant>
      <vt:variant>
        <vt:i4>1235</vt:i4>
      </vt:variant>
    </vt:vector>
  </HeadingPairs>
  <TitlesOfParts>
    <vt:vector size="1252" baseType="lpstr">
      <vt:lpstr>Omreken</vt:lpstr>
      <vt:lpstr>Tariefopbouw</vt:lpstr>
      <vt:lpstr>Categorienormen</vt:lpstr>
      <vt:lpstr>Regulier werk</vt:lpstr>
      <vt:lpstr>Ruimten werkdag</vt:lpstr>
      <vt:lpstr>Ruimten werkdag vakantie</vt:lpstr>
      <vt:lpstr>Ruimten weekenddag</vt:lpstr>
      <vt:lpstr>Objectinformatie</vt:lpstr>
      <vt:lpstr>Objecten</vt:lpstr>
      <vt:lpstr>Totaalblad Objecten</vt:lpstr>
      <vt:lpstr>Additioneel werk</vt:lpstr>
      <vt:lpstr>Additioneel werk per locatie</vt:lpstr>
      <vt:lpstr>Afroep</vt:lpstr>
      <vt:lpstr>Afroep incidenteel</vt:lpstr>
      <vt:lpstr>Glas</vt:lpstr>
      <vt:lpstr>Glas per locatie</vt:lpstr>
      <vt:lpstr>Totaal</vt:lpstr>
      <vt:lpstr>'Additioneel werk'!Afdruktitels</vt:lpstr>
      <vt:lpstr>'Additioneel werk per locatie'!Afdruktitels</vt:lpstr>
      <vt:lpstr>Afroep!Afdruktitels</vt:lpstr>
      <vt:lpstr>'Afroep incidenteel'!Afdruktitels</vt:lpstr>
      <vt:lpstr>Categorienormen!Afdruktitels</vt:lpstr>
      <vt:lpstr>Glas!Afdruktitels</vt:lpstr>
      <vt:lpstr>'Glas per locatie'!Afdruktitels</vt:lpstr>
      <vt:lpstr>Objecten!Afdruktitels</vt:lpstr>
      <vt:lpstr>Objectinformatie!Afdruktitels</vt:lpstr>
      <vt:lpstr>'Regulier werk'!Afdruktitels</vt:lpstr>
      <vt:lpstr>'Ruimten weekenddag'!Afdruktitels</vt:lpstr>
      <vt:lpstr>'Ruimten werkdag'!Afdruktitels</vt:lpstr>
      <vt:lpstr>'Ruimten werkdag vakantie'!Afdruktitels</vt:lpstr>
      <vt:lpstr>Tariefopbouw!Afdruktitels</vt:lpstr>
      <vt:lpstr>Totaal!Afdruktitels</vt:lpstr>
      <vt:lpstr>'Totaalblad Objecten'!Afdruktitels</vt:lpstr>
      <vt:lpstr>catdw_1_AHB_1</vt:lpstr>
      <vt:lpstr>catdw_1_AHV_12</vt:lpstr>
      <vt:lpstr>catdw_1_BHB_1</vt:lpstr>
      <vt:lpstr>catdw_1_BHV_30</vt:lpstr>
      <vt:lpstr>catdw_1_BHV_35</vt:lpstr>
      <vt:lpstr>catdw_1_BHV_40</vt:lpstr>
      <vt:lpstr>catdw_1_BHV_45</vt:lpstr>
      <vt:lpstr>catdw_1_DHB_1</vt:lpstr>
      <vt:lpstr>catdw_1_DHV_30</vt:lpstr>
      <vt:lpstr>catdw_1_DHV_35</vt:lpstr>
      <vt:lpstr>catdw_1_DHV_40</vt:lpstr>
      <vt:lpstr>catdw_1_DHV_45</vt:lpstr>
      <vt:lpstr>catdw_1_EHB_1</vt:lpstr>
      <vt:lpstr>catdw_1_EHV_35</vt:lpstr>
      <vt:lpstr>catdw_1_EHV_40</vt:lpstr>
      <vt:lpstr>catdw_1_EHV_45</vt:lpstr>
      <vt:lpstr>catdw_1_EHV_51</vt:lpstr>
      <vt:lpstr>catdw_1_EZB_1</vt:lpstr>
      <vt:lpstr>catdw_1_EZV_40</vt:lpstr>
      <vt:lpstr>catdw_1_FHB_1</vt:lpstr>
      <vt:lpstr>catdw_1_FHV_30</vt:lpstr>
      <vt:lpstr>catdw_1_FHV_35</vt:lpstr>
      <vt:lpstr>catdw_1_FHV_40</vt:lpstr>
      <vt:lpstr>catdw_1_GHB_1</vt:lpstr>
      <vt:lpstr>catdw_1_GHV_30</vt:lpstr>
      <vt:lpstr>catdw_1_GHV_35</vt:lpstr>
      <vt:lpstr>catdw_1_GHV_40</vt:lpstr>
      <vt:lpstr>catdw_1_GHV_45</vt:lpstr>
      <vt:lpstr>catdw_1_KLHB_1</vt:lpstr>
      <vt:lpstr>catdw_1_KLHV_30</vt:lpstr>
      <vt:lpstr>catdw_1_KLHV_35</vt:lpstr>
      <vt:lpstr>catdw_1_KLHV_40</vt:lpstr>
      <vt:lpstr>catdw_1_KLHV_45</vt:lpstr>
      <vt:lpstr>catdw_1_LHB_1</vt:lpstr>
      <vt:lpstr>catdw_1_LHV_40</vt:lpstr>
      <vt:lpstr>catdw_1_QHB_1</vt:lpstr>
      <vt:lpstr>catdw_1_QHV_40</vt:lpstr>
      <vt:lpstr>catdw_1_RHB_1</vt:lpstr>
      <vt:lpstr>catdw_1_RHV_40</vt:lpstr>
      <vt:lpstr>catdw_1_SHB_1</vt:lpstr>
      <vt:lpstr>catdw_1_SHV_30</vt:lpstr>
      <vt:lpstr>catdw_1_SHV_35</vt:lpstr>
      <vt:lpstr>catdw_1_SHV_40</vt:lpstr>
      <vt:lpstr>catdw_1_SHV_45</vt:lpstr>
      <vt:lpstr>catdw_1_THB_1</vt:lpstr>
      <vt:lpstr>catdw_1_THV_30</vt:lpstr>
      <vt:lpstr>catdw_1_THV_35</vt:lpstr>
      <vt:lpstr>catdw_1_THV_40</vt:lpstr>
      <vt:lpstr>catdw_1_THV_45</vt:lpstr>
      <vt:lpstr>catdw_1_TRHB_1</vt:lpstr>
      <vt:lpstr>catdw_1_TRHV_12</vt:lpstr>
      <vt:lpstr>catdw_1_VHB_1</vt:lpstr>
      <vt:lpstr>catdw_1_VHV_30</vt:lpstr>
      <vt:lpstr>catdw_1_VHV_35</vt:lpstr>
      <vt:lpstr>catdw_1_VHV_40</vt:lpstr>
      <vt:lpstr>catdw_1_VHV_45</vt:lpstr>
      <vt:lpstr>catdw_1_VHV_51</vt:lpstr>
      <vt:lpstr>catdw_1_VZB_1</vt:lpstr>
      <vt:lpstr>catdw_1_VZV_30</vt:lpstr>
      <vt:lpstr>catdw_1_ZDHB_1</vt:lpstr>
      <vt:lpstr>catdw_1_ZDHV_51</vt:lpstr>
      <vt:lpstr>catdw_1_ZKLHB_1</vt:lpstr>
      <vt:lpstr>catdw_1_ZKLHV_40</vt:lpstr>
      <vt:lpstr>catdw_1_ZKLHV_51</vt:lpstr>
      <vt:lpstr>catdw_1_ZSHB_1</vt:lpstr>
      <vt:lpstr>catdw_1_ZSHV_40</vt:lpstr>
      <vt:lpstr>catdw_1_ZSHV_51</vt:lpstr>
      <vt:lpstr>catdw_1_ZVHB_1</vt:lpstr>
      <vt:lpstr>catdw_1_ZVHV_40</vt:lpstr>
      <vt:lpstr>catdw_1_ZVHV_51</vt:lpstr>
      <vt:lpstr>catdw_2_VBHB_1</vt:lpstr>
      <vt:lpstr>catdw_2_VDHB_1</vt:lpstr>
      <vt:lpstr>catdw_2_VEHB_1</vt:lpstr>
      <vt:lpstr>catdw_2_VFHB_1</vt:lpstr>
      <vt:lpstr>catdw_2_VGHB_1</vt:lpstr>
      <vt:lpstr>catdw_2_VKLHB_1</vt:lpstr>
      <vt:lpstr>catdw_2_VLHB_1</vt:lpstr>
      <vt:lpstr>catdw_2_VRHB_1</vt:lpstr>
      <vt:lpstr>catdw_2_VSHB_1</vt:lpstr>
      <vt:lpstr>catdw_2_VTHB_1</vt:lpstr>
      <vt:lpstr>catdw_2_VVHB_1</vt:lpstr>
      <vt:lpstr>catdw_3_WBHB_1</vt:lpstr>
      <vt:lpstr>catdw_3_WDHB_1</vt:lpstr>
      <vt:lpstr>catdw_3_WEHB_1</vt:lpstr>
      <vt:lpstr>catdw_3_WFHB_1</vt:lpstr>
      <vt:lpstr>catdw_3_WGHB_1</vt:lpstr>
      <vt:lpstr>catdw_3_WKLHB_1</vt:lpstr>
      <vt:lpstr>catdw_3_WLHB_1</vt:lpstr>
      <vt:lpstr>catdw_3_WRHB_1</vt:lpstr>
      <vt:lpstr>catdw_3_WSHB_1</vt:lpstr>
      <vt:lpstr>catdw_3_WTHB_1</vt:lpstr>
      <vt:lpstr>catdw_3_WVHB_1</vt:lpstr>
      <vt:lpstr>catfd_1_AHB_1</vt:lpstr>
      <vt:lpstr>catfd_1_AHV_12</vt:lpstr>
      <vt:lpstr>catfd_1_BHB_1</vt:lpstr>
      <vt:lpstr>catfd_1_BHV_30</vt:lpstr>
      <vt:lpstr>catfd_1_BHV_35</vt:lpstr>
      <vt:lpstr>catfd_1_BHV_40</vt:lpstr>
      <vt:lpstr>catfd_1_BHV_45</vt:lpstr>
      <vt:lpstr>catfd_1_DHB_1</vt:lpstr>
      <vt:lpstr>catfd_1_DHV_30</vt:lpstr>
      <vt:lpstr>catfd_1_DHV_35</vt:lpstr>
      <vt:lpstr>catfd_1_DHV_40</vt:lpstr>
      <vt:lpstr>catfd_1_DHV_45</vt:lpstr>
      <vt:lpstr>catfd_1_EHB_1</vt:lpstr>
      <vt:lpstr>catfd_1_EHV_35</vt:lpstr>
      <vt:lpstr>catfd_1_EHV_40</vt:lpstr>
      <vt:lpstr>catfd_1_EHV_45</vt:lpstr>
      <vt:lpstr>catfd_1_EHV_51</vt:lpstr>
      <vt:lpstr>catfd_1_EZB_1</vt:lpstr>
      <vt:lpstr>catfd_1_EZV_40</vt:lpstr>
      <vt:lpstr>catfd_1_FHB_1</vt:lpstr>
      <vt:lpstr>catfd_1_FHV_30</vt:lpstr>
      <vt:lpstr>catfd_1_FHV_35</vt:lpstr>
      <vt:lpstr>catfd_1_FHV_40</vt:lpstr>
      <vt:lpstr>catfd_1_GHB_1</vt:lpstr>
      <vt:lpstr>catfd_1_GHV_30</vt:lpstr>
      <vt:lpstr>catfd_1_GHV_35</vt:lpstr>
      <vt:lpstr>catfd_1_GHV_40</vt:lpstr>
      <vt:lpstr>catfd_1_GHV_45</vt:lpstr>
      <vt:lpstr>catfd_1_KLHB_1</vt:lpstr>
      <vt:lpstr>catfd_1_KLHV_30</vt:lpstr>
      <vt:lpstr>catfd_1_KLHV_35</vt:lpstr>
      <vt:lpstr>catfd_1_KLHV_40</vt:lpstr>
      <vt:lpstr>catfd_1_KLHV_45</vt:lpstr>
      <vt:lpstr>catfd_1_LHB_1</vt:lpstr>
      <vt:lpstr>catfd_1_LHV_40</vt:lpstr>
      <vt:lpstr>catfd_1_QHB_1</vt:lpstr>
      <vt:lpstr>catfd_1_QHV_40</vt:lpstr>
      <vt:lpstr>catfd_1_RHB_1</vt:lpstr>
      <vt:lpstr>catfd_1_RHV_40</vt:lpstr>
      <vt:lpstr>catfd_1_SHB_1</vt:lpstr>
      <vt:lpstr>catfd_1_SHV_30</vt:lpstr>
      <vt:lpstr>catfd_1_SHV_35</vt:lpstr>
      <vt:lpstr>catfd_1_SHV_40</vt:lpstr>
      <vt:lpstr>catfd_1_SHV_45</vt:lpstr>
      <vt:lpstr>catfd_1_THB_1</vt:lpstr>
      <vt:lpstr>catfd_1_THV_30</vt:lpstr>
      <vt:lpstr>catfd_1_THV_35</vt:lpstr>
      <vt:lpstr>catfd_1_THV_40</vt:lpstr>
      <vt:lpstr>catfd_1_THV_45</vt:lpstr>
      <vt:lpstr>catfd_1_TRHB_1</vt:lpstr>
      <vt:lpstr>catfd_1_TRHV_12</vt:lpstr>
      <vt:lpstr>catfd_1_VHB_1</vt:lpstr>
      <vt:lpstr>catfd_1_VHV_30</vt:lpstr>
      <vt:lpstr>catfd_1_VHV_35</vt:lpstr>
      <vt:lpstr>catfd_1_VHV_40</vt:lpstr>
      <vt:lpstr>catfd_1_VHV_45</vt:lpstr>
      <vt:lpstr>catfd_1_VHV_51</vt:lpstr>
      <vt:lpstr>catfd_1_VZB_1</vt:lpstr>
      <vt:lpstr>catfd_1_VZV_30</vt:lpstr>
      <vt:lpstr>catfd_1_ZDHB_1</vt:lpstr>
      <vt:lpstr>catfd_1_ZDHV_51</vt:lpstr>
      <vt:lpstr>catfd_1_ZKLHB_1</vt:lpstr>
      <vt:lpstr>catfd_1_ZKLHV_40</vt:lpstr>
      <vt:lpstr>catfd_1_ZKLHV_51</vt:lpstr>
      <vt:lpstr>catfd_1_ZSHB_1</vt:lpstr>
      <vt:lpstr>catfd_1_ZSHV_40</vt:lpstr>
      <vt:lpstr>catfd_1_ZSHV_51</vt:lpstr>
      <vt:lpstr>catfd_1_ZVHB_1</vt:lpstr>
      <vt:lpstr>catfd_1_ZVHV_40</vt:lpstr>
      <vt:lpstr>catfd_1_ZVHV_51</vt:lpstr>
      <vt:lpstr>catfd_2_VBHB_1</vt:lpstr>
      <vt:lpstr>catfd_2_VDHB_1</vt:lpstr>
      <vt:lpstr>catfd_2_VEHB_1</vt:lpstr>
      <vt:lpstr>catfd_2_VFHB_1</vt:lpstr>
      <vt:lpstr>catfd_2_VGHB_1</vt:lpstr>
      <vt:lpstr>catfd_2_VKLHB_1</vt:lpstr>
      <vt:lpstr>catfd_2_VLHB_1</vt:lpstr>
      <vt:lpstr>catfd_2_VRHB_1</vt:lpstr>
      <vt:lpstr>catfd_2_VSHB_1</vt:lpstr>
      <vt:lpstr>catfd_2_VTHB_1</vt:lpstr>
      <vt:lpstr>catfd_2_VVHB_1</vt:lpstr>
      <vt:lpstr>catfd_3_WBHB_1</vt:lpstr>
      <vt:lpstr>catfd_3_WDHB_1</vt:lpstr>
      <vt:lpstr>catfd_3_WEHB_1</vt:lpstr>
      <vt:lpstr>catfd_3_WFHB_1</vt:lpstr>
      <vt:lpstr>catfd_3_WGHB_1</vt:lpstr>
      <vt:lpstr>catfd_3_WKLHB_1</vt:lpstr>
      <vt:lpstr>catfd_3_WLHB_1</vt:lpstr>
      <vt:lpstr>catfd_3_WRHB_1</vt:lpstr>
      <vt:lpstr>catfd_3_WSHB_1</vt:lpstr>
      <vt:lpstr>catfd_3_WTHB_1</vt:lpstr>
      <vt:lpstr>catfd_3_WVHB_1</vt:lpstr>
      <vt:lpstr>catpn_1_AHB_1</vt:lpstr>
      <vt:lpstr>catpn_1_AHV_12</vt:lpstr>
      <vt:lpstr>catpn_1_BHB_1</vt:lpstr>
      <vt:lpstr>catpn_1_BHV_30</vt:lpstr>
      <vt:lpstr>catpn_1_BHV_35</vt:lpstr>
      <vt:lpstr>catpn_1_BHV_40</vt:lpstr>
      <vt:lpstr>catpn_1_BHV_45</vt:lpstr>
      <vt:lpstr>catpn_1_DHB_1</vt:lpstr>
      <vt:lpstr>catpn_1_DHV_30</vt:lpstr>
      <vt:lpstr>catpn_1_DHV_35</vt:lpstr>
      <vt:lpstr>catpn_1_DHV_40</vt:lpstr>
      <vt:lpstr>catpn_1_DHV_45</vt:lpstr>
      <vt:lpstr>catpn_1_EHB_1</vt:lpstr>
      <vt:lpstr>catpn_1_EHV_35</vt:lpstr>
      <vt:lpstr>catpn_1_EHV_40</vt:lpstr>
      <vt:lpstr>catpn_1_EHV_45</vt:lpstr>
      <vt:lpstr>catpn_1_EHV_51</vt:lpstr>
      <vt:lpstr>catpn_1_EZB_1</vt:lpstr>
      <vt:lpstr>catpn_1_EZV_40</vt:lpstr>
      <vt:lpstr>catpn_1_FHB_1</vt:lpstr>
      <vt:lpstr>catpn_1_FHV_30</vt:lpstr>
      <vt:lpstr>catpn_1_FHV_35</vt:lpstr>
      <vt:lpstr>catpn_1_FHV_40</vt:lpstr>
      <vt:lpstr>catpn_1_GHB_1</vt:lpstr>
      <vt:lpstr>catpn_1_GHV_30</vt:lpstr>
      <vt:lpstr>catpn_1_GHV_35</vt:lpstr>
      <vt:lpstr>catpn_1_GHV_40</vt:lpstr>
      <vt:lpstr>catpn_1_GHV_45</vt:lpstr>
      <vt:lpstr>catpn_1_KLHB_1</vt:lpstr>
      <vt:lpstr>catpn_1_KLHV_30</vt:lpstr>
      <vt:lpstr>catpn_1_KLHV_35</vt:lpstr>
      <vt:lpstr>catpn_1_KLHV_40</vt:lpstr>
      <vt:lpstr>catpn_1_KLHV_45</vt:lpstr>
      <vt:lpstr>catpn_1_LHB_1</vt:lpstr>
      <vt:lpstr>catpn_1_LHV_40</vt:lpstr>
      <vt:lpstr>catpn_1_QHB_1</vt:lpstr>
      <vt:lpstr>catpn_1_QHV_40</vt:lpstr>
      <vt:lpstr>catpn_1_RHB_1</vt:lpstr>
      <vt:lpstr>catpn_1_RHV_40</vt:lpstr>
      <vt:lpstr>catpn_1_SHB_1</vt:lpstr>
      <vt:lpstr>catpn_1_SHV_30</vt:lpstr>
      <vt:lpstr>catpn_1_SHV_35</vt:lpstr>
      <vt:lpstr>catpn_1_SHV_40</vt:lpstr>
      <vt:lpstr>catpn_1_SHV_45</vt:lpstr>
      <vt:lpstr>catpn_1_THB_1</vt:lpstr>
      <vt:lpstr>catpn_1_THV_30</vt:lpstr>
      <vt:lpstr>catpn_1_THV_35</vt:lpstr>
      <vt:lpstr>catpn_1_THV_40</vt:lpstr>
      <vt:lpstr>catpn_1_THV_45</vt:lpstr>
      <vt:lpstr>catpn_1_TRHB_1</vt:lpstr>
      <vt:lpstr>catpn_1_TRHV_12</vt:lpstr>
      <vt:lpstr>catpn_1_VHB_1</vt:lpstr>
      <vt:lpstr>catpn_1_VHV_30</vt:lpstr>
      <vt:lpstr>catpn_1_VHV_35</vt:lpstr>
      <vt:lpstr>catpn_1_VHV_40</vt:lpstr>
      <vt:lpstr>catpn_1_VHV_45</vt:lpstr>
      <vt:lpstr>catpn_1_VHV_51</vt:lpstr>
      <vt:lpstr>catpn_1_VZB_1</vt:lpstr>
      <vt:lpstr>catpn_1_VZV_30</vt:lpstr>
      <vt:lpstr>catpn_1_ZDHB_1</vt:lpstr>
      <vt:lpstr>catpn_1_ZDHV_51</vt:lpstr>
      <vt:lpstr>catpn_1_ZKLHB_1</vt:lpstr>
      <vt:lpstr>catpn_1_ZKLHV_40</vt:lpstr>
      <vt:lpstr>catpn_1_ZKLHV_51</vt:lpstr>
      <vt:lpstr>catpn_1_ZSHB_1</vt:lpstr>
      <vt:lpstr>catpn_1_ZSHV_40</vt:lpstr>
      <vt:lpstr>catpn_1_ZSHV_51</vt:lpstr>
      <vt:lpstr>catpn_1_ZVHB_1</vt:lpstr>
      <vt:lpstr>catpn_1_ZVHV_40</vt:lpstr>
      <vt:lpstr>catpn_1_ZVHV_51</vt:lpstr>
      <vt:lpstr>catpn_2_VBHB_1</vt:lpstr>
      <vt:lpstr>catpn_2_VDHB_1</vt:lpstr>
      <vt:lpstr>catpn_2_VEHB_1</vt:lpstr>
      <vt:lpstr>catpn_2_VFHB_1</vt:lpstr>
      <vt:lpstr>catpn_2_VGHB_1</vt:lpstr>
      <vt:lpstr>catpn_2_VKLHB_1</vt:lpstr>
      <vt:lpstr>catpn_2_VLHB_1</vt:lpstr>
      <vt:lpstr>catpn_2_VRHB_1</vt:lpstr>
      <vt:lpstr>catpn_2_VSHB_1</vt:lpstr>
      <vt:lpstr>catpn_2_VTHB_1</vt:lpstr>
      <vt:lpstr>catpn_2_VVHB_1</vt:lpstr>
      <vt:lpstr>catpn_3_WBHB_1</vt:lpstr>
      <vt:lpstr>catpn_3_WDHB_1</vt:lpstr>
      <vt:lpstr>catpn_3_WEHB_1</vt:lpstr>
      <vt:lpstr>catpn_3_WFHB_1</vt:lpstr>
      <vt:lpstr>catpn_3_WGHB_1</vt:lpstr>
      <vt:lpstr>catpn_3_WKLHB_1</vt:lpstr>
      <vt:lpstr>catpn_3_WLHB_1</vt:lpstr>
      <vt:lpstr>catpn_3_WRHB_1</vt:lpstr>
      <vt:lpstr>catpn_3_WSHB_1</vt:lpstr>
      <vt:lpstr>catpn_3_WTHB_1</vt:lpstr>
      <vt:lpstr>catpn_3_WVHB_1</vt:lpstr>
      <vt:lpstr>cattf_1_AHB_1</vt:lpstr>
      <vt:lpstr>cattf_1_AHV_12</vt:lpstr>
      <vt:lpstr>cattf_1_BHB_1</vt:lpstr>
      <vt:lpstr>cattf_1_BHV_30</vt:lpstr>
      <vt:lpstr>cattf_1_BHV_35</vt:lpstr>
      <vt:lpstr>cattf_1_BHV_40</vt:lpstr>
      <vt:lpstr>cattf_1_BHV_45</vt:lpstr>
      <vt:lpstr>cattf_1_DHB_1</vt:lpstr>
      <vt:lpstr>cattf_1_DHV_30</vt:lpstr>
      <vt:lpstr>cattf_1_DHV_35</vt:lpstr>
      <vt:lpstr>cattf_1_DHV_40</vt:lpstr>
      <vt:lpstr>cattf_1_DHV_45</vt:lpstr>
      <vt:lpstr>cattf_1_EHB_1</vt:lpstr>
      <vt:lpstr>cattf_1_EHV_35</vt:lpstr>
      <vt:lpstr>cattf_1_EHV_40</vt:lpstr>
      <vt:lpstr>cattf_1_EHV_45</vt:lpstr>
      <vt:lpstr>cattf_1_EHV_51</vt:lpstr>
      <vt:lpstr>cattf_1_EZB_1</vt:lpstr>
      <vt:lpstr>cattf_1_EZV_40</vt:lpstr>
      <vt:lpstr>cattf_1_FHB_1</vt:lpstr>
      <vt:lpstr>cattf_1_FHV_30</vt:lpstr>
      <vt:lpstr>cattf_1_FHV_35</vt:lpstr>
      <vt:lpstr>cattf_1_FHV_40</vt:lpstr>
      <vt:lpstr>cattf_1_GHB_1</vt:lpstr>
      <vt:lpstr>cattf_1_GHV_30</vt:lpstr>
      <vt:lpstr>cattf_1_GHV_35</vt:lpstr>
      <vt:lpstr>cattf_1_GHV_40</vt:lpstr>
      <vt:lpstr>cattf_1_GHV_45</vt:lpstr>
      <vt:lpstr>cattf_1_KLHB_1</vt:lpstr>
      <vt:lpstr>cattf_1_KLHV_30</vt:lpstr>
      <vt:lpstr>cattf_1_KLHV_35</vt:lpstr>
      <vt:lpstr>cattf_1_KLHV_40</vt:lpstr>
      <vt:lpstr>cattf_1_KLHV_45</vt:lpstr>
      <vt:lpstr>cattf_1_LHB_1</vt:lpstr>
      <vt:lpstr>cattf_1_LHV_40</vt:lpstr>
      <vt:lpstr>cattf_1_QHB_1</vt:lpstr>
      <vt:lpstr>cattf_1_QHV_40</vt:lpstr>
      <vt:lpstr>cattf_1_RHB_1</vt:lpstr>
      <vt:lpstr>cattf_1_RHV_40</vt:lpstr>
      <vt:lpstr>cattf_1_SHB_1</vt:lpstr>
      <vt:lpstr>cattf_1_SHV_30</vt:lpstr>
      <vt:lpstr>cattf_1_SHV_35</vt:lpstr>
      <vt:lpstr>cattf_1_SHV_40</vt:lpstr>
      <vt:lpstr>cattf_1_SHV_45</vt:lpstr>
      <vt:lpstr>cattf_1_THB_1</vt:lpstr>
      <vt:lpstr>cattf_1_THV_30</vt:lpstr>
      <vt:lpstr>cattf_1_THV_35</vt:lpstr>
      <vt:lpstr>cattf_1_THV_40</vt:lpstr>
      <vt:lpstr>cattf_1_THV_45</vt:lpstr>
      <vt:lpstr>cattf_1_TRHB_1</vt:lpstr>
      <vt:lpstr>cattf_1_TRHV_12</vt:lpstr>
      <vt:lpstr>cattf_1_VHB_1</vt:lpstr>
      <vt:lpstr>cattf_1_VHV_30</vt:lpstr>
      <vt:lpstr>cattf_1_VHV_35</vt:lpstr>
      <vt:lpstr>cattf_1_VHV_40</vt:lpstr>
      <vt:lpstr>cattf_1_VHV_45</vt:lpstr>
      <vt:lpstr>cattf_1_VHV_51</vt:lpstr>
      <vt:lpstr>cattf_1_VZB_1</vt:lpstr>
      <vt:lpstr>cattf_1_VZV_30</vt:lpstr>
      <vt:lpstr>cattf_1_ZDHB_1</vt:lpstr>
      <vt:lpstr>cattf_1_ZDHV_51</vt:lpstr>
      <vt:lpstr>cattf_1_ZKLHB_1</vt:lpstr>
      <vt:lpstr>cattf_1_ZKLHV_40</vt:lpstr>
      <vt:lpstr>cattf_1_ZKLHV_51</vt:lpstr>
      <vt:lpstr>cattf_1_ZSHB_1</vt:lpstr>
      <vt:lpstr>cattf_1_ZSHV_40</vt:lpstr>
      <vt:lpstr>cattf_1_ZSHV_51</vt:lpstr>
      <vt:lpstr>cattf_1_ZVHB_1</vt:lpstr>
      <vt:lpstr>cattf_1_ZVHV_40</vt:lpstr>
      <vt:lpstr>cattf_1_ZVHV_51</vt:lpstr>
      <vt:lpstr>cattf_2_VBHB_1</vt:lpstr>
      <vt:lpstr>cattf_2_VDHB_1</vt:lpstr>
      <vt:lpstr>cattf_2_VEHB_1</vt:lpstr>
      <vt:lpstr>cattf_2_VFHB_1</vt:lpstr>
      <vt:lpstr>cattf_2_VGHB_1</vt:lpstr>
      <vt:lpstr>cattf_2_VKLHB_1</vt:lpstr>
      <vt:lpstr>cattf_2_VLHB_1</vt:lpstr>
      <vt:lpstr>cattf_2_VRHB_1</vt:lpstr>
      <vt:lpstr>cattf_2_VSHB_1</vt:lpstr>
      <vt:lpstr>cattf_2_VTHB_1</vt:lpstr>
      <vt:lpstr>cattf_2_VVHB_1</vt:lpstr>
      <vt:lpstr>cattf_3_WBHB_1</vt:lpstr>
      <vt:lpstr>cattf_3_WDHB_1</vt:lpstr>
      <vt:lpstr>cattf_3_WEHB_1</vt:lpstr>
      <vt:lpstr>cattf_3_WFHB_1</vt:lpstr>
      <vt:lpstr>cattf_3_WGHB_1</vt:lpstr>
      <vt:lpstr>cattf_3_WKLHB_1</vt:lpstr>
      <vt:lpstr>cattf_3_WLHB_1</vt:lpstr>
      <vt:lpstr>cattf_3_WRHB_1</vt:lpstr>
      <vt:lpstr>cattf_3_WSHB_1</vt:lpstr>
      <vt:lpstr>cattf_3_WTHB_1</vt:lpstr>
      <vt:lpstr>cattf_3_WVHB_1</vt:lpstr>
      <vt:lpstr>dagenperjaar1</vt:lpstr>
      <vt:lpstr>dagenperjaar2</vt:lpstr>
      <vt:lpstr>dagenperjaar3</vt:lpstr>
      <vt:lpstr>dagenperweek1</vt:lpstr>
      <vt:lpstr>dagenperweek2</vt:lpstr>
      <vt:lpstr>dagenperweek3</vt:lpstr>
      <vt:lpstr>dagsoorttabel1</vt:lpstr>
      <vt:lpstr>dagsoorttabel2</vt:lpstr>
      <vt:lpstr>dagsoorttabel3</vt:lpstr>
      <vt:lpstr>dagwerk102</vt:lpstr>
      <vt:lpstr>dagwerk103</vt:lpstr>
      <vt:lpstr>dagwerk104</vt:lpstr>
      <vt:lpstr>dagwerk105</vt:lpstr>
      <vt:lpstr>dagwerk106</vt:lpstr>
      <vt:lpstr>dagwerk107</vt:lpstr>
      <vt:lpstr>dagwerk108</vt:lpstr>
      <vt:lpstr>dagwerk109</vt:lpstr>
      <vt:lpstr>dagwerk110</vt:lpstr>
      <vt:lpstr>dagwerk111</vt:lpstr>
      <vt:lpstr>dagwerk112</vt:lpstr>
      <vt:lpstr>dagwerk113</vt:lpstr>
      <vt:lpstr>dagwerk114</vt:lpstr>
      <vt:lpstr>dagwerk115</vt:lpstr>
      <vt:lpstr>dagwerk116</vt:lpstr>
      <vt:lpstr>dagwerk117</vt:lpstr>
      <vt:lpstr>dagwerk118</vt:lpstr>
      <vt:lpstr>dagwerk119</vt:lpstr>
      <vt:lpstr>dagwerk120</vt:lpstr>
      <vt:lpstr>dagwerk121</vt:lpstr>
      <vt:lpstr>dagwerk122</vt:lpstr>
      <vt:lpstr>dagwerk30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dagwerk50</vt:lpstr>
      <vt:lpstr>dagwerk51</vt:lpstr>
      <vt:lpstr>dagwerk52</vt:lpstr>
      <vt:lpstr>dagwerk53</vt:lpstr>
      <vt:lpstr>dagwerk54</vt:lpstr>
      <vt:lpstr>dagwerk55</vt:lpstr>
      <vt:lpstr>dagwerk56</vt:lpstr>
      <vt:lpstr>dagwerk57</vt:lpstr>
      <vt:lpstr>dagwerk58</vt:lpstr>
      <vt:lpstr>dagwerk59</vt:lpstr>
      <vt:lpstr>dagwerk60</vt:lpstr>
      <vt:lpstr>dagwerk61</vt:lpstr>
      <vt:lpstr>dagwerk62</vt:lpstr>
      <vt:lpstr>dagwerk63</vt:lpstr>
      <vt:lpstr>dagwerk64</vt:lpstr>
      <vt:lpstr>dagwerk65</vt:lpstr>
      <vt:lpstr>dagwerk66</vt:lpstr>
      <vt:lpstr>dagwerk67</vt:lpstr>
      <vt:lpstr>dagwerk68</vt:lpstr>
      <vt:lpstr>dagwerk69</vt:lpstr>
      <vt:lpstr>dagwerk70</vt:lpstr>
      <vt:lpstr>dagwerk71</vt:lpstr>
      <vt:lpstr>dagwerk72</vt:lpstr>
      <vt:lpstr>dagwerk73</vt:lpstr>
      <vt:lpstr>dagwerk74</vt:lpstr>
      <vt:lpstr>dagwerk75</vt:lpstr>
      <vt:lpstr>dagwerk76</vt:lpstr>
      <vt:lpstr>dagwerk77</vt:lpstr>
      <vt:lpstr>dagwerk78</vt:lpstr>
      <vt:lpstr>dagwerk79</vt:lpstr>
      <vt:lpstr>dagwerk80</vt:lpstr>
      <vt:lpstr>dagwerk81</vt:lpstr>
      <vt:lpstr>dagwerk82</vt:lpstr>
      <vt:lpstr>dagwerk83</vt:lpstr>
      <vt:lpstr>dagwerk84</vt:lpstr>
      <vt:lpstr>dagwerk85</vt:lpstr>
      <vt:lpstr>dagwerk86</vt:lpstr>
      <vt:lpstr>dagwerk87</vt:lpstr>
      <vt:lpstr>dagwerk89</vt:lpstr>
      <vt:lpstr>dagwerk90</vt:lpstr>
      <vt:lpstr>dagwerk91</vt:lpstr>
      <vt:lpstr>dagwerk92</vt:lpstr>
      <vt:lpstr>dagwerk93</vt:lpstr>
      <vt:lpstr>dagwerk94</vt:lpstr>
      <vt:lpstr>dagwerk95</vt:lpstr>
      <vt:lpstr>dagwerk96</vt:lpstr>
      <vt:lpstr>dagwerk97</vt:lpstr>
      <vt:lpstr>dagwerk98</vt:lpstr>
      <vt:lpstr>dagwerk99</vt:lpstr>
      <vt:lpstr>dagwerktabel1</vt:lpstr>
      <vt:lpstr>dagwerktabel2</vt:lpstr>
      <vt:lpstr>dagwerktabel3</vt:lpstr>
      <vt:lpstr>gemuurtarief1</vt:lpstr>
      <vt:lpstr>gemuurtarief2</vt:lpstr>
      <vt:lpstr>gemuurtarief3</vt:lpstr>
      <vt:lpstr>kengetaltabel1</vt:lpstr>
      <vt:lpstr>kengetaltabel2</vt:lpstr>
      <vt:lpstr>kengetaltabel3</vt:lpstr>
      <vt:lpstr>object1_gemuurtarief1</vt:lpstr>
      <vt:lpstr>object1_opptabel1</vt:lpstr>
      <vt:lpstr>object1_opptabel2</vt:lpstr>
      <vt:lpstr>object1_opptabel3</vt:lpstr>
      <vt:lpstr>object1_prijsdag1</vt:lpstr>
      <vt:lpstr>object1_prijsjaar1</vt:lpstr>
      <vt:lpstr>object1_urendag1</vt:lpstr>
      <vt:lpstr>object1_urendaghf1</vt:lpstr>
      <vt:lpstr>object1_urenjaar1</vt:lpstr>
      <vt:lpstr>object10_gemuurtarief1</vt:lpstr>
      <vt:lpstr>object10_opptabel1</vt:lpstr>
      <vt:lpstr>object10_opptabel2</vt:lpstr>
      <vt:lpstr>object10_opptabel3</vt:lpstr>
      <vt:lpstr>object10_prijsdag1</vt:lpstr>
      <vt:lpstr>object10_prijsjaar1</vt:lpstr>
      <vt:lpstr>object10_urendag1</vt:lpstr>
      <vt:lpstr>object10_urendaghf1</vt:lpstr>
      <vt:lpstr>object10_urenjaar1</vt:lpstr>
      <vt:lpstr>object11_gemuurtarief1</vt:lpstr>
      <vt:lpstr>object11_opptabel1</vt:lpstr>
      <vt:lpstr>object11_opptabel2</vt:lpstr>
      <vt:lpstr>object11_opptabel3</vt:lpstr>
      <vt:lpstr>object11_prijsdag1</vt:lpstr>
      <vt:lpstr>object11_prijsjaar1</vt:lpstr>
      <vt:lpstr>object11_urendag1</vt:lpstr>
      <vt:lpstr>object11_urendaghf1</vt:lpstr>
      <vt:lpstr>object11_urenjaar1</vt:lpstr>
      <vt:lpstr>object12_gemuurtarief1</vt:lpstr>
      <vt:lpstr>object12_opptabel1</vt:lpstr>
      <vt:lpstr>object12_opptabel2</vt:lpstr>
      <vt:lpstr>object12_opptabel3</vt:lpstr>
      <vt:lpstr>object12_prijsdag1</vt:lpstr>
      <vt:lpstr>object12_prijsjaar1</vt:lpstr>
      <vt:lpstr>object12_urendag1</vt:lpstr>
      <vt:lpstr>object12_urendaghf1</vt:lpstr>
      <vt:lpstr>object12_urenjaar1</vt:lpstr>
      <vt:lpstr>object13_gemuurtarief1</vt:lpstr>
      <vt:lpstr>object13_opptabel1</vt:lpstr>
      <vt:lpstr>object13_opptabel2</vt:lpstr>
      <vt:lpstr>object13_opptabel3</vt:lpstr>
      <vt:lpstr>object13_prijsdag1</vt:lpstr>
      <vt:lpstr>object13_prijsjaar1</vt:lpstr>
      <vt:lpstr>object13_urendag1</vt:lpstr>
      <vt:lpstr>object13_urendaghf1</vt:lpstr>
      <vt:lpstr>object13_urenjaar1</vt:lpstr>
      <vt:lpstr>object14_gemuurtarief1</vt:lpstr>
      <vt:lpstr>object14_opptabel1</vt:lpstr>
      <vt:lpstr>object14_opptabel2</vt:lpstr>
      <vt:lpstr>object14_opptabel3</vt:lpstr>
      <vt:lpstr>object14_prijsdag1</vt:lpstr>
      <vt:lpstr>object14_prijsjaar1</vt:lpstr>
      <vt:lpstr>object14_urendag1</vt:lpstr>
      <vt:lpstr>object14_urendaghf1</vt:lpstr>
      <vt:lpstr>object14_urenjaar1</vt:lpstr>
      <vt:lpstr>object15_gemuurtarief1</vt:lpstr>
      <vt:lpstr>object15_opptabel1</vt:lpstr>
      <vt:lpstr>object15_opptabel2</vt:lpstr>
      <vt:lpstr>object15_opptabel3</vt:lpstr>
      <vt:lpstr>object15_prijsdag1</vt:lpstr>
      <vt:lpstr>object15_prijsjaar1</vt:lpstr>
      <vt:lpstr>object15_urendag1</vt:lpstr>
      <vt:lpstr>object15_urendaghf1</vt:lpstr>
      <vt:lpstr>object15_urenjaar1</vt:lpstr>
      <vt:lpstr>object16_gemuurtarief1</vt:lpstr>
      <vt:lpstr>object16_opptabel1</vt:lpstr>
      <vt:lpstr>object16_opptabel2</vt:lpstr>
      <vt:lpstr>object16_opptabel3</vt:lpstr>
      <vt:lpstr>object16_prijsdag1</vt:lpstr>
      <vt:lpstr>object16_prijsjaar1</vt:lpstr>
      <vt:lpstr>object16_urendag1</vt:lpstr>
      <vt:lpstr>object16_urendaghf1</vt:lpstr>
      <vt:lpstr>object16_urenjaar1</vt:lpstr>
      <vt:lpstr>object17_gemuurtarief1</vt:lpstr>
      <vt:lpstr>object17_opptabel1</vt:lpstr>
      <vt:lpstr>object17_opptabel2</vt:lpstr>
      <vt:lpstr>object17_opptabel3</vt:lpstr>
      <vt:lpstr>object17_prijsdag1</vt:lpstr>
      <vt:lpstr>object17_prijsjaar1</vt:lpstr>
      <vt:lpstr>object17_urendag1</vt:lpstr>
      <vt:lpstr>object17_urendaghf1</vt:lpstr>
      <vt:lpstr>object17_urenjaar1</vt:lpstr>
      <vt:lpstr>object18_opptabel1</vt:lpstr>
      <vt:lpstr>object18_opptabel2</vt:lpstr>
      <vt:lpstr>object18_opptabel3</vt:lpstr>
      <vt:lpstr>object19_gemuurtarief1</vt:lpstr>
      <vt:lpstr>object19_opptabel1</vt:lpstr>
      <vt:lpstr>object19_opptabel2</vt:lpstr>
      <vt:lpstr>object19_opptabel3</vt:lpstr>
      <vt:lpstr>object19_prijsdag1</vt:lpstr>
      <vt:lpstr>object19_prijsjaar1</vt:lpstr>
      <vt:lpstr>object19_urendag1</vt:lpstr>
      <vt:lpstr>object19_urendaghf1</vt:lpstr>
      <vt:lpstr>object19_urenjaar1</vt:lpstr>
      <vt:lpstr>object2_gemuurtarief1</vt:lpstr>
      <vt:lpstr>object2_opptabel1</vt:lpstr>
      <vt:lpstr>object2_opptabel2</vt:lpstr>
      <vt:lpstr>object2_opptabel3</vt:lpstr>
      <vt:lpstr>object2_prijsdag1</vt:lpstr>
      <vt:lpstr>object2_prijsjaar1</vt:lpstr>
      <vt:lpstr>object2_urendag1</vt:lpstr>
      <vt:lpstr>object2_urendaghf1</vt:lpstr>
      <vt:lpstr>object2_urenjaar1</vt:lpstr>
      <vt:lpstr>object20_gemuurtarief1</vt:lpstr>
      <vt:lpstr>object20_opptabel1</vt:lpstr>
      <vt:lpstr>object20_opptabel2</vt:lpstr>
      <vt:lpstr>object20_opptabel3</vt:lpstr>
      <vt:lpstr>object20_prijsdag1</vt:lpstr>
      <vt:lpstr>object20_prijsjaar1</vt:lpstr>
      <vt:lpstr>object20_urendag1</vt:lpstr>
      <vt:lpstr>object20_urendaghf1</vt:lpstr>
      <vt:lpstr>object20_urenjaar1</vt:lpstr>
      <vt:lpstr>object21_gemuurtarief1</vt:lpstr>
      <vt:lpstr>object21_gemuurtarief3</vt:lpstr>
      <vt:lpstr>object21_opptabel1</vt:lpstr>
      <vt:lpstr>object21_opptabel2</vt:lpstr>
      <vt:lpstr>object21_opptabel3</vt:lpstr>
      <vt:lpstr>object21_prijsdag1</vt:lpstr>
      <vt:lpstr>object21_prijsdag3</vt:lpstr>
      <vt:lpstr>object21_prijsjaar1</vt:lpstr>
      <vt:lpstr>object21_prijsjaar3</vt:lpstr>
      <vt:lpstr>object21_urendag1</vt:lpstr>
      <vt:lpstr>object21_urendag3</vt:lpstr>
      <vt:lpstr>object21_urendaghf1</vt:lpstr>
      <vt:lpstr>object21_urendaghf3</vt:lpstr>
      <vt:lpstr>object21_urenjaar1</vt:lpstr>
      <vt:lpstr>object21_urenjaar3</vt:lpstr>
      <vt:lpstr>object22_gemuurtarief1</vt:lpstr>
      <vt:lpstr>object22_opptabel1</vt:lpstr>
      <vt:lpstr>object22_opptabel2</vt:lpstr>
      <vt:lpstr>object22_opptabel3</vt:lpstr>
      <vt:lpstr>object22_prijsdag1</vt:lpstr>
      <vt:lpstr>object22_prijsjaar1</vt:lpstr>
      <vt:lpstr>object22_urendag1</vt:lpstr>
      <vt:lpstr>object22_urendaghf1</vt:lpstr>
      <vt:lpstr>object22_urenjaar1</vt:lpstr>
      <vt:lpstr>object23_gemuurtarief1</vt:lpstr>
      <vt:lpstr>object23_opptabel1</vt:lpstr>
      <vt:lpstr>object23_opptabel2</vt:lpstr>
      <vt:lpstr>object23_opptabel3</vt:lpstr>
      <vt:lpstr>object23_prijsdag1</vt:lpstr>
      <vt:lpstr>object23_prijsjaar1</vt:lpstr>
      <vt:lpstr>object23_urendag1</vt:lpstr>
      <vt:lpstr>object23_urendaghf1</vt:lpstr>
      <vt:lpstr>object23_urenjaar1</vt:lpstr>
      <vt:lpstr>object24_gemuurtarief1</vt:lpstr>
      <vt:lpstr>object24_opptabel1</vt:lpstr>
      <vt:lpstr>object24_opptabel2</vt:lpstr>
      <vt:lpstr>object24_opptabel3</vt:lpstr>
      <vt:lpstr>object24_prijsdag1</vt:lpstr>
      <vt:lpstr>object24_prijsjaar1</vt:lpstr>
      <vt:lpstr>object24_urendag1</vt:lpstr>
      <vt:lpstr>object24_urendaghf1</vt:lpstr>
      <vt:lpstr>object24_urenjaar1</vt:lpstr>
      <vt:lpstr>object25_gemuurtarief1</vt:lpstr>
      <vt:lpstr>object25_opptabel1</vt:lpstr>
      <vt:lpstr>object25_opptabel2</vt:lpstr>
      <vt:lpstr>object25_opptabel3</vt:lpstr>
      <vt:lpstr>object25_prijsdag1</vt:lpstr>
      <vt:lpstr>object25_prijsjaar1</vt:lpstr>
      <vt:lpstr>object25_urendag1</vt:lpstr>
      <vt:lpstr>object25_urendaghf1</vt:lpstr>
      <vt:lpstr>object25_urenjaar1</vt:lpstr>
      <vt:lpstr>object26_gemuurtarief1</vt:lpstr>
      <vt:lpstr>object26_opptabel1</vt:lpstr>
      <vt:lpstr>object26_opptabel2</vt:lpstr>
      <vt:lpstr>object26_opptabel3</vt:lpstr>
      <vt:lpstr>object26_prijsdag1</vt:lpstr>
      <vt:lpstr>object26_prijsjaar1</vt:lpstr>
      <vt:lpstr>object26_urendag1</vt:lpstr>
      <vt:lpstr>object26_urendaghf1</vt:lpstr>
      <vt:lpstr>object26_urenjaar1</vt:lpstr>
      <vt:lpstr>object27_gemuurtarief1</vt:lpstr>
      <vt:lpstr>object27_opptabel1</vt:lpstr>
      <vt:lpstr>object27_opptabel2</vt:lpstr>
      <vt:lpstr>object27_opptabel3</vt:lpstr>
      <vt:lpstr>object27_prijsdag1</vt:lpstr>
      <vt:lpstr>object27_prijsjaar1</vt:lpstr>
      <vt:lpstr>object27_urendag1</vt:lpstr>
      <vt:lpstr>object27_urendaghf1</vt:lpstr>
      <vt:lpstr>object27_urenjaar1</vt:lpstr>
      <vt:lpstr>object28_gemuurtarief1</vt:lpstr>
      <vt:lpstr>object28_opptabel1</vt:lpstr>
      <vt:lpstr>object28_opptabel2</vt:lpstr>
      <vt:lpstr>object28_opptabel3</vt:lpstr>
      <vt:lpstr>object28_prijsdag1</vt:lpstr>
      <vt:lpstr>object28_prijsjaar1</vt:lpstr>
      <vt:lpstr>object28_urendag1</vt:lpstr>
      <vt:lpstr>object28_urendaghf1</vt:lpstr>
      <vt:lpstr>object28_urenjaar1</vt:lpstr>
      <vt:lpstr>object3_gemuurtarief1</vt:lpstr>
      <vt:lpstr>object3_gemuurtarief2</vt:lpstr>
      <vt:lpstr>object3_gemuurtarief3</vt:lpstr>
      <vt:lpstr>object3_opptabel1</vt:lpstr>
      <vt:lpstr>object3_opptabel2</vt:lpstr>
      <vt:lpstr>object3_opptabel3</vt:lpstr>
      <vt:lpstr>object3_prijsdag1</vt:lpstr>
      <vt:lpstr>object3_prijsdag2</vt:lpstr>
      <vt:lpstr>object3_prijsdag3</vt:lpstr>
      <vt:lpstr>object3_prijsjaar1</vt:lpstr>
      <vt:lpstr>object3_prijsjaar2</vt:lpstr>
      <vt:lpstr>object3_prijsjaar3</vt:lpstr>
      <vt:lpstr>object3_urendag1</vt:lpstr>
      <vt:lpstr>object3_urendag2</vt:lpstr>
      <vt:lpstr>object3_urendag3</vt:lpstr>
      <vt:lpstr>object3_urendaghf1</vt:lpstr>
      <vt:lpstr>object3_urendaghf2</vt:lpstr>
      <vt:lpstr>object3_urendaghf3</vt:lpstr>
      <vt:lpstr>object3_urenjaar1</vt:lpstr>
      <vt:lpstr>object3_urenjaar2</vt:lpstr>
      <vt:lpstr>object3_urenjaar3</vt:lpstr>
      <vt:lpstr>object4_gemuurtarief1</vt:lpstr>
      <vt:lpstr>object4_opptabel1</vt:lpstr>
      <vt:lpstr>object4_opptabel2</vt:lpstr>
      <vt:lpstr>object4_opptabel3</vt:lpstr>
      <vt:lpstr>object4_prijsdag1</vt:lpstr>
      <vt:lpstr>object4_prijsjaar1</vt:lpstr>
      <vt:lpstr>object4_urendag1</vt:lpstr>
      <vt:lpstr>object4_urendaghf1</vt:lpstr>
      <vt:lpstr>object4_urenjaar1</vt:lpstr>
      <vt:lpstr>object5_gemuurtarief1</vt:lpstr>
      <vt:lpstr>object5_opptabel1</vt:lpstr>
      <vt:lpstr>object5_opptabel2</vt:lpstr>
      <vt:lpstr>object5_opptabel3</vt:lpstr>
      <vt:lpstr>object5_prijsdag1</vt:lpstr>
      <vt:lpstr>object5_prijsjaar1</vt:lpstr>
      <vt:lpstr>object5_urendag1</vt:lpstr>
      <vt:lpstr>object5_urendaghf1</vt:lpstr>
      <vt:lpstr>object5_urenjaar1</vt:lpstr>
      <vt:lpstr>object6_gemuurtarief1</vt:lpstr>
      <vt:lpstr>object6_opptabel1</vt:lpstr>
      <vt:lpstr>object6_opptabel2</vt:lpstr>
      <vt:lpstr>object6_opptabel3</vt:lpstr>
      <vt:lpstr>object6_prijsdag1</vt:lpstr>
      <vt:lpstr>object6_prijsjaar1</vt:lpstr>
      <vt:lpstr>object6_urendag1</vt:lpstr>
      <vt:lpstr>object6_urendaghf1</vt:lpstr>
      <vt:lpstr>object6_urenjaar1</vt:lpstr>
      <vt:lpstr>object7_gemuurtarief1</vt:lpstr>
      <vt:lpstr>object7_opptabel1</vt:lpstr>
      <vt:lpstr>object7_opptabel2</vt:lpstr>
      <vt:lpstr>object7_opptabel3</vt:lpstr>
      <vt:lpstr>object7_prijsdag1</vt:lpstr>
      <vt:lpstr>object7_prijsjaar1</vt:lpstr>
      <vt:lpstr>object7_urendag1</vt:lpstr>
      <vt:lpstr>object7_urendaghf1</vt:lpstr>
      <vt:lpstr>object7_urenjaar1</vt:lpstr>
      <vt:lpstr>object8_gemuurtarief1</vt:lpstr>
      <vt:lpstr>object8_opptabel1</vt:lpstr>
      <vt:lpstr>object8_opptabel2</vt:lpstr>
      <vt:lpstr>object8_opptabel3</vt:lpstr>
      <vt:lpstr>object8_prijsdag1</vt:lpstr>
      <vt:lpstr>object8_prijsjaar1</vt:lpstr>
      <vt:lpstr>object8_urendag1</vt:lpstr>
      <vt:lpstr>object8_urendaghf1</vt:lpstr>
      <vt:lpstr>object8_urenjaar1</vt:lpstr>
      <vt:lpstr>object9_gemuurtarief1</vt:lpstr>
      <vt:lpstr>object9_opptabel1</vt:lpstr>
      <vt:lpstr>object9_opptabel2</vt:lpstr>
      <vt:lpstr>object9_opptabel3</vt:lpstr>
      <vt:lpstr>object9_prijsdag1</vt:lpstr>
      <vt:lpstr>object9_prijsjaar1</vt:lpstr>
      <vt:lpstr>object9_urendag1</vt:lpstr>
      <vt:lpstr>object9_urendaghf1</vt:lpstr>
      <vt:lpstr>object9_urenjaar1</vt:lpstr>
      <vt:lpstr>objectprijs1_1</vt:lpstr>
      <vt:lpstr>objectprijs10_1</vt:lpstr>
      <vt:lpstr>objectprijs11_1</vt:lpstr>
      <vt:lpstr>objectprijs12_1</vt:lpstr>
      <vt:lpstr>objectprijs13_1</vt:lpstr>
      <vt:lpstr>objectprijs14_1</vt:lpstr>
      <vt:lpstr>objectprijs15_1</vt:lpstr>
      <vt:lpstr>objectprijs16_1</vt:lpstr>
      <vt:lpstr>objectprijs17_1</vt:lpstr>
      <vt:lpstr>objectprijs18_1</vt:lpstr>
      <vt:lpstr>objectprijs18_3</vt:lpstr>
      <vt:lpstr>objectprijs19_1</vt:lpstr>
      <vt:lpstr>objectprijs2_1</vt:lpstr>
      <vt:lpstr>objectprijs20_1</vt:lpstr>
      <vt:lpstr>objectprijs21_1</vt:lpstr>
      <vt:lpstr>objectprijs21_3</vt:lpstr>
      <vt:lpstr>objectprijs22_1</vt:lpstr>
      <vt:lpstr>objectprijs23_1</vt:lpstr>
      <vt:lpstr>objectprijs24_1</vt:lpstr>
      <vt:lpstr>objectprijs25_1</vt:lpstr>
      <vt:lpstr>objectprijs26_1</vt:lpstr>
      <vt:lpstr>objectprijs27_1</vt:lpstr>
      <vt:lpstr>objectprijs28_1</vt:lpstr>
      <vt:lpstr>objectprijs3_1</vt:lpstr>
      <vt:lpstr>objectprijs3_2</vt:lpstr>
      <vt:lpstr>objectprijs3_3</vt:lpstr>
      <vt:lpstr>objectprijs4_1</vt:lpstr>
      <vt:lpstr>objectprijs5_1</vt:lpstr>
      <vt:lpstr>objectprijs6_1</vt:lpstr>
      <vt:lpstr>objectprijs7_1</vt:lpstr>
      <vt:lpstr>objectprijs8_1</vt:lpstr>
      <vt:lpstr>objectprijs9_1</vt:lpstr>
      <vt:lpstr>objecturen1_1</vt:lpstr>
      <vt:lpstr>objecturen10_1</vt:lpstr>
      <vt:lpstr>objecturen11_1</vt:lpstr>
      <vt:lpstr>objecturen12_1</vt:lpstr>
      <vt:lpstr>objecturen13_1</vt:lpstr>
      <vt:lpstr>objecturen14_1</vt:lpstr>
      <vt:lpstr>objecturen15_1</vt:lpstr>
      <vt:lpstr>objecturen16_1</vt:lpstr>
      <vt:lpstr>objecturen17_1</vt:lpstr>
      <vt:lpstr>objecturen18_1</vt:lpstr>
      <vt:lpstr>objecturen18_3</vt:lpstr>
      <vt:lpstr>objecturen19_1</vt:lpstr>
      <vt:lpstr>objecturen2_1</vt:lpstr>
      <vt:lpstr>objecturen20_1</vt:lpstr>
      <vt:lpstr>objecturen21_1</vt:lpstr>
      <vt:lpstr>objecturen21_3</vt:lpstr>
      <vt:lpstr>objecturen22_1</vt:lpstr>
      <vt:lpstr>objecturen23_1</vt:lpstr>
      <vt:lpstr>objecturen24_1</vt:lpstr>
      <vt:lpstr>objecturen25_1</vt:lpstr>
      <vt:lpstr>objecturen26_1</vt:lpstr>
      <vt:lpstr>objecturen27_1</vt:lpstr>
      <vt:lpstr>objecturen28_1</vt:lpstr>
      <vt:lpstr>objecturen3_1</vt:lpstr>
      <vt:lpstr>objecturen3_2</vt:lpstr>
      <vt:lpstr>objecturen3_3</vt:lpstr>
      <vt:lpstr>objecturen4_1</vt:lpstr>
      <vt:lpstr>objecturen5_1</vt:lpstr>
      <vt:lpstr>objecturen6_1</vt:lpstr>
      <vt:lpstr>objecturen7_1</vt:lpstr>
      <vt:lpstr>objecturen8_1</vt:lpstr>
      <vt:lpstr>objecturen9_1</vt:lpstr>
      <vt:lpstr>objecturenhf1_1</vt:lpstr>
      <vt:lpstr>objecturenhf10_1</vt:lpstr>
      <vt:lpstr>objecturenhf11_1</vt:lpstr>
      <vt:lpstr>objecturenhf12_1</vt:lpstr>
      <vt:lpstr>objecturenhf13_1</vt:lpstr>
      <vt:lpstr>objecturenhf14_1</vt:lpstr>
      <vt:lpstr>objecturenhf15_1</vt:lpstr>
      <vt:lpstr>objecturenhf16_1</vt:lpstr>
      <vt:lpstr>objecturenhf17_1</vt:lpstr>
      <vt:lpstr>objecturenhf18_1</vt:lpstr>
      <vt:lpstr>objecturenhf18_3</vt:lpstr>
      <vt:lpstr>objecturenhf19_1</vt:lpstr>
      <vt:lpstr>objecturenhf2_1</vt:lpstr>
      <vt:lpstr>objecturenhf20_1</vt:lpstr>
      <vt:lpstr>objecturenhf21_1</vt:lpstr>
      <vt:lpstr>objecturenhf21_3</vt:lpstr>
      <vt:lpstr>objecturenhf22_1</vt:lpstr>
      <vt:lpstr>objecturenhf23_1</vt:lpstr>
      <vt:lpstr>objecturenhf24_1</vt:lpstr>
      <vt:lpstr>objecturenhf25_1</vt:lpstr>
      <vt:lpstr>objecturenhf26_1</vt:lpstr>
      <vt:lpstr>objecturenhf27_1</vt:lpstr>
      <vt:lpstr>objecturenhf28_1</vt:lpstr>
      <vt:lpstr>objecturenhf3_1</vt:lpstr>
      <vt:lpstr>objecturenhf3_2</vt:lpstr>
      <vt:lpstr>objecturenhf3_3</vt:lpstr>
      <vt:lpstr>objecturenhf4_1</vt:lpstr>
      <vt:lpstr>objecturenhf5_1</vt:lpstr>
      <vt:lpstr>objecturenhf6_1</vt:lpstr>
      <vt:lpstr>objecturenhf7_1</vt:lpstr>
      <vt:lpstr>objecturenhf8_1</vt:lpstr>
      <vt:lpstr>objecturenhf9_1</vt:lpstr>
      <vt:lpstr>prijsdag1</vt:lpstr>
      <vt:lpstr>prijsdag2</vt:lpstr>
      <vt:lpstr>prijsdag3</vt:lpstr>
      <vt:lpstr>prijsjaar</vt:lpstr>
      <vt:lpstr>prijsjaar1</vt:lpstr>
      <vt:lpstr>prijsjaar2</vt:lpstr>
      <vt:lpstr>prijsjaar3</vt:lpstr>
      <vt:lpstr>prijsjaaradditioneel</vt:lpstr>
      <vt:lpstr>prijsjaaradditioneel1</vt:lpstr>
      <vt:lpstr>prijsjaarafroep</vt:lpstr>
      <vt:lpstr>prijsjaarafroep1</vt:lpstr>
      <vt:lpstr>prijsjaarafroep3</vt:lpstr>
      <vt:lpstr>prijsjaarglas</vt:lpstr>
      <vt:lpstr>prijsjaarglas1</vt:lpstr>
      <vt:lpstr>prijsjaartotaal</vt:lpstr>
      <vt:lpstr>prijsjaartotaal1</vt:lpstr>
      <vt:lpstr>prijsjaartotaal2</vt:lpstr>
      <vt:lpstr>prijsjaartotaal3</vt:lpstr>
      <vt:lpstr>prijsjaartotaaloverzicht</vt:lpstr>
      <vt:lpstr>prijsmaandtotaal1</vt:lpstr>
      <vt:lpstr>prijsmaandtotaal2</vt:lpstr>
      <vt:lpstr>prijsmaandtotaal3</vt:lpstr>
      <vt:lpstr>prodnorm0</vt:lpstr>
      <vt:lpstr>prodnorm10</vt:lpstr>
      <vt:lpstr>prodnorm102</vt:lpstr>
      <vt:lpstr>prodnorm103</vt:lpstr>
      <vt:lpstr>prodnorm104</vt:lpstr>
      <vt:lpstr>prodnorm105</vt:lpstr>
      <vt:lpstr>prodnorm106</vt:lpstr>
      <vt:lpstr>prodnorm107</vt:lpstr>
      <vt:lpstr>prodnorm108</vt:lpstr>
      <vt:lpstr>prodnorm109</vt:lpstr>
      <vt:lpstr>prodnorm11</vt:lpstr>
      <vt:lpstr>prodnorm110</vt:lpstr>
      <vt:lpstr>prodnorm111</vt:lpstr>
      <vt:lpstr>prodnorm112</vt:lpstr>
      <vt:lpstr>prodnorm113</vt:lpstr>
      <vt:lpstr>prodnorm114</vt:lpstr>
      <vt:lpstr>prodnorm115</vt:lpstr>
      <vt:lpstr>prodnorm116</vt:lpstr>
      <vt:lpstr>prodnorm117</vt:lpstr>
      <vt:lpstr>prodnorm118</vt:lpstr>
      <vt:lpstr>prodnorm119</vt:lpstr>
      <vt:lpstr>prodnorm12</vt:lpstr>
      <vt:lpstr>prodnorm120</vt:lpstr>
      <vt:lpstr>prodnorm121</vt:lpstr>
      <vt:lpstr>prodnorm122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</vt:lpstr>
      <vt:lpstr>prodnorm60</vt:lpstr>
      <vt:lpstr>prodnorm61</vt:lpstr>
      <vt:lpstr>prodnorm62</vt:lpstr>
      <vt:lpstr>prodnorm63</vt:lpstr>
      <vt:lpstr>prodnorm64</vt:lpstr>
      <vt:lpstr>prodnorm65</vt:lpstr>
      <vt:lpstr>prodnorm66</vt:lpstr>
      <vt:lpstr>prodnorm67</vt:lpstr>
      <vt:lpstr>prodnorm68</vt:lpstr>
      <vt:lpstr>prodnorm69</vt:lpstr>
      <vt:lpstr>prodnorm7</vt:lpstr>
      <vt:lpstr>prodnorm70</vt:lpstr>
      <vt:lpstr>prodnorm71</vt:lpstr>
      <vt:lpstr>prodnorm72</vt:lpstr>
      <vt:lpstr>prodnorm73</vt:lpstr>
      <vt:lpstr>prodnorm74</vt:lpstr>
      <vt:lpstr>prodnorm75</vt:lpstr>
      <vt:lpstr>prodnorm76</vt:lpstr>
      <vt:lpstr>prodnorm77</vt:lpstr>
      <vt:lpstr>prodnorm78</vt:lpstr>
      <vt:lpstr>prodnorm79</vt:lpstr>
      <vt:lpstr>prodnorm8</vt:lpstr>
      <vt:lpstr>prodnorm80</vt:lpstr>
      <vt:lpstr>prodnorm81</vt:lpstr>
      <vt:lpstr>prodnorm82</vt:lpstr>
      <vt:lpstr>prodnorm83</vt:lpstr>
      <vt:lpstr>prodnorm84</vt:lpstr>
      <vt:lpstr>prodnorm85</vt:lpstr>
      <vt:lpstr>prodnorm86</vt:lpstr>
      <vt:lpstr>prodnorm87</vt:lpstr>
      <vt:lpstr>prodnorm89</vt:lpstr>
      <vt:lpstr>prodnorm9</vt:lpstr>
      <vt:lpstr>prodnorm90</vt:lpstr>
      <vt:lpstr>prodnorm91</vt:lpstr>
      <vt:lpstr>prodnorm92</vt:lpstr>
      <vt:lpstr>prodnorm93</vt:lpstr>
      <vt:lpstr>prodnorm94</vt:lpstr>
      <vt:lpstr>prodnorm95</vt:lpstr>
      <vt:lpstr>prodnorm96</vt:lpstr>
      <vt:lpstr>prodnorm97</vt:lpstr>
      <vt:lpstr>prodnorm98</vt:lpstr>
      <vt:lpstr>prodnorm99</vt:lpstr>
      <vt:lpstr>taakfreqtabel1</vt:lpstr>
      <vt:lpstr>taakfreqtabel2</vt:lpstr>
      <vt:lpstr>taakfreqtabel3</vt:lpstr>
      <vt:lpstr>tabeltype</vt:lpstr>
      <vt:lpstr>Tariefopbouw1</vt:lpstr>
      <vt:lpstr>Tariefopbouw2</vt:lpstr>
      <vt:lpstr>Tariefopbouw3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tarieftabel1</vt:lpstr>
      <vt:lpstr>tarieftabel2</vt:lpstr>
      <vt:lpstr>tarieftabel3</vt:lpstr>
      <vt:lpstr>TariefUitvoering1</vt:lpstr>
      <vt:lpstr>TariefUitvoering2</vt:lpstr>
      <vt:lpstr>TariefUitvoering3</vt:lpstr>
      <vt:lpstr>urendag1</vt:lpstr>
      <vt:lpstr>urendag2</vt:lpstr>
      <vt:lpstr>urendag3</vt:lpstr>
      <vt:lpstr>urenjaar</vt:lpstr>
      <vt:lpstr>urenjaar1</vt:lpstr>
      <vt:lpstr>urenjaar2</vt:lpstr>
      <vt:lpstr>urenjaar3</vt:lpstr>
      <vt:lpstr>urenjaartotaal</vt:lpstr>
      <vt:lpstr>urenjaartotaal1</vt:lpstr>
      <vt:lpstr>urenjaartotaal2</vt:lpstr>
      <vt:lpstr>urenjaartotaal3</vt:lpstr>
      <vt:lpstr>urenjaartotaalhf</vt:lpstr>
      <vt:lpstr>urenjaartotaalhf1</vt:lpstr>
      <vt:lpstr>urenjaartotaalhf2</vt:lpstr>
      <vt:lpstr>urenjaartotaalhf3</vt:lpstr>
      <vt:lpstr>urenjaartotaaloverzicht</vt:lpstr>
      <vt:lpstr>urenjaartotaaloverzichthf</vt:lpstr>
      <vt:lpstr>uurfactortabel1</vt:lpstr>
      <vt:lpstr>uurfactortabel2</vt:lpstr>
      <vt:lpstr>uurfactortabel3</vt:lpstr>
      <vt:lpstr>uurtarief0</vt:lpstr>
      <vt:lpstr>uurtarief10</vt:lpstr>
      <vt:lpstr>uurtarief102</vt:lpstr>
      <vt:lpstr>uurtarief103</vt:lpstr>
      <vt:lpstr>uurtarief104</vt:lpstr>
      <vt:lpstr>uurtarief105</vt:lpstr>
      <vt:lpstr>uurtarief106</vt:lpstr>
      <vt:lpstr>uurtarief107</vt:lpstr>
      <vt:lpstr>uurtarief108</vt:lpstr>
      <vt:lpstr>uurtarief109</vt:lpstr>
      <vt:lpstr>uurtarief11</vt:lpstr>
      <vt:lpstr>uurtarief110</vt:lpstr>
      <vt:lpstr>uurtarief111</vt:lpstr>
      <vt:lpstr>uurtarief112</vt:lpstr>
      <vt:lpstr>uurtarief113</vt:lpstr>
      <vt:lpstr>uurtarief114</vt:lpstr>
      <vt:lpstr>uurtarief115</vt:lpstr>
      <vt:lpstr>uurtarief116</vt:lpstr>
      <vt:lpstr>uurtarief117</vt:lpstr>
      <vt:lpstr>uurtarief118</vt:lpstr>
      <vt:lpstr>uurtarief119</vt:lpstr>
      <vt:lpstr>uurtarief12</vt:lpstr>
      <vt:lpstr>uurtarief120</vt:lpstr>
      <vt:lpstr>uurtarief121</vt:lpstr>
      <vt:lpstr>uurtarief122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</vt:lpstr>
      <vt:lpstr>uurtarief60</vt:lpstr>
      <vt:lpstr>uurtarief61</vt:lpstr>
      <vt:lpstr>uurtarief62</vt:lpstr>
      <vt:lpstr>uurtarief63</vt:lpstr>
      <vt:lpstr>uurtarief64</vt:lpstr>
      <vt:lpstr>uurtarief65</vt:lpstr>
      <vt:lpstr>uurtarief66</vt:lpstr>
      <vt:lpstr>uurtarief67</vt:lpstr>
      <vt:lpstr>uurtarief68</vt:lpstr>
      <vt:lpstr>uurtarief69</vt:lpstr>
      <vt:lpstr>uurtarief7</vt:lpstr>
      <vt:lpstr>uurtarief70</vt:lpstr>
      <vt:lpstr>uurtarief71</vt:lpstr>
      <vt:lpstr>uurtarief72</vt:lpstr>
      <vt:lpstr>uurtarief73</vt:lpstr>
      <vt:lpstr>uurtarief74</vt:lpstr>
      <vt:lpstr>uurtarief75</vt:lpstr>
      <vt:lpstr>uurtarief76</vt:lpstr>
      <vt:lpstr>uurtarief77</vt:lpstr>
      <vt:lpstr>uurtarief78</vt:lpstr>
      <vt:lpstr>uurtarief79</vt:lpstr>
      <vt:lpstr>uurtarief8</vt:lpstr>
      <vt:lpstr>uurtarief80</vt:lpstr>
      <vt:lpstr>uurtarief81</vt:lpstr>
      <vt:lpstr>uurtarief82</vt:lpstr>
      <vt:lpstr>uurtarief83</vt:lpstr>
      <vt:lpstr>uurtarief84</vt:lpstr>
      <vt:lpstr>uurtarief85</vt:lpstr>
      <vt:lpstr>uurtarief86</vt:lpstr>
      <vt:lpstr>uurtarief87</vt:lpstr>
      <vt:lpstr>uurtarief89</vt:lpstr>
      <vt:lpstr>uurtarief9</vt:lpstr>
      <vt:lpstr>uurtarief90</vt:lpstr>
      <vt:lpstr>uurtarief91</vt:lpstr>
      <vt:lpstr>uurtarief92</vt:lpstr>
      <vt:lpstr>uurtarief93</vt:lpstr>
      <vt:lpstr>uurtarief94</vt:lpstr>
      <vt:lpstr>uurtarief95</vt:lpstr>
      <vt:lpstr>uurtarief96</vt:lpstr>
      <vt:lpstr>uurtarief97</vt:lpstr>
      <vt:lpstr>uurtarief98</vt:lpstr>
      <vt:lpstr>uurtarief99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2024-11-07T13:12:19Z</dcterms:created>
  <dcterms:modified xsi:type="dcterms:W3CDTF">2024-11-07T13:17:08Z</dcterms:modified>
</cp:coreProperties>
</file>